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x-fs\josa\月報\geppou\月報1\・HP用データ\HP用相場表-データ\ETF相場表作成\"/>
    </mc:Choice>
  </mc:AlternateContent>
  <xr:revisionPtr revIDLastSave="0" documentId="13_ncr:1_{63065AA1-548C-4C7A-B288-1D2DB01C15E5}" xr6:coauthVersionLast="45" xr6:coauthVersionMax="45" xr10:uidLastSave="{00000000-0000-0000-0000-000000000000}"/>
  <bookViews>
    <workbookView xWindow="7845" yWindow="345" windowWidth="10500" windowHeight="9210" xr2:uid="{00000000-000D-0000-FFFF-FFFF00000000}"/>
  </bookViews>
  <sheets>
    <sheet name="2020.12" sheetId="15" r:id="rId1"/>
    <sheet name="2020.11" sheetId="14" r:id="rId2"/>
    <sheet name="2020.10" sheetId="13" r:id="rId3"/>
    <sheet name="2020.09" sheetId="12" r:id="rId4"/>
    <sheet name="2020.08" sheetId="11" r:id="rId5"/>
    <sheet name="2020.07" sheetId="10" r:id="rId6"/>
    <sheet name="2020.06" sheetId="9" r:id="rId7"/>
    <sheet name="2020.05" sheetId="8" r:id="rId8"/>
    <sheet name="2020.04" sheetId="7" r:id="rId9"/>
    <sheet name="2020.03" sheetId="6" r:id="rId10"/>
    <sheet name="2020.02" sheetId="5" r:id="rId11"/>
    <sheet name="2020.01" sheetId="4" r:id="rId12"/>
  </sheets>
  <definedNames>
    <definedName name="_xlnm.Print_Titles" localSheetId="11">'2020.01'!$1:$6</definedName>
    <definedName name="_xlnm.Print_Titles" localSheetId="10">'2020.02'!$1:$6</definedName>
    <definedName name="_xlnm.Print_Titles" localSheetId="9">'2020.03'!$1:$6</definedName>
    <definedName name="_xlnm.Print_Titles" localSheetId="8">'2020.04'!$1:$6</definedName>
    <definedName name="_xlnm.Print_Titles" localSheetId="7">'2020.05'!$1:$6</definedName>
    <definedName name="_xlnm.Print_Titles" localSheetId="6">'2020.06'!$1:$6</definedName>
    <definedName name="_xlnm.Print_Titles" localSheetId="5">'2020.07'!$1:$6</definedName>
    <definedName name="_xlnm.Print_Titles" localSheetId="4">'2020.08'!$1:$6</definedName>
    <definedName name="_xlnm.Print_Titles" localSheetId="3">'2020.09'!$1:$6</definedName>
    <definedName name="_xlnm.Print_Titles" localSheetId="2">'2020.10'!$1:$6</definedName>
    <definedName name="_xlnm.Print_Titles" localSheetId="1">'2020.11'!$1:$6</definedName>
    <definedName name="_xlnm.Print_Titles" localSheetId="0">'2020.12'!$1:$6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65" i="15" l="1"/>
  <c r="W265" i="15"/>
  <c r="V265" i="15"/>
  <c r="U265" i="15"/>
  <c r="T265" i="15"/>
  <c r="S265" i="15"/>
  <c r="Q265" i="15"/>
  <c r="O265" i="15"/>
  <c r="M265" i="15"/>
  <c r="K265" i="15"/>
  <c r="X264" i="15"/>
  <c r="W264" i="15"/>
  <c r="V264" i="15"/>
  <c r="U264" i="15"/>
  <c r="T264" i="15"/>
  <c r="S264" i="15"/>
  <c r="Q264" i="15"/>
  <c r="O264" i="15"/>
  <c r="M264" i="15"/>
  <c r="K264" i="15"/>
  <c r="X263" i="15"/>
  <c r="W263" i="15"/>
  <c r="V263" i="15"/>
  <c r="U263" i="15"/>
  <c r="T263" i="15"/>
  <c r="S263" i="15"/>
  <c r="Q263" i="15"/>
  <c r="O263" i="15"/>
  <c r="M263" i="15"/>
  <c r="K263" i="15"/>
  <c r="X262" i="15"/>
  <c r="W262" i="15"/>
  <c r="V262" i="15"/>
  <c r="U262" i="15"/>
  <c r="T262" i="15"/>
  <c r="S262" i="15"/>
  <c r="Q262" i="15"/>
  <c r="O262" i="15"/>
  <c r="M262" i="15"/>
  <c r="K262" i="15"/>
  <c r="X261" i="15"/>
  <c r="W261" i="15"/>
  <c r="V261" i="15"/>
  <c r="U261" i="15"/>
  <c r="T261" i="15"/>
  <c r="S261" i="15"/>
  <c r="Q261" i="15"/>
  <c r="O261" i="15"/>
  <c r="M261" i="15"/>
  <c r="K261" i="15"/>
  <c r="X260" i="15"/>
  <c r="W260" i="15"/>
  <c r="V260" i="15"/>
  <c r="U260" i="15"/>
  <c r="T260" i="15"/>
  <c r="S260" i="15"/>
  <c r="Q260" i="15"/>
  <c r="O260" i="15"/>
  <c r="M260" i="15"/>
  <c r="K260" i="15"/>
  <c r="X259" i="15"/>
  <c r="W259" i="15"/>
  <c r="V259" i="15"/>
  <c r="U259" i="15"/>
  <c r="T259" i="15"/>
  <c r="S259" i="15"/>
  <c r="Q259" i="15"/>
  <c r="O259" i="15"/>
  <c r="M259" i="15"/>
  <c r="K259" i="15"/>
  <c r="X258" i="15"/>
  <c r="W258" i="15"/>
  <c r="V258" i="15"/>
  <c r="U258" i="15"/>
  <c r="T258" i="15"/>
  <c r="S258" i="15"/>
  <c r="Q258" i="15"/>
  <c r="O258" i="15"/>
  <c r="M258" i="15"/>
  <c r="K258" i="15"/>
  <c r="X257" i="15"/>
  <c r="W257" i="15"/>
  <c r="V257" i="15"/>
  <c r="U257" i="15"/>
  <c r="T257" i="15"/>
  <c r="S257" i="15"/>
  <c r="Q257" i="15"/>
  <c r="O257" i="15"/>
  <c r="M257" i="15"/>
  <c r="K257" i="15"/>
  <c r="X256" i="15"/>
  <c r="W256" i="15"/>
  <c r="V256" i="15"/>
  <c r="U256" i="15"/>
  <c r="T256" i="15"/>
  <c r="S256" i="15"/>
  <c r="Q256" i="15"/>
  <c r="O256" i="15"/>
  <c r="M256" i="15"/>
  <c r="K256" i="15"/>
  <c r="X255" i="15"/>
  <c r="W255" i="15"/>
  <c r="V255" i="15"/>
  <c r="U255" i="15"/>
  <c r="T255" i="15"/>
  <c r="S255" i="15"/>
  <c r="Q255" i="15"/>
  <c r="O255" i="15"/>
  <c r="M255" i="15"/>
  <c r="K255" i="15"/>
  <c r="X254" i="15"/>
  <c r="W254" i="15"/>
  <c r="V254" i="15"/>
  <c r="U254" i="15"/>
  <c r="T254" i="15"/>
  <c r="S254" i="15"/>
  <c r="Q254" i="15"/>
  <c r="O254" i="15"/>
  <c r="M254" i="15"/>
  <c r="K254" i="15"/>
  <c r="X253" i="15"/>
  <c r="W253" i="15"/>
  <c r="V253" i="15"/>
  <c r="U253" i="15"/>
  <c r="T253" i="15"/>
  <c r="S253" i="15"/>
  <c r="Q253" i="15"/>
  <c r="O253" i="15"/>
  <c r="M253" i="15"/>
  <c r="K253" i="15"/>
  <c r="X252" i="15"/>
  <c r="W252" i="15"/>
  <c r="V252" i="15"/>
  <c r="U252" i="15"/>
  <c r="T252" i="15"/>
  <c r="S252" i="15"/>
  <c r="Q252" i="15"/>
  <c r="O252" i="15"/>
  <c r="M252" i="15"/>
  <c r="K252" i="15"/>
  <c r="X251" i="15"/>
  <c r="W251" i="15"/>
  <c r="V251" i="15"/>
  <c r="U251" i="15"/>
  <c r="T251" i="15"/>
  <c r="S251" i="15"/>
  <c r="Q251" i="15"/>
  <c r="O251" i="15"/>
  <c r="M251" i="15"/>
  <c r="K251" i="15"/>
  <c r="X250" i="15"/>
  <c r="W250" i="15"/>
  <c r="V250" i="15"/>
  <c r="U250" i="15"/>
  <c r="T250" i="15"/>
  <c r="S250" i="15"/>
  <c r="Q250" i="15"/>
  <c r="O250" i="15"/>
  <c r="M250" i="15"/>
  <c r="K250" i="15"/>
  <c r="X249" i="15"/>
  <c r="W249" i="15"/>
  <c r="V249" i="15"/>
  <c r="U249" i="15"/>
  <c r="T249" i="15"/>
  <c r="S249" i="15"/>
  <c r="Q249" i="15"/>
  <c r="O249" i="15"/>
  <c r="M249" i="15"/>
  <c r="K249" i="15"/>
  <c r="X248" i="15"/>
  <c r="W248" i="15"/>
  <c r="V248" i="15"/>
  <c r="U248" i="15"/>
  <c r="T248" i="15"/>
  <c r="S248" i="15"/>
  <c r="Q248" i="15"/>
  <c r="O248" i="15"/>
  <c r="M248" i="15"/>
  <c r="K248" i="15"/>
  <c r="X247" i="15"/>
  <c r="W247" i="15"/>
  <c r="V247" i="15"/>
  <c r="U247" i="15"/>
  <c r="T247" i="15"/>
  <c r="S247" i="15"/>
  <c r="Q247" i="15"/>
  <c r="O247" i="15"/>
  <c r="M247" i="15"/>
  <c r="K247" i="15"/>
  <c r="X246" i="15"/>
  <c r="W246" i="15"/>
  <c r="V246" i="15"/>
  <c r="U246" i="15"/>
  <c r="T246" i="15"/>
  <c r="S246" i="15"/>
  <c r="Q246" i="15"/>
  <c r="O246" i="15"/>
  <c r="M246" i="15"/>
  <c r="K246" i="15"/>
  <c r="X245" i="15"/>
  <c r="W245" i="15"/>
  <c r="V245" i="15"/>
  <c r="U245" i="15"/>
  <c r="T245" i="15"/>
  <c r="S245" i="15"/>
  <c r="Q245" i="15"/>
  <c r="O245" i="15"/>
  <c r="M245" i="15"/>
  <c r="K245" i="15"/>
  <c r="X244" i="15"/>
  <c r="W244" i="15"/>
  <c r="V244" i="15"/>
  <c r="U244" i="15"/>
  <c r="T244" i="15"/>
  <c r="S244" i="15"/>
  <c r="Q244" i="15"/>
  <c r="O244" i="15"/>
  <c r="M244" i="15"/>
  <c r="K244" i="15"/>
  <c r="X243" i="15"/>
  <c r="W243" i="15"/>
  <c r="V243" i="15"/>
  <c r="U243" i="15"/>
  <c r="T243" i="15"/>
  <c r="S243" i="15"/>
  <c r="Q243" i="15"/>
  <c r="O243" i="15"/>
  <c r="M243" i="15"/>
  <c r="K243" i="15"/>
  <c r="X242" i="15"/>
  <c r="W242" i="15"/>
  <c r="V242" i="15"/>
  <c r="U242" i="15"/>
  <c r="T242" i="15"/>
  <c r="S242" i="15"/>
  <c r="Q242" i="15"/>
  <c r="O242" i="15"/>
  <c r="M242" i="15"/>
  <c r="K242" i="15"/>
  <c r="X241" i="15"/>
  <c r="W241" i="15"/>
  <c r="V241" i="15"/>
  <c r="U241" i="15"/>
  <c r="T241" i="15"/>
  <c r="S241" i="15"/>
  <c r="Q241" i="15"/>
  <c r="O241" i="15"/>
  <c r="M241" i="15"/>
  <c r="K241" i="15"/>
  <c r="X240" i="15"/>
  <c r="W240" i="15"/>
  <c r="V240" i="15"/>
  <c r="U240" i="15"/>
  <c r="T240" i="15"/>
  <c r="S240" i="15"/>
  <c r="Q240" i="15"/>
  <c r="O240" i="15"/>
  <c r="M240" i="15"/>
  <c r="K240" i="15"/>
  <c r="X239" i="15"/>
  <c r="W239" i="15"/>
  <c r="V239" i="15"/>
  <c r="U239" i="15"/>
  <c r="T239" i="15"/>
  <c r="S239" i="15"/>
  <c r="Q239" i="15"/>
  <c r="O239" i="15"/>
  <c r="M239" i="15"/>
  <c r="K239" i="15"/>
  <c r="X238" i="15"/>
  <c r="W238" i="15"/>
  <c r="V238" i="15"/>
  <c r="U238" i="15"/>
  <c r="T238" i="15"/>
  <c r="S238" i="15"/>
  <c r="Q238" i="15"/>
  <c r="O238" i="15"/>
  <c r="M238" i="15"/>
  <c r="K238" i="15"/>
  <c r="X237" i="15"/>
  <c r="W237" i="15"/>
  <c r="V237" i="15"/>
  <c r="U237" i="15"/>
  <c r="T237" i="15"/>
  <c r="S237" i="15"/>
  <c r="Q237" i="15"/>
  <c r="O237" i="15"/>
  <c r="M237" i="15"/>
  <c r="K237" i="15"/>
  <c r="X236" i="15"/>
  <c r="W236" i="15"/>
  <c r="V236" i="15"/>
  <c r="U236" i="15"/>
  <c r="T236" i="15"/>
  <c r="S236" i="15"/>
  <c r="Q236" i="15"/>
  <c r="O236" i="15"/>
  <c r="M236" i="15"/>
  <c r="K236" i="15"/>
  <c r="X235" i="15"/>
  <c r="W235" i="15"/>
  <c r="V235" i="15"/>
  <c r="U235" i="15"/>
  <c r="T235" i="15"/>
  <c r="S235" i="15"/>
  <c r="Q235" i="15"/>
  <c r="O235" i="15"/>
  <c r="M235" i="15"/>
  <c r="K235" i="15"/>
  <c r="X234" i="15"/>
  <c r="W234" i="15"/>
  <c r="V234" i="15"/>
  <c r="U234" i="15"/>
  <c r="T234" i="15"/>
  <c r="S234" i="15"/>
  <c r="Q234" i="15"/>
  <c r="O234" i="15"/>
  <c r="M234" i="15"/>
  <c r="K234" i="15"/>
  <c r="X233" i="15"/>
  <c r="W233" i="15"/>
  <c r="V233" i="15"/>
  <c r="U233" i="15"/>
  <c r="T233" i="15"/>
  <c r="S233" i="15"/>
  <c r="Q233" i="15"/>
  <c r="O233" i="15"/>
  <c r="M233" i="15"/>
  <c r="K233" i="15"/>
  <c r="X232" i="15"/>
  <c r="W232" i="15"/>
  <c r="V232" i="15"/>
  <c r="U232" i="15"/>
  <c r="T232" i="15"/>
  <c r="S232" i="15"/>
  <c r="Q232" i="15"/>
  <c r="O232" i="15"/>
  <c r="M232" i="15"/>
  <c r="K232" i="15"/>
  <c r="X231" i="15"/>
  <c r="W231" i="15"/>
  <c r="V231" i="15"/>
  <c r="U231" i="15"/>
  <c r="T231" i="15"/>
  <c r="S231" i="15"/>
  <c r="Q231" i="15"/>
  <c r="O231" i="15"/>
  <c r="M231" i="15"/>
  <c r="K231" i="15"/>
  <c r="X230" i="15"/>
  <c r="W230" i="15"/>
  <c r="V230" i="15"/>
  <c r="U230" i="15"/>
  <c r="T230" i="15"/>
  <c r="S230" i="15"/>
  <c r="Q230" i="15"/>
  <c r="O230" i="15"/>
  <c r="M230" i="15"/>
  <c r="K230" i="15"/>
  <c r="X229" i="15"/>
  <c r="W229" i="15"/>
  <c r="V229" i="15"/>
  <c r="U229" i="15"/>
  <c r="T229" i="15"/>
  <c r="S229" i="15"/>
  <c r="Q229" i="15"/>
  <c r="O229" i="15"/>
  <c r="M229" i="15"/>
  <c r="K229" i="15"/>
  <c r="X228" i="15"/>
  <c r="W228" i="15"/>
  <c r="V228" i="15"/>
  <c r="U228" i="15"/>
  <c r="T228" i="15"/>
  <c r="S228" i="15"/>
  <c r="Q228" i="15"/>
  <c r="O228" i="15"/>
  <c r="M228" i="15"/>
  <c r="K228" i="15"/>
  <c r="X227" i="15"/>
  <c r="W227" i="15"/>
  <c r="V227" i="15"/>
  <c r="U227" i="15"/>
  <c r="T227" i="15"/>
  <c r="S227" i="15"/>
  <c r="Q227" i="15"/>
  <c r="O227" i="15"/>
  <c r="M227" i="15"/>
  <c r="K227" i="15"/>
  <c r="X226" i="15"/>
  <c r="W226" i="15"/>
  <c r="V226" i="15"/>
  <c r="U226" i="15"/>
  <c r="T226" i="15"/>
  <c r="S226" i="15"/>
  <c r="Q226" i="15"/>
  <c r="O226" i="15"/>
  <c r="M226" i="15"/>
  <c r="K226" i="15"/>
  <c r="X225" i="15"/>
  <c r="W225" i="15"/>
  <c r="V225" i="15"/>
  <c r="U225" i="15"/>
  <c r="T225" i="15"/>
  <c r="S225" i="15"/>
  <c r="Q225" i="15"/>
  <c r="O225" i="15"/>
  <c r="M225" i="15"/>
  <c r="K225" i="15"/>
  <c r="X224" i="15"/>
  <c r="W224" i="15"/>
  <c r="V224" i="15"/>
  <c r="U224" i="15"/>
  <c r="T224" i="15"/>
  <c r="S224" i="15"/>
  <c r="Q224" i="15"/>
  <c r="O224" i="15"/>
  <c r="M224" i="15"/>
  <c r="K224" i="15"/>
  <c r="X223" i="15"/>
  <c r="W223" i="15"/>
  <c r="V223" i="15"/>
  <c r="U223" i="15"/>
  <c r="T223" i="15"/>
  <c r="S223" i="15"/>
  <c r="Q223" i="15"/>
  <c r="O223" i="15"/>
  <c r="M223" i="15"/>
  <c r="K223" i="15"/>
  <c r="X222" i="15"/>
  <c r="W222" i="15"/>
  <c r="V222" i="15"/>
  <c r="U222" i="15"/>
  <c r="T222" i="15"/>
  <c r="S222" i="15"/>
  <c r="Q222" i="15"/>
  <c r="O222" i="15"/>
  <c r="M222" i="15"/>
  <c r="K222" i="15"/>
  <c r="X221" i="15"/>
  <c r="W221" i="15"/>
  <c r="V221" i="15"/>
  <c r="U221" i="15"/>
  <c r="T221" i="15"/>
  <c r="S221" i="15"/>
  <c r="Q221" i="15"/>
  <c r="O221" i="15"/>
  <c r="M221" i="15"/>
  <c r="K221" i="15"/>
  <c r="X220" i="15"/>
  <c r="W220" i="15"/>
  <c r="V220" i="15"/>
  <c r="U220" i="15"/>
  <c r="T220" i="15"/>
  <c r="S220" i="15"/>
  <c r="Q220" i="15"/>
  <c r="O220" i="15"/>
  <c r="M220" i="15"/>
  <c r="K220" i="15"/>
  <c r="X219" i="15"/>
  <c r="W219" i="15"/>
  <c r="V219" i="15"/>
  <c r="U219" i="15"/>
  <c r="T219" i="15"/>
  <c r="S219" i="15"/>
  <c r="Q219" i="15"/>
  <c r="O219" i="15"/>
  <c r="M219" i="15"/>
  <c r="K219" i="15"/>
  <c r="X218" i="15"/>
  <c r="W218" i="15"/>
  <c r="V218" i="15"/>
  <c r="U218" i="15"/>
  <c r="T218" i="15"/>
  <c r="S218" i="15"/>
  <c r="Q218" i="15"/>
  <c r="O218" i="15"/>
  <c r="M218" i="15"/>
  <c r="K218" i="15"/>
  <c r="X217" i="15"/>
  <c r="W217" i="15"/>
  <c r="V217" i="15"/>
  <c r="U217" i="15"/>
  <c r="T217" i="15"/>
  <c r="S217" i="15"/>
  <c r="Q217" i="15"/>
  <c r="O217" i="15"/>
  <c r="M217" i="15"/>
  <c r="K217" i="15"/>
  <c r="X216" i="15"/>
  <c r="W216" i="15"/>
  <c r="V216" i="15"/>
  <c r="U216" i="15"/>
  <c r="T216" i="15"/>
  <c r="S216" i="15"/>
  <c r="Q216" i="15"/>
  <c r="O216" i="15"/>
  <c r="M216" i="15"/>
  <c r="K216" i="15"/>
  <c r="X215" i="15"/>
  <c r="W215" i="15"/>
  <c r="V215" i="15"/>
  <c r="U215" i="15"/>
  <c r="T215" i="15"/>
  <c r="S215" i="15"/>
  <c r="Q215" i="15"/>
  <c r="O215" i="15"/>
  <c r="M215" i="15"/>
  <c r="K215" i="15"/>
  <c r="X214" i="15"/>
  <c r="W214" i="15"/>
  <c r="V214" i="15"/>
  <c r="U214" i="15"/>
  <c r="T214" i="15"/>
  <c r="S214" i="15"/>
  <c r="Q214" i="15"/>
  <c r="O214" i="15"/>
  <c r="M214" i="15"/>
  <c r="K214" i="15"/>
  <c r="X213" i="15"/>
  <c r="W213" i="15"/>
  <c r="V213" i="15"/>
  <c r="U213" i="15"/>
  <c r="T213" i="15"/>
  <c r="S213" i="15"/>
  <c r="Q213" i="15"/>
  <c r="O213" i="15"/>
  <c r="M213" i="15"/>
  <c r="K213" i="15"/>
  <c r="X212" i="15"/>
  <c r="W212" i="15"/>
  <c r="V212" i="15"/>
  <c r="U212" i="15"/>
  <c r="T212" i="15"/>
  <c r="S212" i="15"/>
  <c r="Q212" i="15"/>
  <c r="O212" i="15"/>
  <c r="M212" i="15"/>
  <c r="K212" i="15"/>
  <c r="X211" i="15"/>
  <c r="W211" i="15"/>
  <c r="V211" i="15"/>
  <c r="U211" i="15"/>
  <c r="T211" i="15"/>
  <c r="S211" i="15"/>
  <c r="Q211" i="15"/>
  <c r="O211" i="15"/>
  <c r="M211" i="15"/>
  <c r="K211" i="15"/>
  <c r="X210" i="15"/>
  <c r="W210" i="15"/>
  <c r="V210" i="15"/>
  <c r="U210" i="15"/>
  <c r="T210" i="15"/>
  <c r="S210" i="15"/>
  <c r="Q210" i="15"/>
  <c r="O210" i="15"/>
  <c r="M210" i="15"/>
  <c r="K210" i="15"/>
  <c r="X209" i="15"/>
  <c r="W209" i="15"/>
  <c r="V209" i="15"/>
  <c r="U209" i="15"/>
  <c r="T209" i="15"/>
  <c r="S209" i="15"/>
  <c r="Q209" i="15"/>
  <c r="O209" i="15"/>
  <c r="M209" i="15"/>
  <c r="K209" i="15"/>
  <c r="X208" i="15"/>
  <c r="W208" i="15"/>
  <c r="V208" i="15"/>
  <c r="U208" i="15"/>
  <c r="T208" i="15"/>
  <c r="S208" i="15"/>
  <c r="Q208" i="15"/>
  <c r="O208" i="15"/>
  <c r="M208" i="15"/>
  <c r="K208" i="15"/>
  <c r="X207" i="15"/>
  <c r="W207" i="15"/>
  <c r="V207" i="15"/>
  <c r="U207" i="15"/>
  <c r="T207" i="15"/>
  <c r="S207" i="15"/>
  <c r="Q207" i="15"/>
  <c r="O207" i="15"/>
  <c r="M207" i="15"/>
  <c r="K207" i="15"/>
  <c r="X206" i="15"/>
  <c r="W206" i="15"/>
  <c r="V206" i="15"/>
  <c r="U206" i="15"/>
  <c r="T206" i="15"/>
  <c r="S206" i="15"/>
  <c r="Q206" i="15"/>
  <c r="O206" i="15"/>
  <c r="M206" i="15"/>
  <c r="K206" i="15"/>
  <c r="X205" i="15"/>
  <c r="W205" i="15"/>
  <c r="V205" i="15"/>
  <c r="U205" i="15"/>
  <c r="T205" i="15"/>
  <c r="S205" i="15"/>
  <c r="Q205" i="15"/>
  <c r="O205" i="15"/>
  <c r="M205" i="15"/>
  <c r="K205" i="15"/>
  <c r="X204" i="15"/>
  <c r="W204" i="15"/>
  <c r="V204" i="15"/>
  <c r="U204" i="15"/>
  <c r="T204" i="15"/>
  <c r="S204" i="15"/>
  <c r="Q204" i="15"/>
  <c r="O204" i="15"/>
  <c r="M204" i="15"/>
  <c r="K204" i="15"/>
  <c r="X203" i="15"/>
  <c r="W203" i="15"/>
  <c r="V203" i="15"/>
  <c r="U203" i="15"/>
  <c r="T203" i="15"/>
  <c r="S203" i="15"/>
  <c r="Q203" i="15"/>
  <c r="O203" i="15"/>
  <c r="M203" i="15"/>
  <c r="K203" i="15"/>
  <c r="X202" i="15"/>
  <c r="W202" i="15"/>
  <c r="V202" i="15"/>
  <c r="U202" i="15"/>
  <c r="T202" i="15"/>
  <c r="S202" i="15"/>
  <c r="Q202" i="15"/>
  <c r="O202" i="15"/>
  <c r="M202" i="15"/>
  <c r="K202" i="15"/>
  <c r="X201" i="15"/>
  <c r="W201" i="15"/>
  <c r="V201" i="15"/>
  <c r="U201" i="15"/>
  <c r="T201" i="15"/>
  <c r="S201" i="15"/>
  <c r="Q201" i="15"/>
  <c r="O201" i="15"/>
  <c r="M201" i="15"/>
  <c r="K201" i="15"/>
  <c r="X200" i="15"/>
  <c r="W200" i="15"/>
  <c r="V200" i="15"/>
  <c r="U200" i="15"/>
  <c r="T200" i="15"/>
  <c r="S200" i="15"/>
  <c r="Q200" i="15"/>
  <c r="O200" i="15"/>
  <c r="M200" i="15"/>
  <c r="K200" i="15"/>
  <c r="X199" i="15"/>
  <c r="W199" i="15"/>
  <c r="V199" i="15"/>
  <c r="U199" i="15"/>
  <c r="T199" i="15"/>
  <c r="S199" i="15"/>
  <c r="Q199" i="15"/>
  <c r="O199" i="15"/>
  <c r="M199" i="15"/>
  <c r="K199" i="15"/>
  <c r="X198" i="15"/>
  <c r="W198" i="15"/>
  <c r="V198" i="15"/>
  <c r="U198" i="15"/>
  <c r="T198" i="15"/>
  <c r="S198" i="15"/>
  <c r="Q198" i="15"/>
  <c r="O198" i="15"/>
  <c r="M198" i="15"/>
  <c r="K198" i="15"/>
  <c r="X197" i="15"/>
  <c r="W197" i="15"/>
  <c r="V197" i="15"/>
  <c r="U197" i="15"/>
  <c r="T197" i="15"/>
  <c r="S197" i="15"/>
  <c r="Q197" i="15"/>
  <c r="O197" i="15"/>
  <c r="M197" i="15"/>
  <c r="K197" i="15"/>
  <c r="X196" i="15"/>
  <c r="W196" i="15"/>
  <c r="V196" i="15"/>
  <c r="U196" i="15"/>
  <c r="T196" i="15"/>
  <c r="S196" i="15"/>
  <c r="Q196" i="15"/>
  <c r="O196" i="15"/>
  <c r="M196" i="15"/>
  <c r="K196" i="15"/>
  <c r="X195" i="15"/>
  <c r="W195" i="15"/>
  <c r="V195" i="15"/>
  <c r="U195" i="15"/>
  <c r="T195" i="15"/>
  <c r="S195" i="15"/>
  <c r="Q195" i="15"/>
  <c r="O195" i="15"/>
  <c r="M195" i="15"/>
  <c r="K195" i="15"/>
  <c r="X194" i="15"/>
  <c r="W194" i="15"/>
  <c r="V194" i="15"/>
  <c r="U194" i="15"/>
  <c r="T194" i="15"/>
  <c r="S194" i="15"/>
  <c r="Q194" i="15"/>
  <c r="O194" i="15"/>
  <c r="M194" i="15"/>
  <c r="K194" i="15"/>
  <c r="X193" i="15"/>
  <c r="W193" i="15"/>
  <c r="V193" i="15"/>
  <c r="U193" i="15"/>
  <c r="T193" i="15"/>
  <c r="S193" i="15"/>
  <c r="Q193" i="15"/>
  <c r="O193" i="15"/>
  <c r="M193" i="15"/>
  <c r="K193" i="15"/>
  <c r="X192" i="15"/>
  <c r="W192" i="15"/>
  <c r="V192" i="15"/>
  <c r="U192" i="15"/>
  <c r="T192" i="15"/>
  <c r="S192" i="15"/>
  <c r="Q192" i="15"/>
  <c r="O192" i="15"/>
  <c r="M192" i="15"/>
  <c r="K192" i="15"/>
  <c r="X191" i="15"/>
  <c r="W191" i="15"/>
  <c r="V191" i="15"/>
  <c r="U191" i="15"/>
  <c r="T191" i="15"/>
  <c r="S191" i="15"/>
  <c r="Q191" i="15"/>
  <c r="O191" i="15"/>
  <c r="M191" i="15"/>
  <c r="K191" i="15"/>
  <c r="X190" i="15"/>
  <c r="W190" i="15"/>
  <c r="V190" i="15"/>
  <c r="U190" i="15"/>
  <c r="T190" i="15"/>
  <c r="S190" i="15"/>
  <c r="Q190" i="15"/>
  <c r="O190" i="15"/>
  <c r="M190" i="15"/>
  <c r="K190" i="15"/>
  <c r="X189" i="15"/>
  <c r="W189" i="15"/>
  <c r="V189" i="15"/>
  <c r="U189" i="15"/>
  <c r="T189" i="15"/>
  <c r="S189" i="15"/>
  <c r="Q189" i="15"/>
  <c r="O189" i="15"/>
  <c r="M189" i="15"/>
  <c r="K189" i="15"/>
  <c r="X188" i="15"/>
  <c r="W188" i="15"/>
  <c r="V188" i="15"/>
  <c r="U188" i="15"/>
  <c r="T188" i="15"/>
  <c r="S188" i="15"/>
  <c r="Q188" i="15"/>
  <c r="O188" i="15"/>
  <c r="M188" i="15"/>
  <c r="K188" i="15"/>
  <c r="X187" i="15"/>
  <c r="W187" i="15"/>
  <c r="V187" i="15"/>
  <c r="U187" i="15"/>
  <c r="T187" i="15"/>
  <c r="S187" i="15"/>
  <c r="Q187" i="15"/>
  <c r="O187" i="15"/>
  <c r="M187" i="15"/>
  <c r="K187" i="15"/>
  <c r="X186" i="15"/>
  <c r="W186" i="15"/>
  <c r="V186" i="15"/>
  <c r="U186" i="15"/>
  <c r="T186" i="15"/>
  <c r="S186" i="15"/>
  <c r="Q186" i="15"/>
  <c r="O186" i="15"/>
  <c r="M186" i="15"/>
  <c r="K186" i="15"/>
  <c r="X185" i="15"/>
  <c r="W185" i="15"/>
  <c r="V185" i="15"/>
  <c r="U185" i="15"/>
  <c r="T185" i="15"/>
  <c r="S185" i="15"/>
  <c r="Q185" i="15"/>
  <c r="O185" i="15"/>
  <c r="M185" i="15"/>
  <c r="K185" i="15"/>
  <c r="X184" i="15"/>
  <c r="W184" i="15"/>
  <c r="V184" i="15"/>
  <c r="U184" i="15"/>
  <c r="T184" i="15"/>
  <c r="S184" i="15"/>
  <c r="Q184" i="15"/>
  <c r="O184" i="15"/>
  <c r="M184" i="15"/>
  <c r="K184" i="15"/>
  <c r="X183" i="15"/>
  <c r="W183" i="15"/>
  <c r="V183" i="15"/>
  <c r="U183" i="15"/>
  <c r="T183" i="15"/>
  <c r="S183" i="15"/>
  <c r="Q183" i="15"/>
  <c r="O183" i="15"/>
  <c r="M183" i="15"/>
  <c r="K183" i="15"/>
  <c r="X182" i="15"/>
  <c r="W182" i="15"/>
  <c r="V182" i="15"/>
  <c r="U182" i="15"/>
  <c r="T182" i="15"/>
  <c r="S182" i="15"/>
  <c r="Q182" i="15"/>
  <c r="O182" i="15"/>
  <c r="M182" i="15"/>
  <c r="K182" i="15"/>
  <c r="X181" i="15"/>
  <c r="W181" i="15"/>
  <c r="V181" i="15"/>
  <c r="U181" i="15"/>
  <c r="T181" i="15"/>
  <c r="S181" i="15"/>
  <c r="Q181" i="15"/>
  <c r="O181" i="15"/>
  <c r="M181" i="15"/>
  <c r="K181" i="15"/>
  <c r="X180" i="15"/>
  <c r="W180" i="15"/>
  <c r="V180" i="15"/>
  <c r="U180" i="15"/>
  <c r="T180" i="15"/>
  <c r="S180" i="15"/>
  <c r="Q180" i="15"/>
  <c r="O180" i="15"/>
  <c r="M180" i="15"/>
  <c r="K180" i="15"/>
  <c r="X179" i="15"/>
  <c r="W179" i="15"/>
  <c r="V179" i="15"/>
  <c r="U179" i="15"/>
  <c r="T179" i="15"/>
  <c r="S179" i="15"/>
  <c r="Q179" i="15"/>
  <c r="O179" i="15"/>
  <c r="M179" i="15"/>
  <c r="K179" i="15"/>
  <c r="X178" i="15"/>
  <c r="W178" i="15"/>
  <c r="V178" i="15"/>
  <c r="U178" i="15"/>
  <c r="T178" i="15"/>
  <c r="S178" i="15"/>
  <c r="Q178" i="15"/>
  <c r="O178" i="15"/>
  <c r="M178" i="15"/>
  <c r="K178" i="15"/>
  <c r="X177" i="15"/>
  <c r="W177" i="15"/>
  <c r="V177" i="15"/>
  <c r="U177" i="15"/>
  <c r="T177" i="15"/>
  <c r="S177" i="15"/>
  <c r="Q177" i="15"/>
  <c r="O177" i="15"/>
  <c r="M177" i="15"/>
  <c r="K177" i="15"/>
  <c r="X176" i="15"/>
  <c r="W176" i="15"/>
  <c r="V176" i="15"/>
  <c r="U176" i="15"/>
  <c r="T176" i="15"/>
  <c r="S176" i="15"/>
  <c r="Q176" i="15"/>
  <c r="O176" i="15"/>
  <c r="M176" i="15"/>
  <c r="K176" i="15"/>
  <c r="X175" i="15"/>
  <c r="W175" i="15"/>
  <c r="V175" i="15"/>
  <c r="U175" i="15"/>
  <c r="T175" i="15"/>
  <c r="S175" i="15"/>
  <c r="Q175" i="15"/>
  <c r="O175" i="15"/>
  <c r="M175" i="15"/>
  <c r="K175" i="15"/>
  <c r="X174" i="15"/>
  <c r="W174" i="15"/>
  <c r="V174" i="15"/>
  <c r="U174" i="15"/>
  <c r="T174" i="15"/>
  <c r="S174" i="15"/>
  <c r="Q174" i="15"/>
  <c r="O174" i="15"/>
  <c r="M174" i="15"/>
  <c r="K174" i="15"/>
  <c r="X173" i="15"/>
  <c r="W173" i="15"/>
  <c r="V173" i="15"/>
  <c r="U173" i="15"/>
  <c r="T173" i="15"/>
  <c r="S173" i="15"/>
  <c r="Q173" i="15"/>
  <c r="O173" i="15"/>
  <c r="M173" i="15"/>
  <c r="K173" i="15"/>
  <c r="X172" i="15"/>
  <c r="W172" i="15"/>
  <c r="V172" i="15"/>
  <c r="U172" i="15"/>
  <c r="T172" i="15"/>
  <c r="S172" i="15"/>
  <c r="Q172" i="15"/>
  <c r="O172" i="15"/>
  <c r="M172" i="15"/>
  <c r="K172" i="15"/>
  <c r="X171" i="15"/>
  <c r="W171" i="15"/>
  <c r="V171" i="15"/>
  <c r="U171" i="15"/>
  <c r="T171" i="15"/>
  <c r="S171" i="15"/>
  <c r="Q171" i="15"/>
  <c r="O171" i="15"/>
  <c r="M171" i="15"/>
  <c r="K171" i="15"/>
  <c r="X170" i="15"/>
  <c r="W170" i="15"/>
  <c r="V170" i="15"/>
  <c r="U170" i="15"/>
  <c r="T170" i="15"/>
  <c r="S170" i="15"/>
  <c r="Q170" i="15"/>
  <c r="O170" i="15"/>
  <c r="M170" i="15"/>
  <c r="K170" i="15"/>
  <c r="X169" i="15"/>
  <c r="W169" i="15"/>
  <c r="V169" i="15"/>
  <c r="U169" i="15"/>
  <c r="T169" i="15"/>
  <c r="S169" i="15"/>
  <c r="Q169" i="15"/>
  <c r="O169" i="15"/>
  <c r="M169" i="15"/>
  <c r="K169" i="15"/>
  <c r="X168" i="15"/>
  <c r="W168" i="15"/>
  <c r="V168" i="15"/>
  <c r="U168" i="15"/>
  <c r="T168" i="15"/>
  <c r="S168" i="15"/>
  <c r="Q168" i="15"/>
  <c r="O168" i="15"/>
  <c r="M168" i="15"/>
  <c r="K168" i="15"/>
  <c r="X167" i="15"/>
  <c r="W167" i="15"/>
  <c r="V167" i="15"/>
  <c r="U167" i="15"/>
  <c r="T167" i="15"/>
  <c r="S167" i="15"/>
  <c r="Q167" i="15"/>
  <c r="O167" i="15"/>
  <c r="M167" i="15"/>
  <c r="K167" i="15"/>
  <c r="X166" i="15"/>
  <c r="W166" i="15"/>
  <c r="V166" i="15"/>
  <c r="U166" i="15"/>
  <c r="T166" i="15"/>
  <c r="S166" i="15"/>
  <c r="Q166" i="15"/>
  <c r="O166" i="15"/>
  <c r="M166" i="15"/>
  <c r="K166" i="15"/>
  <c r="X165" i="15"/>
  <c r="W165" i="15"/>
  <c r="V165" i="15"/>
  <c r="U165" i="15"/>
  <c r="T165" i="15"/>
  <c r="S165" i="15"/>
  <c r="Q165" i="15"/>
  <c r="O165" i="15"/>
  <c r="M165" i="15"/>
  <c r="K165" i="15"/>
  <c r="X164" i="15"/>
  <c r="W164" i="15"/>
  <c r="V164" i="15"/>
  <c r="U164" i="15"/>
  <c r="T164" i="15"/>
  <c r="S164" i="15"/>
  <c r="Q164" i="15"/>
  <c r="O164" i="15"/>
  <c r="M164" i="15"/>
  <c r="K164" i="15"/>
  <c r="X163" i="15"/>
  <c r="W163" i="15"/>
  <c r="V163" i="15"/>
  <c r="U163" i="15"/>
  <c r="T163" i="15"/>
  <c r="S163" i="15"/>
  <c r="Q163" i="15"/>
  <c r="O163" i="15"/>
  <c r="M163" i="15"/>
  <c r="K163" i="15"/>
  <c r="X162" i="15"/>
  <c r="W162" i="15"/>
  <c r="V162" i="15"/>
  <c r="U162" i="15"/>
  <c r="T162" i="15"/>
  <c r="S162" i="15"/>
  <c r="Q162" i="15"/>
  <c r="O162" i="15"/>
  <c r="M162" i="15"/>
  <c r="K162" i="15"/>
  <c r="X161" i="15"/>
  <c r="W161" i="15"/>
  <c r="V161" i="15"/>
  <c r="U161" i="15"/>
  <c r="T161" i="15"/>
  <c r="S161" i="15"/>
  <c r="Q161" i="15"/>
  <c r="O161" i="15"/>
  <c r="M161" i="15"/>
  <c r="K161" i="15"/>
  <c r="X160" i="15"/>
  <c r="W160" i="15"/>
  <c r="V160" i="15"/>
  <c r="U160" i="15"/>
  <c r="T160" i="15"/>
  <c r="S160" i="15"/>
  <c r="Q160" i="15"/>
  <c r="O160" i="15"/>
  <c r="M160" i="15"/>
  <c r="K160" i="15"/>
  <c r="X159" i="15"/>
  <c r="W159" i="15"/>
  <c r="V159" i="15"/>
  <c r="U159" i="15"/>
  <c r="T159" i="15"/>
  <c r="S159" i="15"/>
  <c r="Q159" i="15"/>
  <c r="O159" i="15"/>
  <c r="M159" i="15"/>
  <c r="K159" i="15"/>
  <c r="X158" i="15"/>
  <c r="W158" i="15"/>
  <c r="V158" i="15"/>
  <c r="U158" i="15"/>
  <c r="T158" i="15"/>
  <c r="S158" i="15"/>
  <c r="Q158" i="15"/>
  <c r="O158" i="15"/>
  <c r="M158" i="15"/>
  <c r="K158" i="15"/>
  <c r="X157" i="15"/>
  <c r="W157" i="15"/>
  <c r="V157" i="15"/>
  <c r="U157" i="15"/>
  <c r="T157" i="15"/>
  <c r="S157" i="15"/>
  <c r="Q157" i="15"/>
  <c r="O157" i="15"/>
  <c r="M157" i="15"/>
  <c r="K157" i="15"/>
  <c r="X156" i="15"/>
  <c r="W156" i="15"/>
  <c r="V156" i="15"/>
  <c r="U156" i="15"/>
  <c r="T156" i="15"/>
  <c r="S156" i="15"/>
  <c r="Q156" i="15"/>
  <c r="O156" i="15"/>
  <c r="M156" i="15"/>
  <c r="K156" i="15"/>
  <c r="X155" i="15"/>
  <c r="W155" i="15"/>
  <c r="V155" i="15"/>
  <c r="U155" i="15"/>
  <c r="T155" i="15"/>
  <c r="S155" i="15"/>
  <c r="Q155" i="15"/>
  <c r="O155" i="15"/>
  <c r="M155" i="15"/>
  <c r="K155" i="15"/>
  <c r="X154" i="15"/>
  <c r="W154" i="15"/>
  <c r="V154" i="15"/>
  <c r="U154" i="15"/>
  <c r="T154" i="15"/>
  <c r="S154" i="15"/>
  <c r="Q154" i="15"/>
  <c r="O154" i="15"/>
  <c r="M154" i="15"/>
  <c r="K154" i="15"/>
  <c r="X153" i="15"/>
  <c r="W153" i="15"/>
  <c r="V153" i="15"/>
  <c r="U153" i="15"/>
  <c r="T153" i="15"/>
  <c r="S153" i="15"/>
  <c r="Q153" i="15"/>
  <c r="O153" i="15"/>
  <c r="M153" i="15"/>
  <c r="K153" i="15"/>
  <c r="X152" i="15"/>
  <c r="W152" i="15"/>
  <c r="V152" i="15"/>
  <c r="U152" i="15"/>
  <c r="T152" i="15"/>
  <c r="S152" i="15"/>
  <c r="Q152" i="15"/>
  <c r="O152" i="15"/>
  <c r="M152" i="15"/>
  <c r="K152" i="15"/>
  <c r="X151" i="15"/>
  <c r="W151" i="15"/>
  <c r="V151" i="15"/>
  <c r="U151" i="15"/>
  <c r="T151" i="15"/>
  <c r="S151" i="15"/>
  <c r="Q151" i="15"/>
  <c r="O151" i="15"/>
  <c r="M151" i="15"/>
  <c r="K151" i="15"/>
  <c r="X150" i="15"/>
  <c r="W150" i="15"/>
  <c r="V150" i="15"/>
  <c r="U150" i="15"/>
  <c r="T150" i="15"/>
  <c r="S150" i="15"/>
  <c r="Q150" i="15"/>
  <c r="O150" i="15"/>
  <c r="M150" i="15"/>
  <c r="K150" i="15"/>
  <c r="X149" i="15"/>
  <c r="W149" i="15"/>
  <c r="V149" i="15"/>
  <c r="U149" i="15"/>
  <c r="T149" i="15"/>
  <c r="S149" i="15"/>
  <c r="Q149" i="15"/>
  <c r="O149" i="15"/>
  <c r="M149" i="15"/>
  <c r="K149" i="15"/>
  <c r="X148" i="15"/>
  <c r="W148" i="15"/>
  <c r="V148" i="15"/>
  <c r="U148" i="15"/>
  <c r="T148" i="15"/>
  <c r="S148" i="15"/>
  <c r="Q148" i="15"/>
  <c r="O148" i="15"/>
  <c r="M148" i="15"/>
  <c r="K148" i="15"/>
  <c r="X147" i="15"/>
  <c r="W147" i="15"/>
  <c r="V147" i="15"/>
  <c r="U147" i="15"/>
  <c r="T147" i="15"/>
  <c r="S147" i="15"/>
  <c r="Q147" i="15"/>
  <c r="O147" i="15"/>
  <c r="M147" i="15"/>
  <c r="K147" i="15"/>
  <c r="X146" i="15"/>
  <c r="W146" i="15"/>
  <c r="V146" i="15"/>
  <c r="U146" i="15"/>
  <c r="T146" i="15"/>
  <c r="S146" i="15"/>
  <c r="Q146" i="15"/>
  <c r="O146" i="15"/>
  <c r="M146" i="15"/>
  <c r="K146" i="15"/>
  <c r="X145" i="15"/>
  <c r="W145" i="15"/>
  <c r="V145" i="15"/>
  <c r="U145" i="15"/>
  <c r="T145" i="15"/>
  <c r="S145" i="15"/>
  <c r="Q145" i="15"/>
  <c r="O145" i="15"/>
  <c r="M145" i="15"/>
  <c r="K145" i="15"/>
  <c r="X144" i="15"/>
  <c r="W144" i="15"/>
  <c r="V144" i="15"/>
  <c r="U144" i="15"/>
  <c r="T144" i="15"/>
  <c r="S144" i="15"/>
  <c r="Q144" i="15"/>
  <c r="O144" i="15"/>
  <c r="M144" i="15"/>
  <c r="K144" i="15"/>
  <c r="X143" i="15"/>
  <c r="W143" i="15"/>
  <c r="V143" i="15"/>
  <c r="U143" i="15"/>
  <c r="T143" i="15"/>
  <c r="S143" i="15"/>
  <c r="Q143" i="15"/>
  <c r="O143" i="15"/>
  <c r="M143" i="15"/>
  <c r="K143" i="15"/>
  <c r="X142" i="15"/>
  <c r="W142" i="15"/>
  <c r="V142" i="15"/>
  <c r="U142" i="15"/>
  <c r="T142" i="15"/>
  <c r="S142" i="15"/>
  <c r="Q142" i="15"/>
  <c r="O142" i="15"/>
  <c r="M142" i="15"/>
  <c r="K142" i="15"/>
  <c r="X141" i="15"/>
  <c r="W141" i="15"/>
  <c r="V141" i="15"/>
  <c r="U141" i="15"/>
  <c r="T141" i="15"/>
  <c r="S141" i="15"/>
  <c r="Q141" i="15"/>
  <c r="O141" i="15"/>
  <c r="M141" i="15"/>
  <c r="K141" i="15"/>
  <c r="X140" i="15"/>
  <c r="W140" i="15"/>
  <c r="V140" i="15"/>
  <c r="U140" i="15"/>
  <c r="T140" i="15"/>
  <c r="S140" i="15"/>
  <c r="Q140" i="15"/>
  <c r="O140" i="15"/>
  <c r="M140" i="15"/>
  <c r="K140" i="15"/>
  <c r="X139" i="15"/>
  <c r="W139" i="15"/>
  <c r="V139" i="15"/>
  <c r="U139" i="15"/>
  <c r="T139" i="15"/>
  <c r="S139" i="15"/>
  <c r="Q139" i="15"/>
  <c r="O139" i="15"/>
  <c r="M139" i="15"/>
  <c r="K139" i="15"/>
  <c r="X138" i="15"/>
  <c r="W138" i="15"/>
  <c r="V138" i="15"/>
  <c r="U138" i="15"/>
  <c r="T138" i="15"/>
  <c r="S138" i="15"/>
  <c r="Q138" i="15"/>
  <c r="O138" i="15"/>
  <c r="M138" i="15"/>
  <c r="K138" i="15"/>
  <c r="X137" i="15"/>
  <c r="W137" i="15"/>
  <c r="V137" i="15"/>
  <c r="U137" i="15"/>
  <c r="T137" i="15"/>
  <c r="S137" i="15"/>
  <c r="Q137" i="15"/>
  <c r="O137" i="15"/>
  <c r="M137" i="15"/>
  <c r="K137" i="15"/>
  <c r="X136" i="15"/>
  <c r="W136" i="15"/>
  <c r="V136" i="15"/>
  <c r="U136" i="15"/>
  <c r="T136" i="15"/>
  <c r="S136" i="15"/>
  <c r="Q136" i="15"/>
  <c r="O136" i="15"/>
  <c r="M136" i="15"/>
  <c r="K136" i="15"/>
  <c r="X135" i="15"/>
  <c r="W135" i="15"/>
  <c r="V135" i="15"/>
  <c r="U135" i="15"/>
  <c r="T135" i="15"/>
  <c r="S135" i="15"/>
  <c r="Q135" i="15"/>
  <c r="O135" i="15"/>
  <c r="M135" i="15"/>
  <c r="K135" i="15"/>
  <c r="X134" i="15"/>
  <c r="W134" i="15"/>
  <c r="V134" i="15"/>
  <c r="U134" i="15"/>
  <c r="T134" i="15"/>
  <c r="S134" i="15"/>
  <c r="Q134" i="15"/>
  <c r="O134" i="15"/>
  <c r="M134" i="15"/>
  <c r="K134" i="15"/>
  <c r="X133" i="15"/>
  <c r="W133" i="15"/>
  <c r="V133" i="15"/>
  <c r="U133" i="15"/>
  <c r="T133" i="15"/>
  <c r="S133" i="15"/>
  <c r="Q133" i="15"/>
  <c r="O133" i="15"/>
  <c r="M133" i="15"/>
  <c r="K133" i="15"/>
  <c r="X132" i="15"/>
  <c r="W132" i="15"/>
  <c r="V132" i="15"/>
  <c r="U132" i="15"/>
  <c r="T132" i="15"/>
  <c r="S132" i="15"/>
  <c r="Q132" i="15"/>
  <c r="O132" i="15"/>
  <c r="M132" i="15"/>
  <c r="K132" i="15"/>
  <c r="X131" i="15"/>
  <c r="W131" i="15"/>
  <c r="V131" i="15"/>
  <c r="U131" i="15"/>
  <c r="T131" i="15"/>
  <c r="S131" i="15"/>
  <c r="Q131" i="15"/>
  <c r="O131" i="15"/>
  <c r="M131" i="15"/>
  <c r="K131" i="15"/>
  <c r="X130" i="15"/>
  <c r="W130" i="15"/>
  <c r="V130" i="15"/>
  <c r="U130" i="15"/>
  <c r="T130" i="15"/>
  <c r="S130" i="15"/>
  <c r="Q130" i="15"/>
  <c r="O130" i="15"/>
  <c r="M130" i="15"/>
  <c r="K130" i="15"/>
  <c r="X129" i="15"/>
  <c r="W129" i="15"/>
  <c r="V129" i="15"/>
  <c r="U129" i="15"/>
  <c r="T129" i="15"/>
  <c r="S129" i="15"/>
  <c r="Q129" i="15"/>
  <c r="O129" i="15"/>
  <c r="M129" i="15"/>
  <c r="K129" i="15"/>
  <c r="X128" i="15"/>
  <c r="W128" i="15"/>
  <c r="V128" i="15"/>
  <c r="U128" i="15"/>
  <c r="T128" i="15"/>
  <c r="S128" i="15"/>
  <c r="Q128" i="15"/>
  <c r="O128" i="15"/>
  <c r="M128" i="15"/>
  <c r="K128" i="15"/>
  <c r="X127" i="15"/>
  <c r="W127" i="15"/>
  <c r="V127" i="15"/>
  <c r="U127" i="15"/>
  <c r="T127" i="15"/>
  <c r="S127" i="15"/>
  <c r="Q127" i="15"/>
  <c r="O127" i="15"/>
  <c r="M127" i="15"/>
  <c r="K127" i="15"/>
  <c r="X126" i="15"/>
  <c r="W126" i="15"/>
  <c r="V126" i="15"/>
  <c r="U126" i="15"/>
  <c r="T126" i="15"/>
  <c r="S126" i="15"/>
  <c r="Q126" i="15"/>
  <c r="O126" i="15"/>
  <c r="M126" i="15"/>
  <c r="K126" i="15"/>
  <c r="X125" i="15"/>
  <c r="W125" i="15"/>
  <c r="V125" i="15"/>
  <c r="U125" i="15"/>
  <c r="T125" i="15"/>
  <c r="S125" i="15"/>
  <c r="Q125" i="15"/>
  <c r="O125" i="15"/>
  <c r="M125" i="15"/>
  <c r="K125" i="15"/>
  <c r="X124" i="15"/>
  <c r="W124" i="15"/>
  <c r="V124" i="15"/>
  <c r="U124" i="15"/>
  <c r="T124" i="15"/>
  <c r="S124" i="15"/>
  <c r="Q124" i="15"/>
  <c r="O124" i="15"/>
  <c r="M124" i="15"/>
  <c r="K124" i="15"/>
  <c r="X123" i="15"/>
  <c r="W123" i="15"/>
  <c r="V123" i="15"/>
  <c r="U123" i="15"/>
  <c r="T123" i="15"/>
  <c r="S123" i="15"/>
  <c r="Q123" i="15"/>
  <c r="O123" i="15"/>
  <c r="M123" i="15"/>
  <c r="K123" i="15"/>
  <c r="X122" i="15"/>
  <c r="W122" i="15"/>
  <c r="V122" i="15"/>
  <c r="U122" i="15"/>
  <c r="T122" i="15"/>
  <c r="S122" i="15"/>
  <c r="Q122" i="15"/>
  <c r="O122" i="15"/>
  <c r="M122" i="15"/>
  <c r="K122" i="15"/>
  <c r="X121" i="15"/>
  <c r="W121" i="15"/>
  <c r="V121" i="15"/>
  <c r="U121" i="15"/>
  <c r="T121" i="15"/>
  <c r="S121" i="15"/>
  <c r="Q121" i="15"/>
  <c r="O121" i="15"/>
  <c r="M121" i="15"/>
  <c r="K121" i="15"/>
  <c r="X120" i="15"/>
  <c r="W120" i="15"/>
  <c r="V120" i="15"/>
  <c r="U120" i="15"/>
  <c r="T120" i="15"/>
  <c r="S120" i="15"/>
  <c r="Q120" i="15"/>
  <c r="O120" i="15"/>
  <c r="M120" i="15"/>
  <c r="K120" i="15"/>
  <c r="X119" i="15"/>
  <c r="W119" i="15"/>
  <c r="V119" i="15"/>
  <c r="U119" i="15"/>
  <c r="T119" i="15"/>
  <c r="S119" i="15"/>
  <c r="Q119" i="15"/>
  <c r="O119" i="15"/>
  <c r="M119" i="15"/>
  <c r="K119" i="15"/>
  <c r="X118" i="15"/>
  <c r="W118" i="15"/>
  <c r="V118" i="15"/>
  <c r="U118" i="15"/>
  <c r="T118" i="15"/>
  <c r="S118" i="15"/>
  <c r="Q118" i="15"/>
  <c r="O118" i="15"/>
  <c r="M118" i="15"/>
  <c r="K118" i="15"/>
  <c r="X117" i="15"/>
  <c r="W117" i="15"/>
  <c r="V117" i="15"/>
  <c r="U117" i="15"/>
  <c r="T117" i="15"/>
  <c r="S117" i="15"/>
  <c r="Q117" i="15"/>
  <c r="O117" i="15"/>
  <c r="M117" i="15"/>
  <c r="K117" i="15"/>
  <c r="X116" i="15"/>
  <c r="W116" i="15"/>
  <c r="V116" i="15"/>
  <c r="U116" i="15"/>
  <c r="T116" i="15"/>
  <c r="S116" i="15"/>
  <c r="Q116" i="15"/>
  <c r="O116" i="15"/>
  <c r="M116" i="15"/>
  <c r="K116" i="15"/>
  <c r="X115" i="15"/>
  <c r="W115" i="15"/>
  <c r="V115" i="15"/>
  <c r="U115" i="15"/>
  <c r="T115" i="15"/>
  <c r="S115" i="15"/>
  <c r="Q115" i="15"/>
  <c r="O115" i="15"/>
  <c r="M115" i="15"/>
  <c r="K115" i="15"/>
  <c r="X114" i="15"/>
  <c r="W114" i="15"/>
  <c r="V114" i="15"/>
  <c r="U114" i="15"/>
  <c r="T114" i="15"/>
  <c r="S114" i="15"/>
  <c r="Q114" i="15"/>
  <c r="O114" i="15"/>
  <c r="M114" i="15"/>
  <c r="K114" i="15"/>
  <c r="X113" i="15"/>
  <c r="W113" i="15"/>
  <c r="V113" i="15"/>
  <c r="U113" i="15"/>
  <c r="T113" i="15"/>
  <c r="S113" i="15"/>
  <c r="Q113" i="15"/>
  <c r="O113" i="15"/>
  <c r="M113" i="15"/>
  <c r="K113" i="15"/>
  <c r="X112" i="15"/>
  <c r="W112" i="15"/>
  <c r="V112" i="15"/>
  <c r="U112" i="15"/>
  <c r="T112" i="15"/>
  <c r="S112" i="15"/>
  <c r="Q112" i="15"/>
  <c r="O112" i="15"/>
  <c r="M112" i="15"/>
  <c r="K112" i="15"/>
  <c r="X111" i="15"/>
  <c r="W111" i="15"/>
  <c r="V111" i="15"/>
  <c r="U111" i="15"/>
  <c r="T111" i="15"/>
  <c r="S111" i="15"/>
  <c r="Q111" i="15"/>
  <c r="O111" i="15"/>
  <c r="M111" i="15"/>
  <c r="K111" i="15"/>
  <c r="X110" i="15"/>
  <c r="W110" i="15"/>
  <c r="V110" i="15"/>
  <c r="U110" i="15"/>
  <c r="T110" i="15"/>
  <c r="S110" i="15"/>
  <c r="Q110" i="15"/>
  <c r="O110" i="15"/>
  <c r="M110" i="15"/>
  <c r="K110" i="15"/>
  <c r="X109" i="15"/>
  <c r="W109" i="15"/>
  <c r="V109" i="15"/>
  <c r="U109" i="15"/>
  <c r="T109" i="15"/>
  <c r="S109" i="15"/>
  <c r="Q109" i="15"/>
  <c r="O109" i="15"/>
  <c r="M109" i="15"/>
  <c r="K109" i="15"/>
  <c r="X108" i="15"/>
  <c r="W108" i="15"/>
  <c r="V108" i="15"/>
  <c r="U108" i="15"/>
  <c r="T108" i="15"/>
  <c r="S108" i="15"/>
  <c r="Q108" i="15"/>
  <c r="O108" i="15"/>
  <c r="M108" i="15"/>
  <c r="K108" i="15"/>
  <c r="X107" i="15"/>
  <c r="W107" i="15"/>
  <c r="V107" i="15"/>
  <c r="U107" i="15"/>
  <c r="T107" i="15"/>
  <c r="S107" i="15"/>
  <c r="Q107" i="15"/>
  <c r="O107" i="15"/>
  <c r="M107" i="15"/>
  <c r="K107" i="15"/>
  <c r="X106" i="15"/>
  <c r="W106" i="15"/>
  <c r="V106" i="15"/>
  <c r="U106" i="15"/>
  <c r="T106" i="15"/>
  <c r="S106" i="15"/>
  <c r="Q106" i="15"/>
  <c r="O106" i="15"/>
  <c r="M106" i="15"/>
  <c r="K106" i="15"/>
  <c r="X105" i="15"/>
  <c r="W105" i="15"/>
  <c r="V105" i="15"/>
  <c r="U105" i="15"/>
  <c r="T105" i="15"/>
  <c r="S105" i="15"/>
  <c r="Q105" i="15"/>
  <c r="O105" i="15"/>
  <c r="M105" i="15"/>
  <c r="K105" i="15"/>
  <c r="X104" i="15"/>
  <c r="W104" i="15"/>
  <c r="V104" i="15"/>
  <c r="U104" i="15"/>
  <c r="T104" i="15"/>
  <c r="S104" i="15"/>
  <c r="Q104" i="15"/>
  <c r="O104" i="15"/>
  <c r="M104" i="15"/>
  <c r="K104" i="15"/>
  <c r="X103" i="15"/>
  <c r="W103" i="15"/>
  <c r="V103" i="15"/>
  <c r="U103" i="15"/>
  <c r="T103" i="15"/>
  <c r="S103" i="15"/>
  <c r="Q103" i="15"/>
  <c r="O103" i="15"/>
  <c r="M103" i="15"/>
  <c r="K103" i="15"/>
  <c r="X102" i="15"/>
  <c r="W102" i="15"/>
  <c r="V102" i="15"/>
  <c r="U102" i="15"/>
  <c r="T102" i="15"/>
  <c r="S102" i="15"/>
  <c r="Q102" i="15"/>
  <c r="O102" i="15"/>
  <c r="M102" i="15"/>
  <c r="K102" i="15"/>
  <c r="X101" i="15"/>
  <c r="W101" i="15"/>
  <c r="V101" i="15"/>
  <c r="U101" i="15"/>
  <c r="T101" i="15"/>
  <c r="S101" i="15"/>
  <c r="Q101" i="15"/>
  <c r="O101" i="15"/>
  <c r="M101" i="15"/>
  <c r="K101" i="15"/>
  <c r="X100" i="15"/>
  <c r="W100" i="15"/>
  <c r="V100" i="15"/>
  <c r="U100" i="15"/>
  <c r="T100" i="15"/>
  <c r="S100" i="15"/>
  <c r="Q100" i="15"/>
  <c r="O100" i="15"/>
  <c r="M100" i="15"/>
  <c r="K100" i="15"/>
  <c r="X99" i="15"/>
  <c r="W99" i="15"/>
  <c r="V99" i="15"/>
  <c r="U99" i="15"/>
  <c r="T99" i="15"/>
  <c r="S99" i="15"/>
  <c r="Q99" i="15"/>
  <c r="O99" i="15"/>
  <c r="M99" i="15"/>
  <c r="K99" i="15"/>
  <c r="X98" i="15"/>
  <c r="W98" i="15"/>
  <c r="V98" i="15"/>
  <c r="U98" i="15"/>
  <c r="T98" i="15"/>
  <c r="S98" i="15"/>
  <c r="Q98" i="15"/>
  <c r="O98" i="15"/>
  <c r="M98" i="15"/>
  <c r="K98" i="15"/>
  <c r="X97" i="15"/>
  <c r="W97" i="15"/>
  <c r="V97" i="15"/>
  <c r="U97" i="15"/>
  <c r="T97" i="15"/>
  <c r="S97" i="15"/>
  <c r="Q97" i="15"/>
  <c r="O97" i="15"/>
  <c r="M97" i="15"/>
  <c r="K97" i="15"/>
  <c r="X96" i="15"/>
  <c r="W96" i="15"/>
  <c r="V96" i="15"/>
  <c r="U96" i="15"/>
  <c r="T96" i="15"/>
  <c r="S96" i="15"/>
  <c r="Q96" i="15"/>
  <c r="O96" i="15"/>
  <c r="M96" i="15"/>
  <c r="K96" i="15"/>
  <c r="X95" i="15"/>
  <c r="W95" i="15"/>
  <c r="V95" i="15"/>
  <c r="U95" i="15"/>
  <c r="T95" i="15"/>
  <c r="S95" i="15"/>
  <c r="Q95" i="15"/>
  <c r="O95" i="15"/>
  <c r="M95" i="15"/>
  <c r="K95" i="15"/>
  <c r="X94" i="15"/>
  <c r="W94" i="15"/>
  <c r="V94" i="15"/>
  <c r="U94" i="15"/>
  <c r="T94" i="15"/>
  <c r="S94" i="15"/>
  <c r="Q94" i="15"/>
  <c r="O94" i="15"/>
  <c r="M94" i="15"/>
  <c r="K94" i="15"/>
  <c r="X93" i="15"/>
  <c r="W93" i="15"/>
  <c r="V93" i="15"/>
  <c r="U93" i="15"/>
  <c r="T93" i="15"/>
  <c r="S93" i="15"/>
  <c r="Q93" i="15"/>
  <c r="O93" i="15"/>
  <c r="M93" i="15"/>
  <c r="K93" i="15"/>
  <c r="X92" i="15"/>
  <c r="W92" i="15"/>
  <c r="V92" i="15"/>
  <c r="U92" i="15"/>
  <c r="T92" i="15"/>
  <c r="S92" i="15"/>
  <c r="Q92" i="15"/>
  <c r="O92" i="15"/>
  <c r="M92" i="15"/>
  <c r="K92" i="15"/>
  <c r="X91" i="15"/>
  <c r="W91" i="15"/>
  <c r="V91" i="15"/>
  <c r="U91" i="15"/>
  <c r="T91" i="15"/>
  <c r="S91" i="15"/>
  <c r="Q91" i="15"/>
  <c r="O91" i="15"/>
  <c r="M91" i="15"/>
  <c r="K91" i="15"/>
  <c r="X90" i="15"/>
  <c r="W90" i="15"/>
  <c r="V90" i="15"/>
  <c r="U90" i="15"/>
  <c r="T90" i="15"/>
  <c r="S90" i="15"/>
  <c r="Q90" i="15"/>
  <c r="O90" i="15"/>
  <c r="M90" i="15"/>
  <c r="K90" i="15"/>
  <c r="X89" i="15"/>
  <c r="W89" i="15"/>
  <c r="V89" i="15"/>
  <c r="U89" i="15"/>
  <c r="T89" i="15"/>
  <c r="S89" i="15"/>
  <c r="Q89" i="15"/>
  <c r="O89" i="15"/>
  <c r="M89" i="15"/>
  <c r="K89" i="15"/>
  <c r="X88" i="15"/>
  <c r="W88" i="15"/>
  <c r="V88" i="15"/>
  <c r="U88" i="15"/>
  <c r="T88" i="15"/>
  <c r="S88" i="15"/>
  <c r="Q88" i="15"/>
  <c r="O88" i="15"/>
  <c r="M88" i="15"/>
  <c r="K88" i="15"/>
  <c r="X87" i="15"/>
  <c r="W87" i="15"/>
  <c r="V87" i="15"/>
  <c r="U87" i="15"/>
  <c r="T87" i="15"/>
  <c r="S87" i="15"/>
  <c r="Q87" i="15"/>
  <c r="O87" i="15"/>
  <c r="M87" i="15"/>
  <c r="K87" i="15"/>
  <c r="X86" i="15"/>
  <c r="W86" i="15"/>
  <c r="V86" i="15"/>
  <c r="U86" i="15"/>
  <c r="T86" i="15"/>
  <c r="S86" i="15"/>
  <c r="Q86" i="15"/>
  <c r="O86" i="15"/>
  <c r="M86" i="15"/>
  <c r="K86" i="15"/>
  <c r="X85" i="15"/>
  <c r="W85" i="15"/>
  <c r="V85" i="15"/>
  <c r="U85" i="15"/>
  <c r="T85" i="15"/>
  <c r="S85" i="15"/>
  <c r="Q85" i="15"/>
  <c r="O85" i="15"/>
  <c r="M85" i="15"/>
  <c r="K85" i="15"/>
  <c r="X84" i="15"/>
  <c r="W84" i="15"/>
  <c r="V84" i="15"/>
  <c r="U84" i="15"/>
  <c r="T84" i="15"/>
  <c r="S84" i="15"/>
  <c r="Q84" i="15"/>
  <c r="O84" i="15"/>
  <c r="M84" i="15"/>
  <c r="K84" i="15"/>
  <c r="X83" i="15"/>
  <c r="W83" i="15"/>
  <c r="V83" i="15"/>
  <c r="U83" i="15"/>
  <c r="T83" i="15"/>
  <c r="S83" i="15"/>
  <c r="Q83" i="15"/>
  <c r="O83" i="15"/>
  <c r="M83" i="15"/>
  <c r="K83" i="15"/>
  <c r="X82" i="15"/>
  <c r="W82" i="15"/>
  <c r="V82" i="15"/>
  <c r="U82" i="15"/>
  <c r="T82" i="15"/>
  <c r="S82" i="15"/>
  <c r="Q82" i="15"/>
  <c r="O82" i="15"/>
  <c r="M82" i="15"/>
  <c r="K82" i="15"/>
  <c r="X81" i="15"/>
  <c r="W81" i="15"/>
  <c r="V81" i="15"/>
  <c r="U81" i="15"/>
  <c r="T81" i="15"/>
  <c r="S81" i="15"/>
  <c r="Q81" i="15"/>
  <c r="O81" i="15"/>
  <c r="M81" i="15"/>
  <c r="K81" i="15"/>
  <c r="X80" i="15"/>
  <c r="W80" i="15"/>
  <c r="V80" i="15"/>
  <c r="U80" i="15"/>
  <c r="T80" i="15"/>
  <c r="S80" i="15"/>
  <c r="Q80" i="15"/>
  <c r="O80" i="15"/>
  <c r="M80" i="15"/>
  <c r="K80" i="15"/>
  <c r="X79" i="15"/>
  <c r="W79" i="15"/>
  <c r="V79" i="15"/>
  <c r="U79" i="15"/>
  <c r="T79" i="15"/>
  <c r="S79" i="15"/>
  <c r="Q79" i="15"/>
  <c r="O79" i="15"/>
  <c r="M79" i="15"/>
  <c r="K79" i="15"/>
  <c r="X78" i="15"/>
  <c r="W78" i="15"/>
  <c r="V78" i="15"/>
  <c r="U78" i="15"/>
  <c r="T78" i="15"/>
  <c r="S78" i="15"/>
  <c r="Q78" i="15"/>
  <c r="O78" i="15"/>
  <c r="M78" i="15"/>
  <c r="K78" i="15"/>
  <c r="X77" i="15"/>
  <c r="W77" i="15"/>
  <c r="V77" i="15"/>
  <c r="U77" i="15"/>
  <c r="T77" i="15"/>
  <c r="S77" i="15"/>
  <c r="Q77" i="15"/>
  <c r="O77" i="15"/>
  <c r="M77" i="15"/>
  <c r="K77" i="15"/>
  <c r="X76" i="15"/>
  <c r="W76" i="15"/>
  <c r="V76" i="15"/>
  <c r="U76" i="15"/>
  <c r="T76" i="15"/>
  <c r="S76" i="15"/>
  <c r="Q76" i="15"/>
  <c r="O76" i="15"/>
  <c r="M76" i="15"/>
  <c r="K76" i="15"/>
  <c r="X75" i="15"/>
  <c r="W75" i="15"/>
  <c r="V75" i="15"/>
  <c r="U75" i="15"/>
  <c r="T75" i="15"/>
  <c r="S75" i="15"/>
  <c r="Q75" i="15"/>
  <c r="O75" i="15"/>
  <c r="M75" i="15"/>
  <c r="K75" i="15"/>
  <c r="X74" i="15"/>
  <c r="W74" i="15"/>
  <c r="V74" i="15"/>
  <c r="U74" i="15"/>
  <c r="T74" i="15"/>
  <c r="S74" i="15"/>
  <c r="Q74" i="15"/>
  <c r="O74" i="15"/>
  <c r="M74" i="15"/>
  <c r="K74" i="15"/>
  <c r="X73" i="15"/>
  <c r="W73" i="15"/>
  <c r="V73" i="15"/>
  <c r="U73" i="15"/>
  <c r="T73" i="15"/>
  <c r="S73" i="15"/>
  <c r="Q73" i="15"/>
  <c r="O73" i="15"/>
  <c r="M73" i="15"/>
  <c r="K73" i="15"/>
  <c r="X72" i="15"/>
  <c r="W72" i="15"/>
  <c r="V72" i="15"/>
  <c r="U72" i="15"/>
  <c r="T72" i="15"/>
  <c r="S72" i="15"/>
  <c r="Q72" i="15"/>
  <c r="O72" i="15"/>
  <c r="M72" i="15"/>
  <c r="K72" i="15"/>
  <c r="X71" i="15"/>
  <c r="W71" i="15"/>
  <c r="V71" i="15"/>
  <c r="U71" i="15"/>
  <c r="T71" i="15"/>
  <c r="S71" i="15"/>
  <c r="Q71" i="15"/>
  <c r="O71" i="15"/>
  <c r="M71" i="15"/>
  <c r="K71" i="15"/>
  <c r="X70" i="15"/>
  <c r="W70" i="15"/>
  <c r="V70" i="15"/>
  <c r="U70" i="15"/>
  <c r="T70" i="15"/>
  <c r="S70" i="15"/>
  <c r="Q70" i="15"/>
  <c r="O70" i="15"/>
  <c r="M70" i="15"/>
  <c r="K70" i="15"/>
  <c r="X69" i="15"/>
  <c r="W69" i="15"/>
  <c r="V69" i="15"/>
  <c r="U69" i="15"/>
  <c r="T69" i="15"/>
  <c r="S69" i="15"/>
  <c r="Q69" i="15"/>
  <c r="O69" i="15"/>
  <c r="M69" i="15"/>
  <c r="K69" i="15"/>
  <c r="X68" i="15"/>
  <c r="W68" i="15"/>
  <c r="V68" i="15"/>
  <c r="U68" i="15"/>
  <c r="T68" i="15"/>
  <c r="S68" i="15"/>
  <c r="Q68" i="15"/>
  <c r="O68" i="15"/>
  <c r="M68" i="15"/>
  <c r="K68" i="15"/>
  <c r="X67" i="15"/>
  <c r="W67" i="15"/>
  <c r="V67" i="15"/>
  <c r="U67" i="15"/>
  <c r="T67" i="15"/>
  <c r="S67" i="15"/>
  <c r="Q67" i="15"/>
  <c r="O67" i="15"/>
  <c r="M67" i="15"/>
  <c r="K67" i="15"/>
  <c r="X66" i="15"/>
  <c r="W66" i="15"/>
  <c r="V66" i="15"/>
  <c r="U66" i="15"/>
  <c r="T66" i="15"/>
  <c r="S66" i="15"/>
  <c r="Q66" i="15"/>
  <c r="O66" i="15"/>
  <c r="M66" i="15"/>
  <c r="K66" i="15"/>
  <c r="X65" i="15"/>
  <c r="W65" i="15"/>
  <c r="V65" i="15"/>
  <c r="U65" i="15"/>
  <c r="T65" i="15"/>
  <c r="S65" i="15"/>
  <c r="Q65" i="15"/>
  <c r="O65" i="15"/>
  <c r="M65" i="15"/>
  <c r="K65" i="15"/>
  <c r="X64" i="15"/>
  <c r="W64" i="15"/>
  <c r="V64" i="15"/>
  <c r="U64" i="15"/>
  <c r="T64" i="15"/>
  <c r="S64" i="15"/>
  <c r="Q64" i="15"/>
  <c r="O64" i="15"/>
  <c r="M64" i="15"/>
  <c r="K64" i="15"/>
  <c r="X63" i="15"/>
  <c r="W63" i="15"/>
  <c r="V63" i="15"/>
  <c r="U63" i="15"/>
  <c r="T63" i="15"/>
  <c r="S63" i="15"/>
  <c r="Q63" i="15"/>
  <c r="O63" i="15"/>
  <c r="M63" i="15"/>
  <c r="K63" i="15"/>
  <c r="X62" i="15"/>
  <c r="W62" i="15"/>
  <c r="V62" i="15"/>
  <c r="U62" i="15"/>
  <c r="T62" i="15"/>
  <c r="S62" i="15"/>
  <c r="Q62" i="15"/>
  <c r="O62" i="15"/>
  <c r="M62" i="15"/>
  <c r="K62" i="15"/>
  <c r="X61" i="15"/>
  <c r="W61" i="15"/>
  <c r="V61" i="15"/>
  <c r="U61" i="15"/>
  <c r="T61" i="15"/>
  <c r="S61" i="15"/>
  <c r="Q61" i="15"/>
  <c r="O61" i="15"/>
  <c r="M61" i="15"/>
  <c r="K61" i="15"/>
  <c r="X60" i="15"/>
  <c r="W60" i="15"/>
  <c r="V60" i="15"/>
  <c r="U60" i="15"/>
  <c r="T60" i="15"/>
  <c r="S60" i="15"/>
  <c r="Q60" i="15"/>
  <c r="O60" i="15"/>
  <c r="M60" i="15"/>
  <c r="K60" i="15"/>
  <c r="X59" i="15"/>
  <c r="W59" i="15"/>
  <c r="V59" i="15"/>
  <c r="U59" i="15"/>
  <c r="T59" i="15"/>
  <c r="S59" i="15"/>
  <c r="Q59" i="15"/>
  <c r="O59" i="15"/>
  <c r="M59" i="15"/>
  <c r="K59" i="15"/>
  <c r="X58" i="15"/>
  <c r="W58" i="15"/>
  <c r="V58" i="15"/>
  <c r="U58" i="15"/>
  <c r="T58" i="15"/>
  <c r="S58" i="15"/>
  <c r="Q58" i="15"/>
  <c r="O58" i="15"/>
  <c r="M58" i="15"/>
  <c r="K58" i="15"/>
  <c r="X57" i="15"/>
  <c r="W57" i="15"/>
  <c r="V57" i="15"/>
  <c r="U57" i="15"/>
  <c r="T57" i="15"/>
  <c r="S57" i="15"/>
  <c r="Q57" i="15"/>
  <c r="O57" i="15"/>
  <c r="M57" i="15"/>
  <c r="K57" i="15"/>
  <c r="X56" i="15"/>
  <c r="W56" i="15"/>
  <c r="V56" i="15"/>
  <c r="U56" i="15"/>
  <c r="T56" i="15"/>
  <c r="S56" i="15"/>
  <c r="Q56" i="15"/>
  <c r="O56" i="15"/>
  <c r="M56" i="15"/>
  <c r="K56" i="15"/>
  <c r="X55" i="15"/>
  <c r="W55" i="15"/>
  <c r="V55" i="15"/>
  <c r="U55" i="15"/>
  <c r="T55" i="15"/>
  <c r="S55" i="15"/>
  <c r="Q55" i="15"/>
  <c r="O55" i="15"/>
  <c r="M55" i="15"/>
  <c r="K55" i="15"/>
  <c r="X54" i="15"/>
  <c r="W54" i="15"/>
  <c r="V54" i="15"/>
  <c r="U54" i="15"/>
  <c r="T54" i="15"/>
  <c r="S54" i="15"/>
  <c r="Q54" i="15"/>
  <c r="O54" i="15"/>
  <c r="M54" i="15"/>
  <c r="K54" i="15"/>
  <c r="X53" i="15"/>
  <c r="W53" i="15"/>
  <c r="V53" i="15"/>
  <c r="U53" i="15"/>
  <c r="T53" i="15"/>
  <c r="S53" i="15"/>
  <c r="Q53" i="15"/>
  <c r="O53" i="15"/>
  <c r="M53" i="15"/>
  <c r="K53" i="15"/>
  <c r="X52" i="15"/>
  <c r="W52" i="15"/>
  <c r="V52" i="15"/>
  <c r="U52" i="15"/>
  <c r="T52" i="15"/>
  <c r="S52" i="15"/>
  <c r="Q52" i="15"/>
  <c r="O52" i="15"/>
  <c r="M52" i="15"/>
  <c r="K52" i="15"/>
  <c r="X51" i="15"/>
  <c r="W51" i="15"/>
  <c r="V51" i="15"/>
  <c r="U51" i="15"/>
  <c r="T51" i="15"/>
  <c r="S51" i="15"/>
  <c r="Q51" i="15"/>
  <c r="O51" i="15"/>
  <c r="M51" i="15"/>
  <c r="K51" i="15"/>
  <c r="X50" i="15"/>
  <c r="W50" i="15"/>
  <c r="V50" i="15"/>
  <c r="U50" i="15"/>
  <c r="T50" i="15"/>
  <c r="S50" i="15"/>
  <c r="Q50" i="15"/>
  <c r="O50" i="15"/>
  <c r="M50" i="15"/>
  <c r="K50" i="15"/>
  <c r="X49" i="15"/>
  <c r="W49" i="15"/>
  <c r="V49" i="15"/>
  <c r="U49" i="15"/>
  <c r="T49" i="15"/>
  <c r="S49" i="15"/>
  <c r="Q49" i="15"/>
  <c r="O49" i="15"/>
  <c r="M49" i="15"/>
  <c r="K49" i="15"/>
  <c r="X48" i="15"/>
  <c r="W48" i="15"/>
  <c r="V48" i="15"/>
  <c r="U48" i="15"/>
  <c r="T48" i="15"/>
  <c r="S48" i="15"/>
  <c r="Q48" i="15"/>
  <c r="O48" i="15"/>
  <c r="M48" i="15"/>
  <c r="K48" i="15"/>
  <c r="X47" i="15"/>
  <c r="W47" i="15"/>
  <c r="V47" i="15"/>
  <c r="U47" i="15"/>
  <c r="T47" i="15"/>
  <c r="S47" i="15"/>
  <c r="Q47" i="15"/>
  <c r="O47" i="15"/>
  <c r="M47" i="15"/>
  <c r="K47" i="15"/>
  <c r="X46" i="15"/>
  <c r="W46" i="15"/>
  <c r="V46" i="15"/>
  <c r="U46" i="15"/>
  <c r="T46" i="15"/>
  <c r="S46" i="15"/>
  <c r="Q46" i="15"/>
  <c r="O46" i="15"/>
  <c r="M46" i="15"/>
  <c r="K46" i="15"/>
  <c r="X45" i="15"/>
  <c r="W45" i="15"/>
  <c r="V45" i="15"/>
  <c r="U45" i="15"/>
  <c r="T45" i="15"/>
  <c r="S45" i="15"/>
  <c r="Q45" i="15"/>
  <c r="O45" i="15"/>
  <c r="M45" i="15"/>
  <c r="K45" i="15"/>
  <c r="X44" i="15"/>
  <c r="W44" i="15"/>
  <c r="V44" i="15"/>
  <c r="U44" i="15"/>
  <c r="T44" i="15"/>
  <c r="S44" i="15"/>
  <c r="Q44" i="15"/>
  <c r="O44" i="15"/>
  <c r="M44" i="15"/>
  <c r="K44" i="15"/>
  <c r="X43" i="15"/>
  <c r="W43" i="15"/>
  <c r="V43" i="15"/>
  <c r="U43" i="15"/>
  <c r="T43" i="15"/>
  <c r="S43" i="15"/>
  <c r="Q43" i="15"/>
  <c r="O43" i="15"/>
  <c r="M43" i="15"/>
  <c r="K43" i="15"/>
  <c r="X42" i="15"/>
  <c r="W42" i="15"/>
  <c r="V42" i="15"/>
  <c r="U42" i="15"/>
  <c r="T42" i="15"/>
  <c r="S42" i="15"/>
  <c r="Q42" i="15"/>
  <c r="O42" i="15"/>
  <c r="M42" i="15"/>
  <c r="K42" i="15"/>
  <c r="X41" i="15"/>
  <c r="W41" i="15"/>
  <c r="V41" i="15"/>
  <c r="U41" i="15"/>
  <c r="T41" i="15"/>
  <c r="S41" i="15"/>
  <c r="Q41" i="15"/>
  <c r="O41" i="15"/>
  <c r="M41" i="15"/>
  <c r="K41" i="15"/>
  <c r="X40" i="15"/>
  <c r="W40" i="15"/>
  <c r="V40" i="15"/>
  <c r="U40" i="15"/>
  <c r="T40" i="15"/>
  <c r="S40" i="15"/>
  <c r="Q40" i="15"/>
  <c r="O40" i="15"/>
  <c r="M40" i="15"/>
  <c r="K40" i="15"/>
  <c r="X39" i="15"/>
  <c r="W39" i="15"/>
  <c r="V39" i="15"/>
  <c r="U39" i="15"/>
  <c r="T39" i="15"/>
  <c r="S39" i="15"/>
  <c r="Q39" i="15"/>
  <c r="O39" i="15"/>
  <c r="M39" i="15"/>
  <c r="K39" i="15"/>
  <c r="X38" i="15"/>
  <c r="W38" i="15"/>
  <c r="V38" i="15"/>
  <c r="U38" i="15"/>
  <c r="T38" i="15"/>
  <c r="S38" i="15"/>
  <c r="Q38" i="15"/>
  <c r="O38" i="15"/>
  <c r="M38" i="15"/>
  <c r="K38" i="15"/>
  <c r="X37" i="15"/>
  <c r="W37" i="15"/>
  <c r="V37" i="15"/>
  <c r="U37" i="15"/>
  <c r="T37" i="15"/>
  <c r="S37" i="15"/>
  <c r="Q37" i="15"/>
  <c r="O37" i="15"/>
  <c r="M37" i="15"/>
  <c r="K37" i="15"/>
  <c r="X36" i="15"/>
  <c r="W36" i="15"/>
  <c r="V36" i="15"/>
  <c r="U36" i="15"/>
  <c r="T36" i="15"/>
  <c r="S36" i="15"/>
  <c r="Q36" i="15"/>
  <c r="O36" i="15"/>
  <c r="M36" i="15"/>
  <c r="K36" i="15"/>
  <c r="X35" i="15"/>
  <c r="W35" i="15"/>
  <c r="V35" i="15"/>
  <c r="U35" i="15"/>
  <c r="T35" i="15"/>
  <c r="S35" i="15"/>
  <c r="Q35" i="15"/>
  <c r="O35" i="15"/>
  <c r="M35" i="15"/>
  <c r="K35" i="15"/>
  <c r="X34" i="15"/>
  <c r="W34" i="15"/>
  <c r="V34" i="15"/>
  <c r="U34" i="15"/>
  <c r="T34" i="15"/>
  <c r="S34" i="15"/>
  <c r="Q34" i="15"/>
  <c r="O34" i="15"/>
  <c r="M34" i="15"/>
  <c r="K34" i="15"/>
  <c r="X33" i="15"/>
  <c r="W33" i="15"/>
  <c r="V33" i="15"/>
  <c r="U33" i="15"/>
  <c r="T33" i="15"/>
  <c r="S33" i="15"/>
  <c r="Q33" i="15"/>
  <c r="O33" i="15"/>
  <c r="M33" i="15"/>
  <c r="K33" i="15"/>
  <c r="X32" i="15"/>
  <c r="W32" i="15"/>
  <c r="V32" i="15"/>
  <c r="U32" i="15"/>
  <c r="T32" i="15"/>
  <c r="S32" i="15"/>
  <c r="Q32" i="15"/>
  <c r="O32" i="15"/>
  <c r="M32" i="15"/>
  <c r="K32" i="15"/>
  <c r="X31" i="15"/>
  <c r="W31" i="15"/>
  <c r="V31" i="15"/>
  <c r="U31" i="15"/>
  <c r="T31" i="15"/>
  <c r="S31" i="15"/>
  <c r="Q31" i="15"/>
  <c r="O31" i="15"/>
  <c r="M31" i="15"/>
  <c r="K31" i="15"/>
  <c r="X30" i="15"/>
  <c r="W30" i="15"/>
  <c r="V30" i="15"/>
  <c r="U30" i="15"/>
  <c r="T30" i="15"/>
  <c r="S30" i="15"/>
  <c r="Q30" i="15"/>
  <c r="O30" i="15"/>
  <c r="M30" i="15"/>
  <c r="K30" i="15"/>
  <c r="X29" i="15"/>
  <c r="W29" i="15"/>
  <c r="V29" i="15"/>
  <c r="U29" i="15"/>
  <c r="T29" i="15"/>
  <c r="S29" i="15"/>
  <c r="Q29" i="15"/>
  <c r="O29" i="15"/>
  <c r="M29" i="15"/>
  <c r="K29" i="15"/>
  <c r="X28" i="15"/>
  <c r="W28" i="15"/>
  <c r="V28" i="15"/>
  <c r="U28" i="15"/>
  <c r="T28" i="15"/>
  <c r="S28" i="15"/>
  <c r="Q28" i="15"/>
  <c r="O28" i="15"/>
  <c r="M28" i="15"/>
  <c r="K28" i="15"/>
  <c r="X27" i="15"/>
  <c r="W27" i="15"/>
  <c r="V27" i="15"/>
  <c r="U27" i="15"/>
  <c r="T27" i="15"/>
  <c r="S27" i="15"/>
  <c r="Q27" i="15"/>
  <c r="O27" i="15"/>
  <c r="M27" i="15"/>
  <c r="K27" i="15"/>
  <c r="X26" i="15"/>
  <c r="W26" i="15"/>
  <c r="V26" i="15"/>
  <c r="U26" i="15"/>
  <c r="T26" i="15"/>
  <c r="S26" i="15"/>
  <c r="Q26" i="15"/>
  <c r="O26" i="15"/>
  <c r="M26" i="15"/>
  <c r="K26" i="15"/>
  <c r="X25" i="15"/>
  <c r="W25" i="15"/>
  <c r="V25" i="15"/>
  <c r="U25" i="15"/>
  <c r="T25" i="15"/>
  <c r="S25" i="15"/>
  <c r="Q25" i="15"/>
  <c r="O25" i="15"/>
  <c r="M25" i="15"/>
  <c r="K25" i="15"/>
  <c r="X24" i="15"/>
  <c r="W24" i="15"/>
  <c r="V24" i="15"/>
  <c r="U24" i="15"/>
  <c r="T24" i="15"/>
  <c r="S24" i="15"/>
  <c r="Q24" i="15"/>
  <c r="O24" i="15"/>
  <c r="M24" i="15"/>
  <c r="K24" i="15"/>
  <c r="X23" i="15"/>
  <c r="W23" i="15"/>
  <c r="V23" i="15"/>
  <c r="U23" i="15"/>
  <c r="T23" i="15"/>
  <c r="S23" i="15"/>
  <c r="Q23" i="15"/>
  <c r="O23" i="15"/>
  <c r="M23" i="15"/>
  <c r="K23" i="15"/>
  <c r="X22" i="15"/>
  <c r="W22" i="15"/>
  <c r="V22" i="15"/>
  <c r="U22" i="15"/>
  <c r="T22" i="15"/>
  <c r="S22" i="15"/>
  <c r="Q22" i="15"/>
  <c r="O22" i="15"/>
  <c r="M22" i="15"/>
  <c r="K22" i="15"/>
  <c r="X21" i="15"/>
  <c r="W21" i="15"/>
  <c r="V21" i="15"/>
  <c r="U21" i="15"/>
  <c r="T21" i="15"/>
  <c r="S21" i="15"/>
  <c r="Q21" i="15"/>
  <c r="O21" i="15"/>
  <c r="M21" i="15"/>
  <c r="K21" i="15"/>
  <c r="X20" i="15"/>
  <c r="W20" i="15"/>
  <c r="V20" i="15"/>
  <c r="U20" i="15"/>
  <c r="T20" i="15"/>
  <c r="S20" i="15"/>
  <c r="Q20" i="15"/>
  <c r="O20" i="15"/>
  <c r="M20" i="15"/>
  <c r="K20" i="15"/>
  <c r="X19" i="15"/>
  <c r="W19" i="15"/>
  <c r="V19" i="15"/>
  <c r="U19" i="15"/>
  <c r="T19" i="15"/>
  <c r="S19" i="15"/>
  <c r="Q19" i="15"/>
  <c r="O19" i="15"/>
  <c r="M19" i="15"/>
  <c r="K19" i="15"/>
  <c r="X18" i="15"/>
  <c r="W18" i="15"/>
  <c r="V18" i="15"/>
  <c r="U18" i="15"/>
  <c r="T18" i="15"/>
  <c r="S18" i="15"/>
  <c r="Q18" i="15"/>
  <c r="O18" i="15"/>
  <c r="M18" i="15"/>
  <c r="K18" i="15"/>
  <c r="X17" i="15"/>
  <c r="W17" i="15"/>
  <c r="V17" i="15"/>
  <c r="U17" i="15"/>
  <c r="T17" i="15"/>
  <c r="S17" i="15"/>
  <c r="Q17" i="15"/>
  <c r="O17" i="15"/>
  <c r="M17" i="15"/>
  <c r="K17" i="15"/>
  <c r="X16" i="15"/>
  <c r="W16" i="15"/>
  <c r="V16" i="15"/>
  <c r="U16" i="15"/>
  <c r="T16" i="15"/>
  <c r="S16" i="15"/>
  <c r="Q16" i="15"/>
  <c r="O16" i="15"/>
  <c r="M16" i="15"/>
  <c r="K16" i="15"/>
  <c r="X15" i="15"/>
  <c r="W15" i="15"/>
  <c r="V15" i="15"/>
  <c r="U15" i="15"/>
  <c r="T15" i="15"/>
  <c r="S15" i="15"/>
  <c r="Q15" i="15"/>
  <c r="O15" i="15"/>
  <c r="M15" i="15"/>
  <c r="K15" i="15"/>
  <c r="X14" i="15"/>
  <c r="W14" i="15"/>
  <c r="V14" i="15"/>
  <c r="U14" i="15"/>
  <c r="T14" i="15"/>
  <c r="S14" i="15"/>
  <c r="Q14" i="15"/>
  <c r="O14" i="15"/>
  <c r="M14" i="15"/>
  <c r="K14" i="15"/>
  <c r="X13" i="15"/>
  <c r="W13" i="15"/>
  <c r="V13" i="15"/>
  <c r="U13" i="15"/>
  <c r="T13" i="15"/>
  <c r="S13" i="15"/>
  <c r="Q13" i="15"/>
  <c r="O13" i="15"/>
  <c r="M13" i="15"/>
  <c r="K13" i="15"/>
  <c r="X12" i="15"/>
  <c r="W12" i="15"/>
  <c r="V12" i="15"/>
  <c r="U12" i="15"/>
  <c r="T12" i="15"/>
  <c r="S12" i="15"/>
  <c r="Q12" i="15"/>
  <c r="O12" i="15"/>
  <c r="M12" i="15"/>
  <c r="K12" i="15"/>
  <c r="X11" i="15"/>
  <c r="W11" i="15"/>
  <c r="V11" i="15"/>
  <c r="U11" i="15"/>
  <c r="T11" i="15"/>
  <c r="S11" i="15"/>
  <c r="Q11" i="15"/>
  <c r="O11" i="15"/>
  <c r="M11" i="15"/>
  <c r="K11" i="15"/>
  <c r="X10" i="15"/>
  <c r="W10" i="15"/>
  <c r="V10" i="15"/>
  <c r="U10" i="15"/>
  <c r="T10" i="15"/>
  <c r="S10" i="15"/>
  <c r="Q10" i="15"/>
  <c r="O10" i="15"/>
  <c r="M10" i="15"/>
  <c r="K10" i="15"/>
  <c r="X9" i="15"/>
  <c r="W9" i="15"/>
  <c r="V9" i="15"/>
  <c r="U9" i="15"/>
  <c r="T9" i="15"/>
  <c r="S9" i="15"/>
  <c r="Q9" i="15"/>
  <c r="O9" i="15"/>
  <c r="M9" i="15"/>
  <c r="K9" i="15"/>
  <c r="X8" i="15"/>
  <c r="W8" i="15"/>
  <c r="V8" i="15"/>
  <c r="U8" i="15"/>
  <c r="T8" i="15"/>
  <c r="S8" i="15"/>
  <c r="Q8" i="15"/>
  <c r="O8" i="15"/>
  <c r="M8" i="15"/>
  <c r="K8" i="15"/>
  <c r="X7" i="15"/>
  <c r="W7" i="15"/>
  <c r="V7" i="15"/>
  <c r="U7" i="15"/>
  <c r="T7" i="15"/>
  <c r="S7" i="15"/>
  <c r="Q7" i="15"/>
  <c r="O7" i="15"/>
  <c r="M7" i="15"/>
  <c r="K7" i="15"/>
  <c r="X265" i="14" l="1"/>
  <c r="W265" i="14"/>
  <c r="V265" i="14"/>
  <c r="U265" i="14"/>
  <c r="T265" i="14"/>
  <c r="S265" i="14"/>
  <c r="Q265" i="14"/>
  <c r="O265" i="14"/>
  <c r="M265" i="14"/>
  <c r="K265" i="14"/>
  <c r="X264" i="14"/>
  <c r="W264" i="14"/>
  <c r="V264" i="14"/>
  <c r="U264" i="14"/>
  <c r="T264" i="14"/>
  <c r="S264" i="14"/>
  <c r="Q264" i="14"/>
  <c r="O264" i="14"/>
  <c r="M264" i="14"/>
  <c r="K264" i="14"/>
  <c r="X263" i="14"/>
  <c r="W263" i="14"/>
  <c r="V263" i="14"/>
  <c r="U263" i="14"/>
  <c r="T263" i="14"/>
  <c r="S263" i="14"/>
  <c r="Q263" i="14"/>
  <c r="O263" i="14"/>
  <c r="M263" i="14"/>
  <c r="K263" i="14"/>
  <c r="X262" i="14"/>
  <c r="W262" i="14"/>
  <c r="V262" i="14"/>
  <c r="U262" i="14"/>
  <c r="T262" i="14"/>
  <c r="S262" i="14"/>
  <c r="Q262" i="14"/>
  <c r="O262" i="14"/>
  <c r="M262" i="14"/>
  <c r="K262" i="14"/>
  <c r="X261" i="14"/>
  <c r="W261" i="14"/>
  <c r="V261" i="14"/>
  <c r="U261" i="14"/>
  <c r="T261" i="14"/>
  <c r="S261" i="14"/>
  <c r="Q261" i="14"/>
  <c r="O261" i="14"/>
  <c r="M261" i="14"/>
  <c r="K261" i="14"/>
  <c r="X260" i="14"/>
  <c r="W260" i="14"/>
  <c r="V260" i="14"/>
  <c r="U260" i="14"/>
  <c r="T260" i="14"/>
  <c r="S260" i="14"/>
  <c r="Q260" i="14"/>
  <c r="O260" i="14"/>
  <c r="M260" i="14"/>
  <c r="K260" i="14"/>
  <c r="X259" i="14"/>
  <c r="W259" i="14"/>
  <c r="V259" i="14"/>
  <c r="U259" i="14"/>
  <c r="T259" i="14"/>
  <c r="S259" i="14"/>
  <c r="Q259" i="14"/>
  <c r="O259" i="14"/>
  <c r="M259" i="14"/>
  <c r="K259" i="14"/>
  <c r="X258" i="14"/>
  <c r="W258" i="14"/>
  <c r="V258" i="14"/>
  <c r="U258" i="14"/>
  <c r="T258" i="14"/>
  <c r="S258" i="14"/>
  <c r="Q258" i="14"/>
  <c r="O258" i="14"/>
  <c r="M258" i="14"/>
  <c r="K258" i="14"/>
  <c r="X257" i="14"/>
  <c r="W257" i="14"/>
  <c r="V257" i="14"/>
  <c r="U257" i="14"/>
  <c r="T257" i="14"/>
  <c r="S257" i="14"/>
  <c r="Q257" i="14"/>
  <c r="O257" i="14"/>
  <c r="M257" i="14"/>
  <c r="K257" i="14"/>
  <c r="X256" i="14"/>
  <c r="W256" i="14"/>
  <c r="V256" i="14"/>
  <c r="U256" i="14"/>
  <c r="T256" i="14"/>
  <c r="S256" i="14"/>
  <c r="Q256" i="14"/>
  <c r="O256" i="14"/>
  <c r="M256" i="14"/>
  <c r="K256" i="14"/>
  <c r="X255" i="14"/>
  <c r="W255" i="14"/>
  <c r="V255" i="14"/>
  <c r="U255" i="14"/>
  <c r="T255" i="14"/>
  <c r="S255" i="14"/>
  <c r="Q255" i="14"/>
  <c r="O255" i="14"/>
  <c r="M255" i="14"/>
  <c r="K255" i="14"/>
  <c r="X254" i="14"/>
  <c r="W254" i="14"/>
  <c r="V254" i="14"/>
  <c r="U254" i="14"/>
  <c r="T254" i="14"/>
  <c r="S254" i="14"/>
  <c r="Q254" i="14"/>
  <c r="O254" i="14"/>
  <c r="M254" i="14"/>
  <c r="K254" i="14"/>
  <c r="X253" i="14"/>
  <c r="W253" i="14"/>
  <c r="V253" i="14"/>
  <c r="U253" i="14"/>
  <c r="T253" i="14"/>
  <c r="S253" i="14"/>
  <c r="Q253" i="14"/>
  <c r="O253" i="14"/>
  <c r="M253" i="14"/>
  <c r="K253" i="14"/>
  <c r="X252" i="14"/>
  <c r="W252" i="14"/>
  <c r="V252" i="14"/>
  <c r="U252" i="14"/>
  <c r="T252" i="14"/>
  <c r="S252" i="14"/>
  <c r="Q252" i="14"/>
  <c r="O252" i="14"/>
  <c r="M252" i="14"/>
  <c r="K252" i="14"/>
  <c r="X251" i="14"/>
  <c r="W251" i="14"/>
  <c r="V251" i="14"/>
  <c r="U251" i="14"/>
  <c r="T251" i="14"/>
  <c r="S251" i="14"/>
  <c r="Q251" i="14"/>
  <c r="O251" i="14"/>
  <c r="M251" i="14"/>
  <c r="K251" i="14"/>
  <c r="X250" i="14"/>
  <c r="W250" i="14"/>
  <c r="V250" i="14"/>
  <c r="U250" i="14"/>
  <c r="T250" i="14"/>
  <c r="S250" i="14"/>
  <c r="Q250" i="14"/>
  <c r="O250" i="14"/>
  <c r="M250" i="14"/>
  <c r="K250" i="14"/>
  <c r="X249" i="14"/>
  <c r="W249" i="14"/>
  <c r="V249" i="14"/>
  <c r="U249" i="14"/>
  <c r="T249" i="14"/>
  <c r="S249" i="14"/>
  <c r="Q249" i="14"/>
  <c r="O249" i="14"/>
  <c r="M249" i="14"/>
  <c r="K249" i="14"/>
  <c r="X248" i="14"/>
  <c r="W248" i="14"/>
  <c r="V248" i="14"/>
  <c r="U248" i="14"/>
  <c r="T248" i="14"/>
  <c r="S248" i="14"/>
  <c r="Q248" i="14"/>
  <c r="O248" i="14"/>
  <c r="M248" i="14"/>
  <c r="K248" i="14"/>
  <c r="X247" i="14"/>
  <c r="W247" i="14"/>
  <c r="V247" i="14"/>
  <c r="U247" i="14"/>
  <c r="T247" i="14"/>
  <c r="S247" i="14"/>
  <c r="Q247" i="14"/>
  <c r="O247" i="14"/>
  <c r="M247" i="14"/>
  <c r="K247" i="14"/>
  <c r="X246" i="14"/>
  <c r="W246" i="14"/>
  <c r="V246" i="14"/>
  <c r="U246" i="14"/>
  <c r="T246" i="14"/>
  <c r="S246" i="14"/>
  <c r="Q246" i="14"/>
  <c r="O246" i="14"/>
  <c r="M246" i="14"/>
  <c r="K246" i="14"/>
  <c r="X245" i="14"/>
  <c r="W245" i="14"/>
  <c r="V245" i="14"/>
  <c r="U245" i="14"/>
  <c r="T245" i="14"/>
  <c r="S245" i="14"/>
  <c r="Q245" i="14"/>
  <c r="O245" i="14"/>
  <c r="M245" i="14"/>
  <c r="K245" i="14"/>
  <c r="X244" i="14"/>
  <c r="W244" i="14"/>
  <c r="V244" i="14"/>
  <c r="U244" i="14"/>
  <c r="T244" i="14"/>
  <c r="S244" i="14"/>
  <c r="Q244" i="14"/>
  <c r="O244" i="14"/>
  <c r="M244" i="14"/>
  <c r="K244" i="14"/>
  <c r="X243" i="14"/>
  <c r="W243" i="14"/>
  <c r="V243" i="14"/>
  <c r="U243" i="14"/>
  <c r="T243" i="14"/>
  <c r="S243" i="14"/>
  <c r="Q243" i="14"/>
  <c r="O243" i="14"/>
  <c r="M243" i="14"/>
  <c r="K243" i="14"/>
  <c r="X242" i="14"/>
  <c r="W242" i="14"/>
  <c r="V242" i="14"/>
  <c r="U242" i="14"/>
  <c r="T242" i="14"/>
  <c r="S242" i="14"/>
  <c r="Q242" i="14"/>
  <c r="O242" i="14"/>
  <c r="M242" i="14"/>
  <c r="K242" i="14"/>
  <c r="X241" i="14"/>
  <c r="W241" i="14"/>
  <c r="V241" i="14"/>
  <c r="U241" i="14"/>
  <c r="T241" i="14"/>
  <c r="S241" i="14"/>
  <c r="Q241" i="14"/>
  <c r="O241" i="14"/>
  <c r="M241" i="14"/>
  <c r="K241" i="14"/>
  <c r="X240" i="14"/>
  <c r="W240" i="14"/>
  <c r="V240" i="14"/>
  <c r="U240" i="14"/>
  <c r="T240" i="14"/>
  <c r="S240" i="14"/>
  <c r="Q240" i="14"/>
  <c r="O240" i="14"/>
  <c r="M240" i="14"/>
  <c r="K240" i="14"/>
  <c r="X239" i="14"/>
  <c r="W239" i="14"/>
  <c r="V239" i="14"/>
  <c r="U239" i="14"/>
  <c r="T239" i="14"/>
  <c r="S239" i="14"/>
  <c r="Q239" i="14"/>
  <c r="O239" i="14"/>
  <c r="M239" i="14"/>
  <c r="K239" i="14"/>
  <c r="X238" i="14"/>
  <c r="W238" i="14"/>
  <c r="V238" i="14"/>
  <c r="U238" i="14"/>
  <c r="T238" i="14"/>
  <c r="S238" i="14"/>
  <c r="Q238" i="14"/>
  <c r="O238" i="14"/>
  <c r="M238" i="14"/>
  <c r="K238" i="14"/>
  <c r="X237" i="14"/>
  <c r="W237" i="14"/>
  <c r="V237" i="14"/>
  <c r="U237" i="14"/>
  <c r="T237" i="14"/>
  <c r="S237" i="14"/>
  <c r="Q237" i="14"/>
  <c r="O237" i="14"/>
  <c r="M237" i="14"/>
  <c r="K237" i="14"/>
  <c r="X236" i="14"/>
  <c r="W236" i="14"/>
  <c r="V236" i="14"/>
  <c r="U236" i="14"/>
  <c r="T236" i="14"/>
  <c r="S236" i="14"/>
  <c r="Q236" i="14"/>
  <c r="O236" i="14"/>
  <c r="M236" i="14"/>
  <c r="K236" i="14"/>
  <c r="X235" i="14"/>
  <c r="W235" i="14"/>
  <c r="V235" i="14"/>
  <c r="U235" i="14"/>
  <c r="T235" i="14"/>
  <c r="S235" i="14"/>
  <c r="Q235" i="14"/>
  <c r="O235" i="14"/>
  <c r="M235" i="14"/>
  <c r="K235" i="14"/>
  <c r="X234" i="14"/>
  <c r="W234" i="14"/>
  <c r="V234" i="14"/>
  <c r="U234" i="14"/>
  <c r="T234" i="14"/>
  <c r="S234" i="14"/>
  <c r="Q234" i="14"/>
  <c r="O234" i="14"/>
  <c r="M234" i="14"/>
  <c r="K234" i="14"/>
  <c r="X233" i="14"/>
  <c r="W233" i="14"/>
  <c r="V233" i="14"/>
  <c r="U233" i="14"/>
  <c r="T233" i="14"/>
  <c r="S233" i="14"/>
  <c r="Q233" i="14"/>
  <c r="O233" i="14"/>
  <c r="M233" i="14"/>
  <c r="K233" i="14"/>
  <c r="X232" i="14"/>
  <c r="W232" i="14"/>
  <c r="V232" i="14"/>
  <c r="U232" i="14"/>
  <c r="T232" i="14"/>
  <c r="S232" i="14"/>
  <c r="Q232" i="14"/>
  <c r="O232" i="14"/>
  <c r="M232" i="14"/>
  <c r="K232" i="14"/>
  <c r="X231" i="14"/>
  <c r="W231" i="14"/>
  <c r="V231" i="14"/>
  <c r="U231" i="14"/>
  <c r="T231" i="14"/>
  <c r="S231" i="14"/>
  <c r="Q231" i="14"/>
  <c r="O231" i="14"/>
  <c r="M231" i="14"/>
  <c r="K231" i="14"/>
  <c r="X230" i="14"/>
  <c r="W230" i="14"/>
  <c r="V230" i="14"/>
  <c r="U230" i="14"/>
  <c r="T230" i="14"/>
  <c r="S230" i="14"/>
  <c r="Q230" i="14"/>
  <c r="O230" i="14"/>
  <c r="M230" i="14"/>
  <c r="K230" i="14"/>
  <c r="X229" i="14"/>
  <c r="W229" i="14"/>
  <c r="V229" i="14"/>
  <c r="U229" i="14"/>
  <c r="T229" i="14"/>
  <c r="S229" i="14"/>
  <c r="Q229" i="14"/>
  <c r="O229" i="14"/>
  <c r="M229" i="14"/>
  <c r="K229" i="14"/>
  <c r="X228" i="14"/>
  <c r="W228" i="14"/>
  <c r="V228" i="14"/>
  <c r="U228" i="14"/>
  <c r="T228" i="14"/>
  <c r="S228" i="14"/>
  <c r="Q228" i="14"/>
  <c r="O228" i="14"/>
  <c r="M228" i="14"/>
  <c r="K228" i="14"/>
  <c r="X227" i="14"/>
  <c r="W227" i="14"/>
  <c r="V227" i="14"/>
  <c r="U227" i="14"/>
  <c r="T227" i="14"/>
  <c r="S227" i="14"/>
  <c r="Q227" i="14"/>
  <c r="O227" i="14"/>
  <c r="M227" i="14"/>
  <c r="K227" i="14"/>
  <c r="X226" i="14"/>
  <c r="W226" i="14"/>
  <c r="V226" i="14"/>
  <c r="U226" i="14"/>
  <c r="T226" i="14"/>
  <c r="S226" i="14"/>
  <c r="Q226" i="14"/>
  <c r="O226" i="14"/>
  <c r="M226" i="14"/>
  <c r="K226" i="14"/>
  <c r="X225" i="14"/>
  <c r="W225" i="14"/>
  <c r="V225" i="14"/>
  <c r="U225" i="14"/>
  <c r="T225" i="14"/>
  <c r="S225" i="14"/>
  <c r="Q225" i="14"/>
  <c r="O225" i="14"/>
  <c r="M225" i="14"/>
  <c r="K225" i="14"/>
  <c r="X224" i="14"/>
  <c r="W224" i="14"/>
  <c r="V224" i="14"/>
  <c r="U224" i="14"/>
  <c r="T224" i="14"/>
  <c r="S224" i="14"/>
  <c r="Q224" i="14"/>
  <c r="O224" i="14"/>
  <c r="M224" i="14"/>
  <c r="K224" i="14"/>
  <c r="X223" i="14"/>
  <c r="W223" i="14"/>
  <c r="V223" i="14"/>
  <c r="U223" i="14"/>
  <c r="T223" i="14"/>
  <c r="S223" i="14"/>
  <c r="Q223" i="14"/>
  <c r="O223" i="14"/>
  <c r="M223" i="14"/>
  <c r="K223" i="14"/>
  <c r="X222" i="14"/>
  <c r="W222" i="14"/>
  <c r="V222" i="14"/>
  <c r="U222" i="14"/>
  <c r="T222" i="14"/>
  <c r="S222" i="14"/>
  <c r="Q222" i="14"/>
  <c r="O222" i="14"/>
  <c r="M222" i="14"/>
  <c r="K222" i="14"/>
  <c r="X221" i="14"/>
  <c r="W221" i="14"/>
  <c r="V221" i="14"/>
  <c r="U221" i="14"/>
  <c r="T221" i="14"/>
  <c r="S221" i="14"/>
  <c r="Q221" i="14"/>
  <c r="O221" i="14"/>
  <c r="M221" i="14"/>
  <c r="K221" i="14"/>
  <c r="X220" i="14"/>
  <c r="W220" i="14"/>
  <c r="V220" i="14"/>
  <c r="U220" i="14"/>
  <c r="T220" i="14"/>
  <c r="S220" i="14"/>
  <c r="Q220" i="14"/>
  <c r="O220" i="14"/>
  <c r="M220" i="14"/>
  <c r="K220" i="14"/>
  <c r="X219" i="14"/>
  <c r="W219" i="14"/>
  <c r="V219" i="14"/>
  <c r="U219" i="14"/>
  <c r="T219" i="14"/>
  <c r="S219" i="14"/>
  <c r="Q219" i="14"/>
  <c r="O219" i="14"/>
  <c r="M219" i="14"/>
  <c r="K219" i="14"/>
  <c r="X218" i="14"/>
  <c r="W218" i="14"/>
  <c r="V218" i="14"/>
  <c r="U218" i="14"/>
  <c r="T218" i="14"/>
  <c r="S218" i="14"/>
  <c r="Q218" i="14"/>
  <c r="O218" i="14"/>
  <c r="M218" i="14"/>
  <c r="K218" i="14"/>
  <c r="X217" i="14"/>
  <c r="W217" i="14"/>
  <c r="V217" i="14"/>
  <c r="U217" i="14"/>
  <c r="T217" i="14"/>
  <c r="S217" i="14"/>
  <c r="Q217" i="14"/>
  <c r="O217" i="14"/>
  <c r="M217" i="14"/>
  <c r="K217" i="14"/>
  <c r="X216" i="14"/>
  <c r="W216" i="14"/>
  <c r="V216" i="14"/>
  <c r="U216" i="14"/>
  <c r="T216" i="14"/>
  <c r="S216" i="14"/>
  <c r="Q216" i="14"/>
  <c r="O216" i="14"/>
  <c r="M216" i="14"/>
  <c r="K216" i="14"/>
  <c r="X215" i="14"/>
  <c r="W215" i="14"/>
  <c r="V215" i="14"/>
  <c r="U215" i="14"/>
  <c r="T215" i="14"/>
  <c r="S215" i="14"/>
  <c r="Q215" i="14"/>
  <c r="O215" i="14"/>
  <c r="M215" i="14"/>
  <c r="K215" i="14"/>
  <c r="X214" i="14"/>
  <c r="W214" i="14"/>
  <c r="V214" i="14"/>
  <c r="U214" i="14"/>
  <c r="T214" i="14"/>
  <c r="S214" i="14"/>
  <c r="Q214" i="14"/>
  <c r="O214" i="14"/>
  <c r="M214" i="14"/>
  <c r="K214" i="14"/>
  <c r="X213" i="14"/>
  <c r="W213" i="14"/>
  <c r="V213" i="14"/>
  <c r="U213" i="14"/>
  <c r="T213" i="14"/>
  <c r="S213" i="14"/>
  <c r="Q213" i="14"/>
  <c r="O213" i="14"/>
  <c r="M213" i="14"/>
  <c r="K213" i="14"/>
  <c r="X212" i="14"/>
  <c r="W212" i="14"/>
  <c r="V212" i="14"/>
  <c r="U212" i="14"/>
  <c r="T212" i="14"/>
  <c r="S212" i="14"/>
  <c r="Q212" i="14"/>
  <c r="O212" i="14"/>
  <c r="M212" i="14"/>
  <c r="K212" i="14"/>
  <c r="X211" i="14"/>
  <c r="W211" i="14"/>
  <c r="V211" i="14"/>
  <c r="U211" i="14"/>
  <c r="T211" i="14"/>
  <c r="S211" i="14"/>
  <c r="Q211" i="14"/>
  <c r="O211" i="14"/>
  <c r="M211" i="14"/>
  <c r="K211" i="14"/>
  <c r="X210" i="14"/>
  <c r="W210" i="14"/>
  <c r="V210" i="14"/>
  <c r="U210" i="14"/>
  <c r="T210" i="14"/>
  <c r="S210" i="14"/>
  <c r="Q210" i="14"/>
  <c r="O210" i="14"/>
  <c r="M210" i="14"/>
  <c r="K210" i="14"/>
  <c r="X209" i="14"/>
  <c r="W209" i="14"/>
  <c r="V209" i="14"/>
  <c r="U209" i="14"/>
  <c r="T209" i="14"/>
  <c r="S209" i="14"/>
  <c r="Q209" i="14"/>
  <c r="O209" i="14"/>
  <c r="M209" i="14"/>
  <c r="K209" i="14"/>
  <c r="X208" i="14"/>
  <c r="W208" i="14"/>
  <c r="V208" i="14"/>
  <c r="U208" i="14"/>
  <c r="T208" i="14"/>
  <c r="S208" i="14"/>
  <c r="Q208" i="14"/>
  <c r="O208" i="14"/>
  <c r="M208" i="14"/>
  <c r="K208" i="14"/>
  <c r="X207" i="14"/>
  <c r="W207" i="14"/>
  <c r="V207" i="14"/>
  <c r="U207" i="14"/>
  <c r="T207" i="14"/>
  <c r="S207" i="14"/>
  <c r="Q207" i="14"/>
  <c r="O207" i="14"/>
  <c r="M207" i="14"/>
  <c r="K207" i="14"/>
  <c r="X206" i="14"/>
  <c r="W206" i="14"/>
  <c r="V206" i="14"/>
  <c r="U206" i="14"/>
  <c r="T206" i="14"/>
  <c r="S206" i="14"/>
  <c r="Q206" i="14"/>
  <c r="O206" i="14"/>
  <c r="M206" i="14"/>
  <c r="K206" i="14"/>
  <c r="X205" i="14"/>
  <c r="W205" i="14"/>
  <c r="V205" i="14"/>
  <c r="U205" i="14"/>
  <c r="T205" i="14"/>
  <c r="S205" i="14"/>
  <c r="Q205" i="14"/>
  <c r="O205" i="14"/>
  <c r="M205" i="14"/>
  <c r="K205" i="14"/>
  <c r="X204" i="14"/>
  <c r="W204" i="14"/>
  <c r="V204" i="14"/>
  <c r="U204" i="14"/>
  <c r="T204" i="14"/>
  <c r="S204" i="14"/>
  <c r="Q204" i="14"/>
  <c r="O204" i="14"/>
  <c r="M204" i="14"/>
  <c r="K204" i="14"/>
  <c r="X203" i="14"/>
  <c r="W203" i="14"/>
  <c r="V203" i="14"/>
  <c r="U203" i="14"/>
  <c r="T203" i="14"/>
  <c r="S203" i="14"/>
  <c r="Q203" i="14"/>
  <c r="O203" i="14"/>
  <c r="M203" i="14"/>
  <c r="K203" i="14"/>
  <c r="X202" i="14"/>
  <c r="W202" i="14"/>
  <c r="V202" i="14"/>
  <c r="U202" i="14"/>
  <c r="T202" i="14"/>
  <c r="S202" i="14"/>
  <c r="Q202" i="14"/>
  <c r="O202" i="14"/>
  <c r="M202" i="14"/>
  <c r="K202" i="14"/>
  <c r="X201" i="14"/>
  <c r="W201" i="14"/>
  <c r="V201" i="14"/>
  <c r="U201" i="14"/>
  <c r="T201" i="14"/>
  <c r="S201" i="14"/>
  <c r="Q201" i="14"/>
  <c r="O201" i="14"/>
  <c r="M201" i="14"/>
  <c r="K201" i="14"/>
  <c r="X200" i="14"/>
  <c r="W200" i="14"/>
  <c r="V200" i="14"/>
  <c r="U200" i="14"/>
  <c r="T200" i="14"/>
  <c r="S200" i="14"/>
  <c r="Q200" i="14"/>
  <c r="O200" i="14"/>
  <c r="M200" i="14"/>
  <c r="K200" i="14"/>
  <c r="X199" i="14"/>
  <c r="W199" i="14"/>
  <c r="V199" i="14"/>
  <c r="U199" i="14"/>
  <c r="T199" i="14"/>
  <c r="S199" i="14"/>
  <c r="Q199" i="14"/>
  <c r="O199" i="14"/>
  <c r="M199" i="14"/>
  <c r="K199" i="14"/>
  <c r="X198" i="14"/>
  <c r="W198" i="14"/>
  <c r="V198" i="14"/>
  <c r="U198" i="14"/>
  <c r="T198" i="14"/>
  <c r="S198" i="14"/>
  <c r="Q198" i="14"/>
  <c r="O198" i="14"/>
  <c r="M198" i="14"/>
  <c r="K198" i="14"/>
  <c r="X197" i="14"/>
  <c r="W197" i="14"/>
  <c r="V197" i="14"/>
  <c r="U197" i="14"/>
  <c r="T197" i="14"/>
  <c r="S197" i="14"/>
  <c r="Q197" i="14"/>
  <c r="O197" i="14"/>
  <c r="M197" i="14"/>
  <c r="K197" i="14"/>
  <c r="X196" i="14"/>
  <c r="W196" i="14"/>
  <c r="V196" i="14"/>
  <c r="U196" i="14"/>
  <c r="T196" i="14"/>
  <c r="S196" i="14"/>
  <c r="Q196" i="14"/>
  <c r="O196" i="14"/>
  <c r="M196" i="14"/>
  <c r="K196" i="14"/>
  <c r="X195" i="14"/>
  <c r="W195" i="14"/>
  <c r="V195" i="14"/>
  <c r="U195" i="14"/>
  <c r="T195" i="14"/>
  <c r="S195" i="14"/>
  <c r="Q195" i="14"/>
  <c r="O195" i="14"/>
  <c r="M195" i="14"/>
  <c r="K195" i="14"/>
  <c r="X194" i="14"/>
  <c r="W194" i="14"/>
  <c r="V194" i="14"/>
  <c r="U194" i="14"/>
  <c r="T194" i="14"/>
  <c r="S194" i="14"/>
  <c r="Q194" i="14"/>
  <c r="O194" i="14"/>
  <c r="M194" i="14"/>
  <c r="K194" i="14"/>
  <c r="X193" i="14"/>
  <c r="W193" i="14"/>
  <c r="V193" i="14"/>
  <c r="U193" i="14"/>
  <c r="T193" i="14"/>
  <c r="S193" i="14"/>
  <c r="Q193" i="14"/>
  <c r="O193" i="14"/>
  <c r="M193" i="14"/>
  <c r="K193" i="14"/>
  <c r="X192" i="14"/>
  <c r="W192" i="14"/>
  <c r="V192" i="14"/>
  <c r="U192" i="14"/>
  <c r="T192" i="14"/>
  <c r="S192" i="14"/>
  <c r="Q192" i="14"/>
  <c r="O192" i="14"/>
  <c r="M192" i="14"/>
  <c r="K192" i="14"/>
  <c r="X191" i="14"/>
  <c r="W191" i="14"/>
  <c r="V191" i="14"/>
  <c r="U191" i="14"/>
  <c r="T191" i="14"/>
  <c r="S191" i="14"/>
  <c r="Q191" i="14"/>
  <c r="O191" i="14"/>
  <c r="M191" i="14"/>
  <c r="K191" i="14"/>
  <c r="X190" i="14"/>
  <c r="W190" i="14"/>
  <c r="V190" i="14"/>
  <c r="U190" i="14"/>
  <c r="T190" i="14"/>
  <c r="S190" i="14"/>
  <c r="Q190" i="14"/>
  <c r="O190" i="14"/>
  <c r="M190" i="14"/>
  <c r="K190" i="14"/>
  <c r="X189" i="14"/>
  <c r="W189" i="14"/>
  <c r="V189" i="14"/>
  <c r="U189" i="14"/>
  <c r="T189" i="14"/>
  <c r="S189" i="14"/>
  <c r="Q189" i="14"/>
  <c r="O189" i="14"/>
  <c r="M189" i="14"/>
  <c r="K189" i="14"/>
  <c r="X188" i="14"/>
  <c r="W188" i="14"/>
  <c r="V188" i="14"/>
  <c r="U188" i="14"/>
  <c r="T188" i="14"/>
  <c r="S188" i="14"/>
  <c r="Q188" i="14"/>
  <c r="O188" i="14"/>
  <c r="M188" i="14"/>
  <c r="K188" i="14"/>
  <c r="X187" i="14"/>
  <c r="W187" i="14"/>
  <c r="V187" i="14"/>
  <c r="U187" i="14"/>
  <c r="T187" i="14"/>
  <c r="S187" i="14"/>
  <c r="Q187" i="14"/>
  <c r="O187" i="14"/>
  <c r="M187" i="14"/>
  <c r="K187" i="14"/>
  <c r="X186" i="14"/>
  <c r="W186" i="14"/>
  <c r="V186" i="14"/>
  <c r="U186" i="14"/>
  <c r="T186" i="14"/>
  <c r="S186" i="14"/>
  <c r="Q186" i="14"/>
  <c r="O186" i="14"/>
  <c r="M186" i="14"/>
  <c r="K186" i="14"/>
  <c r="X185" i="14"/>
  <c r="W185" i="14"/>
  <c r="V185" i="14"/>
  <c r="U185" i="14"/>
  <c r="T185" i="14"/>
  <c r="S185" i="14"/>
  <c r="Q185" i="14"/>
  <c r="O185" i="14"/>
  <c r="M185" i="14"/>
  <c r="K185" i="14"/>
  <c r="X184" i="14"/>
  <c r="W184" i="14"/>
  <c r="V184" i="14"/>
  <c r="U184" i="14"/>
  <c r="T184" i="14"/>
  <c r="S184" i="14"/>
  <c r="Q184" i="14"/>
  <c r="O184" i="14"/>
  <c r="M184" i="14"/>
  <c r="K184" i="14"/>
  <c r="X183" i="14"/>
  <c r="W183" i="14"/>
  <c r="V183" i="14"/>
  <c r="U183" i="14"/>
  <c r="T183" i="14"/>
  <c r="S183" i="14"/>
  <c r="Q183" i="14"/>
  <c r="O183" i="14"/>
  <c r="M183" i="14"/>
  <c r="K183" i="14"/>
  <c r="X182" i="14"/>
  <c r="W182" i="14"/>
  <c r="V182" i="14"/>
  <c r="U182" i="14"/>
  <c r="T182" i="14"/>
  <c r="S182" i="14"/>
  <c r="Q182" i="14"/>
  <c r="O182" i="14"/>
  <c r="M182" i="14"/>
  <c r="K182" i="14"/>
  <c r="X181" i="14"/>
  <c r="W181" i="14"/>
  <c r="V181" i="14"/>
  <c r="U181" i="14"/>
  <c r="T181" i="14"/>
  <c r="S181" i="14"/>
  <c r="Q181" i="14"/>
  <c r="O181" i="14"/>
  <c r="M181" i="14"/>
  <c r="K181" i="14"/>
  <c r="X180" i="14"/>
  <c r="W180" i="14"/>
  <c r="V180" i="14"/>
  <c r="U180" i="14"/>
  <c r="T180" i="14"/>
  <c r="S180" i="14"/>
  <c r="Q180" i="14"/>
  <c r="O180" i="14"/>
  <c r="M180" i="14"/>
  <c r="K180" i="14"/>
  <c r="X179" i="14"/>
  <c r="W179" i="14"/>
  <c r="V179" i="14"/>
  <c r="U179" i="14"/>
  <c r="T179" i="14"/>
  <c r="S179" i="14"/>
  <c r="Q179" i="14"/>
  <c r="O179" i="14"/>
  <c r="M179" i="14"/>
  <c r="K179" i="14"/>
  <c r="X178" i="14"/>
  <c r="W178" i="14"/>
  <c r="V178" i="14"/>
  <c r="U178" i="14"/>
  <c r="T178" i="14"/>
  <c r="S178" i="14"/>
  <c r="Q178" i="14"/>
  <c r="O178" i="14"/>
  <c r="M178" i="14"/>
  <c r="K178" i="14"/>
  <c r="X177" i="14"/>
  <c r="W177" i="14"/>
  <c r="V177" i="14"/>
  <c r="U177" i="14"/>
  <c r="T177" i="14"/>
  <c r="S177" i="14"/>
  <c r="Q177" i="14"/>
  <c r="O177" i="14"/>
  <c r="M177" i="14"/>
  <c r="K177" i="14"/>
  <c r="X176" i="14"/>
  <c r="W176" i="14"/>
  <c r="V176" i="14"/>
  <c r="U176" i="14"/>
  <c r="T176" i="14"/>
  <c r="S176" i="14"/>
  <c r="Q176" i="14"/>
  <c r="O176" i="14"/>
  <c r="M176" i="14"/>
  <c r="K176" i="14"/>
  <c r="X175" i="14"/>
  <c r="W175" i="14"/>
  <c r="V175" i="14"/>
  <c r="U175" i="14"/>
  <c r="T175" i="14"/>
  <c r="S175" i="14"/>
  <c r="Q175" i="14"/>
  <c r="O175" i="14"/>
  <c r="M175" i="14"/>
  <c r="K175" i="14"/>
  <c r="X174" i="14"/>
  <c r="W174" i="14"/>
  <c r="V174" i="14"/>
  <c r="U174" i="14"/>
  <c r="T174" i="14"/>
  <c r="S174" i="14"/>
  <c r="Q174" i="14"/>
  <c r="O174" i="14"/>
  <c r="M174" i="14"/>
  <c r="K174" i="14"/>
  <c r="X173" i="14"/>
  <c r="W173" i="14"/>
  <c r="V173" i="14"/>
  <c r="U173" i="14"/>
  <c r="T173" i="14"/>
  <c r="S173" i="14"/>
  <c r="Q173" i="14"/>
  <c r="O173" i="14"/>
  <c r="M173" i="14"/>
  <c r="K173" i="14"/>
  <c r="X172" i="14"/>
  <c r="W172" i="14"/>
  <c r="V172" i="14"/>
  <c r="U172" i="14"/>
  <c r="T172" i="14"/>
  <c r="S172" i="14"/>
  <c r="Q172" i="14"/>
  <c r="O172" i="14"/>
  <c r="M172" i="14"/>
  <c r="K172" i="14"/>
  <c r="X171" i="14"/>
  <c r="W171" i="14"/>
  <c r="V171" i="14"/>
  <c r="U171" i="14"/>
  <c r="T171" i="14"/>
  <c r="S171" i="14"/>
  <c r="Q171" i="14"/>
  <c r="O171" i="14"/>
  <c r="M171" i="14"/>
  <c r="K171" i="14"/>
  <c r="X170" i="14"/>
  <c r="W170" i="14"/>
  <c r="V170" i="14"/>
  <c r="U170" i="14"/>
  <c r="T170" i="14"/>
  <c r="S170" i="14"/>
  <c r="Q170" i="14"/>
  <c r="O170" i="14"/>
  <c r="M170" i="14"/>
  <c r="K170" i="14"/>
  <c r="X169" i="14"/>
  <c r="W169" i="14"/>
  <c r="V169" i="14"/>
  <c r="U169" i="14"/>
  <c r="T169" i="14"/>
  <c r="S169" i="14"/>
  <c r="Q169" i="14"/>
  <c r="O169" i="14"/>
  <c r="M169" i="14"/>
  <c r="K169" i="14"/>
  <c r="X168" i="14"/>
  <c r="W168" i="14"/>
  <c r="V168" i="14"/>
  <c r="U168" i="14"/>
  <c r="T168" i="14"/>
  <c r="S168" i="14"/>
  <c r="Q168" i="14"/>
  <c r="O168" i="14"/>
  <c r="M168" i="14"/>
  <c r="K168" i="14"/>
  <c r="X167" i="14"/>
  <c r="W167" i="14"/>
  <c r="V167" i="14"/>
  <c r="U167" i="14"/>
  <c r="T167" i="14"/>
  <c r="S167" i="14"/>
  <c r="Q167" i="14"/>
  <c r="O167" i="14"/>
  <c r="M167" i="14"/>
  <c r="K167" i="14"/>
  <c r="X166" i="14"/>
  <c r="W166" i="14"/>
  <c r="V166" i="14"/>
  <c r="U166" i="14"/>
  <c r="T166" i="14"/>
  <c r="S166" i="14"/>
  <c r="Q166" i="14"/>
  <c r="O166" i="14"/>
  <c r="M166" i="14"/>
  <c r="K166" i="14"/>
  <c r="X165" i="14"/>
  <c r="W165" i="14"/>
  <c r="V165" i="14"/>
  <c r="U165" i="14"/>
  <c r="T165" i="14"/>
  <c r="S165" i="14"/>
  <c r="Q165" i="14"/>
  <c r="O165" i="14"/>
  <c r="M165" i="14"/>
  <c r="K165" i="14"/>
  <c r="X164" i="14"/>
  <c r="W164" i="14"/>
  <c r="V164" i="14"/>
  <c r="U164" i="14"/>
  <c r="T164" i="14"/>
  <c r="S164" i="14"/>
  <c r="Q164" i="14"/>
  <c r="O164" i="14"/>
  <c r="M164" i="14"/>
  <c r="K164" i="14"/>
  <c r="X163" i="14"/>
  <c r="W163" i="14"/>
  <c r="V163" i="14"/>
  <c r="U163" i="14"/>
  <c r="T163" i="14"/>
  <c r="S163" i="14"/>
  <c r="Q163" i="14"/>
  <c r="O163" i="14"/>
  <c r="M163" i="14"/>
  <c r="K163" i="14"/>
  <c r="X162" i="14"/>
  <c r="W162" i="14"/>
  <c r="V162" i="14"/>
  <c r="U162" i="14"/>
  <c r="T162" i="14"/>
  <c r="S162" i="14"/>
  <c r="Q162" i="14"/>
  <c r="O162" i="14"/>
  <c r="M162" i="14"/>
  <c r="K162" i="14"/>
  <c r="X161" i="14"/>
  <c r="W161" i="14"/>
  <c r="V161" i="14"/>
  <c r="U161" i="14"/>
  <c r="T161" i="14"/>
  <c r="S161" i="14"/>
  <c r="Q161" i="14"/>
  <c r="O161" i="14"/>
  <c r="M161" i="14"/>
  <c r="K161" i="14"/>
  <c r="X160" i="14"/>
  <c r="W160" i="14"/>
  <c r="V160" i="14"/>
  <c r="U160" i="14"/>
  <c r="T160" i="14"/>
  <c r="S160" i="14"/>
  <c r="Q160" i="14"/>
  <c r="O160" i="14"/>
  <c r="M160" i="14"/>
  <c r="K160" i="14"/>
  <c r="X159" i="14"/>
  <c r="W159" i="14"/>
  <c r="V159" i="14"/>
  <c r="U159" i="14"/>
  <c r="T159" i="14"/>
  <c r="S159" i="14"/>
  <c r="Q159" i="14"/>
  <c r="O159" i="14"/>
  <c r="M159" i="14"/>
  <c r="K159" i="14"/>
  <c r="X158" i="14"/>
  <c r="W158" i="14"/>
  <c r="V158" i="14"/>
  <c r="U158" i="14"/>
  <c r="T158" i="14"/>
  <c r="S158" i="14"/>
  <c r="Q158" i="14"/>
  <c r="O158" i="14"/>
  <c r="M158" i="14"/>
  <c r="K158" i="14"/>
  <c r="X157" i="14"/>
  <c r="W157" i="14"/>
  <c r="V157" i="14"/>
  <c r="U157" i="14"/>
  <c r="T157" i="14"/>
  <c r="S157" i="14"/>
  <c r="Q157" i="14"/>
  <c r="O157" i="14"/>
  <c r="M157" i="14"/>
  <c r="K157" i="14"/>
  <c r="X156" i="14"/>
  <c r="W156" i="14"/>
  <c r="V156" i="14"/>
  <c r="U156" i="14"/>
  <c r="T156" i="14"/>
  <c r="S156" i="14"/>
  <c r="Q156" i="14"/>
  <c r="O156" i="14"/>
  <c r="M156" i="14"/>
  <c r="K156" i="14"/>
  <c r="X155" i="14"/>
  <c r="W155" i="14"/>
  <c r="V155" i="14"/>
  <c r="U155" i="14"/>
  <c r="T155" i="14"/>
  <c r="S155" i="14"/>
  <c r="Q155" i="14"/>
  <c r="O155" i="14"/>
  <c r="M155" i="14"/>
  <c r="K155" i="14"/>
  <c r="X154" i="14"/>
  <c r="W154" i="14"/>
  <c r="V154" i="14"/>
  <c r="U154" i="14"/>
  <c r="T154" i="14"/>
  <c r="S154" i="14"/>
  <c r="Q154" i="14"/>
  <c r="O154" i="14"/>
  <c r="M154" i="14"/>
  <c r="K154" i="14"/>
  <c r="X153" i="14"/>
  <c r="W153" i="14"/>
  <c r="V153" i="14"/>
  <c r="U153" i="14"/>
  <c r="T153" i="14"/>
  <c r="S153" i="14"/>
  <c r="Q153" i="14"/>
  <c r="O153" i="14"/>
  <c r="M153" i="14"/>
  <c r="K153" i="14"/>
  <c r="X152" i="14"/>
  <c r="W152" i="14"/>
  <c r="V152" i="14"/>
  <c r="U152" i="14"/>
  <c r="T152" i="14"/>
  <c r="S152" i="14"/>
  <c r="Q152" i="14"/>
  <c r="O152" i="14"/>
  <c r="M152" i="14"/>
  <c r="K152" i="14"/>
  <c r="X151" i="14"/>
  <c r="W151" i="14"/>
  <c r="V151" i="14"/>
  <c r="U151" i="14"/>
  <c r="T151" i="14"/>
  <c r="S151" i="14"/>
  <c r="Q151" i="14"/>
  <c r="O151" i="14"/>
  <c r="M151" i="14"/>
  <c r="K151" i="14"/>
  <c r="X150" i="14"/>
  <c r="W150" i="14"/>
  <c r="V150" i="14"/>
  <c r="U150" i="14"/>
  <c r="T150" i="14"/>
  <c r="S150" i="14"/>
  <c r="Q150" i="14"/>
  <c r="O150" i="14"/>
  <c r="M150" i="14"/>
  <c r="K150" i="14"/>
  <c r="X149" i="14"/>
  <c r="W149" i="14"/>
  <c r="V149" i="14"/>
  <c r="U149" i="14"/>
  <c r="T149" i="14"/>
  <c r="S149" i="14"/>
  <c r="Q149" i="14"/>
  <c r="O149" i="14"/>
  <c r="M149" i="14"/>
  <c r="K149" i="14"/>
  <c r="X148" i="14"/>
  <c r="W148" i="14"/>
  <c r="V148" i="14"/>
  <c r="U148" i="14"/>
  <c r="T148" i="14"/>
  <c r="S148" i="14"/>
  <c r="Q148" i="14"/>
  <c r="O148" i="14"/>
  <c r="M148" i="14"/>
  <c r="K148" i="14"/>
  <c r="X147" i="14"/>
  <c r="W147" i="14"/>
  <c r="V147" i="14"/>
  <c r="U147" i="14"/>
  <c r="T147" i="14"/>
  <c r="S147" i="14"/>
  <c r="Q147" i="14"/>
  <c r="O147" i="14"/>
  <c r="M147" i="14"/>
  <c r="K147" i="14"/>
  <c r="X146" i="14"/>
  <c r="W146" i="14"/>
  <c r="V146" i="14"/>
  <c r="U146" i="14"/>
  <c r="T146" i="14"/>
  <c r="S146" i="14"/>
  <c r="Q146" i="14"/>
  <c r="O146" i="14"/>
  <c r="M146" i="14"/>
  <c r="K146" i="14"/>
  <c r="X145" i="14"/>
  <c r="W145" i="14"/>
  <c r="V145" i="14"/>
  <c r="U145" i="14"/>
  <c r="T145" i="14"/>
  <c r="S145" i="14"/>
  <c r="Q145" i="14"/>
  <c r="O145" i="14"/>
  <c r="M145" i="14"/>
  <c r="K145" i="14"/>
  <c r="X144" i="14"/>
  <c r="W144" i="14"/>
  <c r="V144" i="14"/>
  <c r="U144" i="14"/>
  <c r="T144" i="14"/>
  <c r="S144" i="14"/>
  <c r="Q144" i="14"/>
  <c r="O144" i="14"/>
  <c r="M144" i="14"/>
  <c r="K144" i="14"/>
  <c r="X143" i="14"/>
  <c r="W143" i="14"/>
  <c r="V143" i="14"/>
  <c r="U143" i="14"/>
  <c r="T143" i="14"/>
  <c r="S143" i="14"/>
  <c r="Q143" i="14"/>
  <c r="O143" i="14"/>
  <c r="M143" i="14"/>
  <c r="K143" i="14"/>
  <c r="X142" i="14"/>
  <c r="W142" i="14"/>
  <c r="V142" i="14"/>
  <c r="U142" i="14"/>
  <c r="T142" i="14"/>
  <c r="S142" i="14"/>
  <c r="Q142" i="14"/>
  <c r="O142" i="14"/>
  <c r="M142" i="14"/>
  <c r="K142" i="14"/>
  <c r="X141" i="14"/>
  <c r="W141" i="14"/>
  <c r="V141" i="14"/>
  <c r="U141" i="14"/>
  <c r="T141" i="14"/>
  <c r="S141" i="14"/>
  <c r="Q141" i="14"/>
  <c r="O141" i="14"/>
  <c r="M141" i="14"/>
  <c r="K141" i="14"/>
  <c r="X140" i="14"/>
  <c r="W140" i="14"/>
  <c r="V140" i="14"/>
  <c r="U140" i="14"/>
  <c r="T140" i="14"/>
  <c r="S140" i="14"/>
  <c r="Q140" i="14"/>
  <c r="O140" i="14"/>
  <c r="M140" i="14"/>
  <c r="K140" i="14"/>
  <c r="X139" i="14"/>
  <c r="W139" i="14"/>
  <c r="V139" i="14"/>
  <c r="U139" i="14"/>
  <c r="T139" i="14"/>
  <c r="S139" i="14"/>
  <c r="Q139" i="14"/>
  <c r="O139" i="14"/>
  <c r="M139" i="14"/>
  <c r="K139" i="14"/>
  <c r="X138" i="14"/>
  <c r="W138" i="14"/>
  <c r="V138" i="14"/>
  <c r="U138" i="14"/>
  <c r="T138" i="14"/>
  <c r="S138" i="14"/>
  <c r="Q138" i="14"/>
  <c r="O138" i="14"/>
  <c r="M138" i="14"/>
  <c r="K138" i="14"/>
  <c r="X137" i="14"/>
  <c r="W137" i="14"/>
  <c r="V137" i="14"/>
  <c r="U137" i="14"/>
  <c r="T137" i="14"/>
  <c r="S137" i="14"/>
  <c r="Q137" i="14"/>
  <c r="O137" i="14"/>
  <c r="M137" i="14"/>
  <c r="K137" i="14"/>
  <c r="X136" i="14"/>
  <c r="W136" i="14"/>
  <c r="V136" i="14"/>
  <c r="U136" i="14"/>
  <c r="T136" i="14"/>
  <c r="S136" i="14"/>
  <c r="Q136" i="14"/>
  <c r="O136" i="14"/>
  <c r="M136" i="14"/>
  <c r="K136" i="14"/>
  <c r="X135" i="14"/>
  <c r="W135" i="14"/>
  <c r="V135" i="14"/>
  <c r="U135" i="14"/>
  <c r="T135" i="14"/>
  <c r="S135" i="14"/>
  <c r="Q135" i="14"/>
  <c r="O135" i="14"/>
  <c r="M135" i="14"/>
  <c r="K135" i="14"/>
  <c r="X134" i="14"/>
  <c r="W134" i="14"/>
  <c r="V134" i="14"/>
  <c r="U134" i="14"/>
  <c r="T134" i="14"/>
  <c r="S134" i="14"/>
  <c r="Q134" i="14"/>
  <c r="O134" i="14"/>
  <c r="M134" i="14"/>
  <c r="K134" i="14"/>
  <c r="X133" i="14"/>
  <c r="W133" i="14"/>
  <c r="V133" i="14"/>
  <c r="U133" i="14"/>
  <c r="T133" i="14"/>
  <c r="S133" i="14"/>
  <c r="Q133" i="14"/>
  <c r="O133" i="14"/>
  <c r="M133" i="14"/>
  <c r="K133" i="14"/>
  <c r="X132" i="14"/>
  <c r="W132" i="14"/>
  <c r="V132" i="14"/>
  <c r="U132" i="14"/>
  <c r="T132" i="14"/>
  <c r="S132" i="14"/>
  <c r="Q132" i="14"/>
  <c r="O132" i="14"/>
  <c r="M132" i="14"/>
  <c r="K132" i="14"/>
  <c r="X131" i="14"/>
  <c r="W131" i="14"/>
  <c r="V131" i="14"/>
  <c r="U131" i="14"/>
  <c r="T131" i="14"/>
  <c r="S131" i="14"/>
  <c r="Q131" i="14"/>
  <c r="O131" i="14"/>
  <c r="M131" i="14"/>
  <c r="K131" i="14"/>
  <c r="X130" i="14"/>
  <c r="W130" i="14"/>
  <c r="V130" i="14"/>
  <c r="U130" i="14"/>
  <c r="T130" i="14"/>
  <c r="S130" i="14"/>
  <c r="Q130" i="14"/>
  <c r="O130" i="14"/>
  <c r="M130" i="14"/>
  <c r="K130" i="14"/>
  <c r="X129" i="14"/>
  <c r="W129" i="14"/>
  <c r="V129" i="14"/>
  <c r="U129" i="14"/>
  <c r="T129" i="14"/>
  <c r="S129" i="14"/>
  <c r="Q129" i="14"/>
  <c r="O129" i="14"/>
  <c r="M129" i="14"/>
  <c r="K129" i="14"/>
  <c r="X128" i="14"/>
  <c r="W128" i="14"/>
  <c r="V128" i="14"/>
  <c r="U128" i="14"/>
  <c r="T128" i="14"/>
  <c r="S128" i="14"/>
  <c r="Q128" i="14"/>
  <c r="O128" i="14"/>
  <c r="M128" i="14"/>
  <c r="K128" i="14"/>
  <c r="X127" i="14"/>
  <c r="W127" i="14"/>
  <c r="V127" i="14"/>
  <c r="U127" i="14"/>
  <c r="T127" i="14"/>
  <c r="S127" i="14"/>
  <c r="Q127" i="14"/>
  <c r="O127" i="14"/>
  <c r="M127" i="14"/>
  <c r="K127" i="14"/>
  <c r="X126" i="14"/>
  <c r="W126" i="14"/>
  <c r="V126" i="14"/>
  <c r="U126" i="14"/>
  <c r="T126" i="14"/>
  <c r="S126" i="14"/>
  <c r="Q126" i="14"/>
  <c r="O126" i="14"/>
  <c r="M126" i="14"/>
  <c r="K126" i="14"/>
  <c r="X125" i="14"/>
  <c r="W125" i="14"/>
  <c r="V125" i="14"/>
  <c r="U125" i="14"/>
  <c r="T125" i="14"/>
  <c r="S125" i="14"/>
  <c r="Q125" i="14"/>
  <c r="O125" i="14"/>
  <c r="M125" i="14"/>
  <c r="K125" i="14"/>
  <c r="X124" i="14"/>
  <c r="W124" i="14"/>
  <c r="V124" i="14"/>
  <c r="U124" i="14"/>
  <c r="T124" i="14"/>
  <c r="S124" i="14"/>
  <c r="Q124" i="14"/>
  <c r="O124" i="14"/>
  <c r="M124" i="14"/>
  <c r="K124" i="14"/>
  <c r="X123" i="14"/>
  <c r="W123" i="14"/>
  <c r="V123" i="14"/>
  <c r="U123" i="14"/>
  <c r="T123" i="14"/>
  <c r="S123" i="14"/>
  <c r="Q123" i="14"/>
  <c r="O123" i="14"/>
  <c r="M123" i="14"/>
  <c r="K123" i="14"/>
  <c r="X122" i="14"/>
  <c r="W122" i="14"/>
  <c r="V122" i="14"/>
  <c r="U122" i="14"/>
  <c r="T122" i="14"/>
  <c r="S122" i="14"/>
  <c r="Q122" i="14"/>
  <c r="O122" i="14"/>
  <c r="M122" i="14"/>
  <c r="K122" i="14"/>
  <c r="X121" i="14"/>
  <c r="W121" i="14"/>
  <c r="V121" i="14"/>
  <c r="U121" i="14"/>
  <c r="T121" i="14"/>
  <c r="S121" i="14"/>
  <c r="Q121" i="14"/>
  <c r="O121" i="14"/>
  <c r="M121" i="14"/>
  <c r="K121" i="14"/>
  <c r="X120" i="14"/>
  <c r="W120" i="14"/>
  <c r="V120" i="14"/>
  <c r="U120" i="14"/>
  <c r="T120" i="14"/>
  <c r="S120" i="14"/>
  <c r="Q120" i="14"/>
  <c r="O120" i="14"/>
  <c r="M120" i="14"/>
  <c r="K120" i="14"/>
  <c r="X119" i="14"/>
  <c r="W119" i="14"/>
  <c r="V119" i="14"/>
  <c r="U119" i="14"/>
  <c r="T119" i="14"/>
  <c r="S119" i="14"/>
  <c r="Q119" i="14"/>
  <c r="O119" i="14"/>
  <c r="M119" i="14"/>
  <c r="K119" i="14"/>
  <c r="X118" i="14"/>
  <c r="W118" i="14"/>
  <c r="V118" i="14"/>
  <c r="U118" i="14"/>
  <c r="T118" i="14"/>
  <c r="S118" i="14"/>
  <c r="Q118" i="14"/>
  <c r="O118" i="14"/>
  <c r="M118" i="14"/>
  <c r="K118" i="14"/>
  <c r="X117" i="14"/>
  <c r="W117" i="14"/>
  <c r="V117" i="14"/>
  <c r="U117" i="14"/>
  <c r="T117" i="14"/>
  <c r="S117" i="14"/>
  <c r="Q117" i="14"/>
  <c r="O117" i="14"/>
  <c r="M117" i="14"/>
  <c r="K117" i="14"/>
  <c r="X116" i="14"/>
  <c r="W116" i="14"/>
  <c r="V116" i="14"/>
  <c r="U116" i="14"/>
  <c r="T116" i="14"/>
  <c r="S116" i="14"/>
  <c r="Q116" i="14"/>
  <c r="O116" i="14"/>
  <c r="M116" i="14"/>
  <c r="K116" i="14"/>
  <c r="X115" i="14"/>
  <c r="W115" i="14"/>
  <c r="V115" i="14"/>
  <c r="U115" i="14"/>
  <c r="T115" i="14"/>
  <c r="S115" i="14"/>
  <c r="Q115" i="14"/>
  <c r="O115" i="14"/>
  <c r="M115" i="14"/>
  <c r="K115" i="14"/>
  <c r="X114" i="14"/>
  <c r="W114" i="14"/>
  <c r="V114" i="14"/>
  <c r="U114" i="14"/>
  <c r="T114" i="14"/>
  <c r="S114" i="14"/>
  <c r="Q114" i="14"/>
  <c r="O114" i="14"/>
  <c r="M114" i="14"/>
  <c r="K114" i="14"/>
  <c r="X113" i="14"/>
  <c r="W113" i="14"/>
  <c r="V113" i="14"/>
  <c r="U113" i="14"/>
  <c r="T113" i="14"/>
  <c r="S113" i="14"/>
  <c r="Q113" i="14"/>
  <c r="O113" i="14"/>
  <c r="M113" i="14"/>
  <c r="K113" i="14"/>
  <c r="X112" i="14"/>
  <c r="W112" i="14"/>
  <c r="V112" i="14"/>
  <c r="U112" i="14"/>
  <c r="T112" i="14"/>
  <c r="S112" i="14"/>
  <c r="Q112" i="14"/>
  <c r="O112" i="14"/>
  <c r="M112" i="14"/>
  <c r="K112" i="14"/>
  <c r="X111" i="14"/>
  <c r="W111" i="14"/>
  <c r="V111" i="14"/>
  <c r="U111" i="14"/>
  <c r="T111" i="14"/>
  <c r="S111" i="14"/>
  <c r="Q111" i="14"/>
  <c r="O111" i="14"/>
  <c r="M111" i="14"/>
  <c r="K111" i="14"/>
  <c r="X110" i="14"/>
  <c r="W110" i="14"/>
  <c r="V110" i="14"/>
  <c r="U110" i="14"/>
  <c r="T110" i="14"/>
  <c r="S110" i="14"/>
  <c r="Q110" i="14"/>
  <c r="O110" i="14"/>
  <c r="M110" i="14"/>
  <c r="K110" i="14"/>
  <c r="X109" i="14"/>
  <c r="W109" i="14"/>
  <c r="V109" i="14"/>
  <c r="U109" i="14"/>
  <c r="T109" i="14"/>
  <c r="S109" i="14"/>
  <c r="Q109" i="14"/>
  <c r="O109" i="14"/>
  <c r="M109" i="14"/>
  <c r="K109" i="14"/>
  <c r="X108" i="14"/>
  <c r="W108" i="14"/>
  <c r="V108" i="14"/>
  <c r="U108" i="14"/>
  <c r="T108" i="14"/>
  <c r="S108" i="14"/>
  <c r="Q108" i="14"/>
  <c r="O108" i="14"/>
  <c r="M108" i="14"/>
  <c r="K108" i="14"/>
  <c r="X107" i="14"/>
  <c r="W107" i="14"/>
  <c r="V107" i="14"/>
  <c r="U107" i="14"/>
  <c r="T107" i="14"/>
  <c r="S107" i="14"/>
  <c r="Q107" i="14"/>
  <c r="O107" i="14"/>
  <c r="M107" i="14"/>
  <c r="K107" i="14"/>
  <c r="X106" i="14"/>
  <c r="W106" i="14"/>
  <c r="V106" i="14"/>
  <c r="U106" i="14"/>
  <c r="T106" i="14"/>
  <c r="S106" i="14"/>
  <c r="Q106" i="14"/>
  <c r="O106" i="14"/>
  <c r="M106" i="14"/>
  <c r="K106" i="14"/>
  <c r="X105" i="14"/>
  <c r="W105" i="14"/>
  <c r="V105" i="14"/>
  <c r="U105" i="14"/>
  <c r="T105" i="14"/>
  <c r="S105" i="14"/>
  <c r="Q105" i="14"/>
  <c r="O105" i="14"/>
  <c r="M105" i="14"/>
  <c r="K105" i="14"/>
  <c r="X104" i="14"/>
  <c r="W104" i="14"/>
  <c r="V104" i="14"/>
  <c r="U104" i="14"/>
  <c r="T104" i="14"/>
  <c r="S104" i="14"/>
  <c r="Q104" i="14"/>
  <c r="O104" i="14"/>
  <c r="M104" i="14"/>
  <c r="K104" i="14"/>
  <c r="X103" i="14"/>
  <c r="W103" i="14"/>
  <c r="V103" i="14"/>
  <c r="U103" i="14"/>
  <c r="T103" i="14"/>
  <c r="S103" i="14"/>
  <c r="Q103" i="14"/>
  <c r="O103" i="14"/>
  <c r="M103" i="14"/>
  <c r="K103" i="14"/>
  <c r="X102" i="14"/>
  <c r="W102" i="14"/>
  <c r="V102" i="14"/>
  <c r="U102" i="14"/>
  <c r="T102" i="14"/>
  <c r="S102" i="14"/>
  <c r="Q102" i="14"/>
  <c r="O102" i="14"/>
  <c r="M102" i="14"/>
  <c r="K102" i="14"/>
  <c r="X101" i="14"/>
  <c r="W101" i="14"/>
  <c r="V101" i="14"/>
  <c r="U101" i="14"/>
  <c r="T101" i="14"/>
  <c r="S101" i="14"/>
  <c r="Q101" i="14"/>
  <c r="O101" i="14"/>
  <c r="M101" i="14"/>
  <c r="K101" i="14"/>
  <c r="X100" i="14"/>
  <c r="W100" i="14"/>
  <c r="V100" i="14"/>
  <c r="U100" i="14"/>
  <c r="T100" i="14"/>
  <c r="S100" i="14"/>
  <c r="Q100" i="14"/>
  <c r="O100" i="14"/>
  <c r="M100" i="14"/>
  <c r="K100" i="14"/>
  <c r="X99" i="14"/>
  <c r="W99" i="14"/>
  <c r="V99" i="14"/>
  <c r="U99" i="14"/>
  <c r="T99" i="14"/>
  <c r="S99" i="14"/>
  <c r="Q99" i="14"/>
  <c r="O99" i="14"/>
  <c r="M99" i="14"/>
  <c r="K99" i="14"/>
  <c r="X98" i="14"/>
  <c r="W98" i="14"/>
  <c r="V98" i="14"/>
  <c r="U98" i="14"/>
  <c r="T98" i="14"/>
  <c r="S98" i="14"/>
  <c r="Q98" i="14"/>
  <c r="O98" i="14"/>
  <c r="M98" i="14"/>
  <c r="K98" i="14"/>
  <c r="X97" i="14"/>
  <c r="W97" i="14"/>
  <c r="V97" i="14"/>
  <c r="U97" i="14"/>
  <c r="T97" i="14"/>
  <c r="S97" i="14"/>
  <c r="Q97" i="14"/>
  <c r="O97" i="14"/>
  <c r="M97" i="14"/>
  <c r="K97" i="14"/>
  <c r="X96" i="14"/>
  <c r="W96" i="14"/>
  <c r="V96" i="14"/>
  <c r="U96" i="14"/>
  <c r="T96" i="14"/>
  <c r="S96" i="14"/>
  <c r="Q96" i="14"/>
  <c r="O96" i="14"/>
  <c r="M96" i="14"/>
  <c r="K96" i="14"/>
  <c r="X95" i="14"/>
  <c r="W95" i="14"/>
  <c r="V95" i="14"/>
  <c r="U95" i="14"/>
  <c r="T95" i="14"/>
  <c r="S95" i="14"/>
  <c r="Q95" i="14"/>
  <c r="O95" i="14"/>
  <c r="M95" i="14"/>
  <c r="K95" i="14"/>
  <c r="X94" i="14"/>
  <c r="W94" i="14"/>
  <c r="V94" i="14"/>
  <c r="U94" i="14"/>
  <c r="T94" i="14"/>
  <c r="S94" i="14"/>
  <c r="Q94" i="14"/>
  <c r="O94" i="14"/>
  <c r="M94" i="14"/>
  <c r="K94" i="14"/>
  <c r="X93" i="14"/>
  <c r="W93" i="14"/>
  <c r="V93" i="14"/>
  <c r="U93" i="14"/>
  <c r="T93" i="14"/>
  <c r="S93" i="14"/>
  <c r="Q93" i="14"/>
  <c r="O93" i="14"/>
  <c r="M93" i="14"/>
  <c r="K93" i="14"/>
  <c r="X92" i="14"/>
  <c r="W92" i="14"/>
  <c r="V92" i="14"/>
  <c r="U92" i="14"/>
  <c r="T92" i="14"/>
  <c r="S92" i="14"/>
  <c r="Q92" i="14"/>
  <c r="O92" i="14"/>
  <c r="M92" i="14"/>
  <c r="K92" i="14"/>
  <c r="X91" i="14"/>
  <c r="W91" i="14"/>
  <c r="V91" i="14"/>
  <c r="U91" i="14"/>
  <c r="T91" i="14"/>
  <c r="S91" i="14"/>
  <c r="Q91" i="14"/>
  <c r="O91" i="14"/>
  <c r="M91" i="14"/>
  <c r="K91" i="14"/>
  <c r="X90" i="14"/>
  <c r="W90" i="14"/>
  <c r="V90" i="14"/>
  <c r="U90" i="14"/>
  <c r="T90" i="14"/>
  <c r="S90" i="14"/>
  <c r="Q90" i="14"/>
  <c r="O90" i="14"/>
  <c r="M90" i="14"/>
  <c r="K90" i="14"/>
  <c r="X89" i="14"/>
  <c r="W89" i="14"/>
  <c r="V89" i="14"/>
  <c r="U89" i="14"/>
  <c r="T89" i="14"/>
  <c r="S89" i="14"/>
  <c r="Q89" i="14"/>
  <c r="O89" i="14"/>
  <c r="M89" i="14"/>
  <c r="K89" i="14"/>
  <c r="X88" i="14"/>
  <c r="W88" i="14"/>
  <c r="V88" i="14"/>
  <c r="U88" i="14"/>
  <c r="T88" i="14"/>
  <c r="S88" i="14"/>
  <c r="Q88" i="14"/>
  <c r="O88" i="14"/>
  <c r="M88" i="14"/>
  <c r="K88" i="14"/>
  <c r="X87" i="14"/>
  <c r="W87" i="14"/>
  <c r="V87" i="14"/>
  <c r="U87" i="14"/>
  <c r="T87" i="14"/>
  <c r="S87" i="14"/>
  <c r="Q87" i="14"/>
  <c r="O87" i="14"/>
  <c r="M87" i="14"/>
  <c r="K87" i="14"/>
  <c r="X86" i="14"/>
  <c r="W86" i="14"/>
  <c r="V86" i="14"/>
  <c r="U86" i="14"/>
  <c r="T86" i="14"/>
  <c r="S86" i="14"/>
  <c r="Q86" i="14"/>
  <c r="O86" i="14"/>
  <c r="M86" i="14"/>
  <c r="K86" i="14"/>
  <c r="X85" i="14"/>
  <c r="W85" i="14"/>
  <c r="V85" i="14"/>
  <c r="U85" i="14"/>
  <c r="T85" i="14"/>
  <c r="S85" i="14"/>
  <c r="Q85" i="14"/>
  <c r="O85" i="14"/>
  <c r="M85" i="14"/>
  <c r="K85" i="14"/>
  <c r="X84" i="14"/>
  <c r="W84" i="14"/>
  <c r="V84" i="14"/>
  <c r="U84" i="14"/>
  <c r="T84" i="14"/>
  <c r="S84" i="14"/>
  <c r="Q84" i="14"/>
  <c r="O84" i="14"/>
  <c r="M84" i="14"/>
  <c r="K84" i="14"/>
  <c r="X83" i="14"/>
  <c r="W83" i="14"/>
  <c r="V83" i="14"/>
  <c r="U83" i="14"/>
  <c r="T83" i="14"/>
  <c r="S83" i="14"/>
  <c r="Q83" i="14"/>
  <c r="O83" i="14"/>
  <c r="M83" i="14"/>
  <c r="K83" i="14"/>
  <c r="X82" i="14"/>
  <c r="W82" i="14"/>
  <c r="V82" i="14"/>
  <c r="U82" i="14"/>
  <c r="T82" i="14"/>
  <c r="S82" i="14"/>
  <c r="Q82" i="14"/>
  <c r="O82" i="14"/>
  <c r="M82" i="14"/>
  <c r="K82" i="14"/>
  <c r="X81" i="14"/>
  <c r="W81" i="14"/>
  <c r="V81" i="14"/>
  <c r="U81" i="14"/>
  <c r="T81" i="14"/>
  <c r="S81" i="14"/>
  <c r="Q81" i="14"/>
  <c r="O81" i="14"/>
  <c r="M81" i="14"/>
  <c r="K81" i="14"/>
  <c r="X80" i="14"/>
  <c r="W80" i="14"/>
  <c r="V80" i="14"/>
  <c r="U80" i="14"/>
  <c r="T80" i="14"/>
  <c r="S80" i="14"/>
  <c r="Q80" i="14"/>
  <c r="O80" i="14"/>
  <c r="M80" i="14"/>
  <c r="K80" i="14"/>
  <c r="X79" i="14"/>
  <c r="W79" i="14"/>
  <c r="V79" i="14"/>
  <c r="U79" i="14"/>
  <c r="T79" i="14"/>
  <c r="S79" i="14"/>
  <c r="Q79" i="14"/>
  <c r="O79" i="14"/>
  <c r="M79" i="14"/>
  <c r="K79" i="14"/>
  <c r="X78" i="14"/>
  <c r="W78" i="14"/>
  <c r="V78" i="14"/>
  <c r="U78" i="14"/>
  <c r="T78" i="14"/>
  <c r="S78" i="14"/>
  <c r="Q78" i="14"/>
  <c r="O78" i="14"/>
  <c r="M78" i="14"/>
  <c r="K78" i="14"/>
  <c r="X77" i="14"/>
  <c r="W77" i="14"/>
  <c r="V77" i="14"/>
  <c r="U77" i="14"/>
  <c r="T77" i="14"/>
  <c r="S77" i="14"/>
  <c r="Q77" i="14"/>
  <c r="O77" i="14"/>
  <c r="M77" i="14"/>
  <c r="K77" i="14"/>
  <c r="X76" i="14"/>
  <c r="W76" i="14"/>
  <c r="V76" i="14"/>
  <c r="U76" i="14"/>
  <c r="T76" i="14"/>
  <c r="S76" i="14"/>
  <c r="Q76" i="14"/>
  <c r="O76" i="14"/>
  <c r="M76" i="14"/>
  <c r="K76" i="14"/>
  <c r="X75" i="14"/>
  <c r="W75" i="14"/>
  <c r="V75" i="14"/>
  <c r="U75" i="14"/>
  <c r="T75" i="14"/>
  <c r="S75" i="14"/>
  <c r="Q75" i="14"/>
  <c r="O75" i="14"/>
  <c r="M75" i="14"/>
  <c r="K75" i="14"/>
  <c r="X74" i="14"/>
  <c r="W74" i="14"/>
  <c r="V74" i="14"/>
  <c r="U74" i="14"/>
  <c r="T74" i="14"/>
  <c r="S74" i="14"/>
  <c r="Q74" i="14"/>
  <c r="O74" i="14"/>
  <c r="M74" i="14"/>
  <c r="K74" i="14"/>
  <c r="X73" i="14"/>
  <c r="W73" i="14"/>
  <c r="V73" i="14"/>
  <c r="U73" i="14"/>
  <c r="T73" i="14"/>
  <c r="S73" i="14"/>
  <c r="Q73" i="14"/>
  <c r="O73" i="14"/>
  <c r="M73" i="14"/>
  <c r="K73" i="14"/>
  <c r="X72" i="14"/>
  <c r="W72" i="14"/>
  <c r="V72" i="14"/>
  <c r="U72" i="14"/>
  <c r="T72" i="14"/>
  <c r="S72" i="14"/>
  <c r="Q72" i="14"/>
  <c r="O72" i="14"/>
  <c r="M72" i="14"/>
  <c r="K72" i="14"/>
  <c r="X71" i="14"/>
  <c r="W71" i="14"/>
  <c r="V71" i="14"/>
  <c r="U71" i="14"/>
  <c r="T71" i="14"/>
  <c r="S71" i="14"/>
  <c r="Q71" i="14"/>
  <c r="O71" i="14"/>
  <c r="M71" i="14"/>
  <c r="K71" i="14"/>
  <c r="X70" i="14"/>
  <c r="W70" i="14"/>
  <c r="V70" i="14"/>
  <c r="U70" i="14"/>
  <c r="T70" i="14"/>
  <c r="S70" i="14"/>
  <c r="Q70" i="14"/>
  <c r="O70" i="14"/>
  <c r="M70" i="14"/>
  <c r="K70" i="14"/>
  <c r="X69" i="14"/>
  <c r="W69" i="14"/>
  <c r="V69" i="14"/>
  <c r="U69" i="14"/>
  <c r="T69" i="14"/>
  <c r="S69" i="14"/>
  <c r="Q69" i="14"/>
  <c r="O69" i="14"/>
  <c r="M69" i="14"/>
  <c r="K69" i="14"/>
  <c r="X68" i="14"/>
  <c r="W68" i="14"/>
  <c r="V68" i="14"/>
  <c r="U68" i="14"/>
  <c r="T68" i="14"/>
  <c r="S68" i="14"/>
  <c r="Q68" i="14"/>
  <c r="O68" i="14"/>
  <c r="M68" i="14"/>
  <c r="K68" i="14"/>
  <c r="X67" i="14"/>
  <c r="W67" i="14"/>
  <c r="V67" i="14"/>
  <c r="U67" i="14"/>
  <c r="T67" i="14"/>
  <c r="S67" i="14"/>
  <c r="Q67" i="14"/>
  <c r="O67" i="14"/>
  <c r="M67" i="14"/>
  <c r="K67" i="14"/>
  <c r="X66" i="14"/>
  <c r="W66" i="14"/>
  <c r="V66" i="14"/>
  <c r="U66" i="14"/>
  <c r="T66" i="14"/>
  <c r="S66" i="14"/>
  <c r="Q66" i="14"/>
  <c r="O66" i="14"/>
  <c r="M66" i="14"/>
  <c r="K66" i="14"/>
  <c r="X65" i="14"/>
  <c r="W65" i="14"/>
  <c r="V65" i="14"/>
  <c r="U65" i="14"/>
  <c r="T65" i="14"/>
  <c r="S65" i="14"/>
  <c r="Q65" i="14"/>
  <c r="O65" i="14"/>
  <c r="M65" i="14"/>
  <c r="K65" i="14"/>
  <c r="X64" i="14"/>
  <c r="W64" i="14"/>
  <c r="V64" i="14"/>
  <c r="U64" i="14"/>
  <c r="T64" i="14"/>
  <c r="S64" i="14"/>
  <c r="Q64" i="14"/>
  <c r="O64" i="14"/>
  <c r="M64" i="14"/>
  <c r="K64" i="14"/>
  <c r="X63" i="14"/>
  <c r="W63" i="14"/>
  <c r="V63" i="14"/>
  <c r="U63" i="14"/>
  <c r="T63" i="14"/>
  <c r="S63" i="14"/>
  <c r="Q63" i="14"/>
  <c r="O63" i="14"/>
  <c r="M63" i="14"/>
  <c r="K63" i="14"/>
  <c r="X62" i="14"/>
  <c r="W62" i="14"/>
  <c r="V62" i="14"/>
  <c r="U62" i="14"/>
  <c r="T62" i="14"/>
  <c r="S62" i="14"/>
  <c r="Q62" i="14"/>
  <c r="O62" i="14"/>
  <c r="M62" i="14"/>
  <c r="K62" i="14"/>
  <c r="X61" i="14"/>
  <c r="W61" i="14"/>
  <c r="V61" i="14"/>
  <c r="U61" i="14"/>
  <c r="T61" i="14"/>
  <c r="S61" i="14"/>
  <c r="Q61" i="14"/>
  <c r="O61" i="14"/>
  <c r="M61" i="14"/>
  <c r="K61" i="14"/>
  <c r="X60" i="14"/>
  <c r="W60" i="14"/>
  <c r="V60" i="14"/>
  <c r="U60" i="14"/>
  <c r="T60" i="14"/>
  <c r="S60" i="14"/>
  <c r="Q60" i="14"/>
  <c r="O60" i="14"/>
  <c r="M60" i="14"/>
  <c r="K60" i="14"/>
  <c r="X59" i="14"/>
  <c r="W59" i="14"/>
  <c r="V59" i="14"/>
  <c r="U59" i="14"/>
  <c r="T59" i="14"/>
  <c r="S59" i="14"/>
  <c r="Q59" i="14"/>
  <c r="O59" i="14"/>
  <c r="M59" i="14"/>
  <c r="K59" i="14"/>
  <c r="X58" i="14"/>
  <c r="W58" i="14"/>
  <c r="V58" i="14"/>
  <c r="U58" i="14"/>
  <c r="T58" i="14"/>
  <c r="S58" i="14"/>
  <c r="Q58" i="14"/>
  <c r="O58" i="14"/>
  <c r="M58" i="14"/>
  <c r="K58" i="14"/>
  <c r="X57" i="14"/>
  <c r="W57" i="14"/>
  <c r="V57" i="14"/>
  <c r="U57" i="14"/>
  <c r="T57" i="14"/>
  <c r="S57" i="14"/>
  <c r="Q57" i="14"/>
  <c r="O57" i="14"/>
  <c r="M57" i="14"/>
  <c r="K57" i="14"/>
  <c r="X56" i="14"/>
  <c r="W56" i="14"/>
  <c r="V56" i="14"/>
  <c r="U56" i="14"/>
  <c r="T56" i="14"/>
  <c r="S56" i="14"/>
  <c r="Q56" i="14"/>
  <c r="O56" i="14"/>
  <c r="M56" i="14"/>
  <c r="K56" i="14"/>
  <c r="X55" i="14"/>
  <c r="W55" i="14"/>
  <c r="V55" i="14"/>
  <c r="U55" i="14"/>
  <c r="T55" i="14"/>
  <c r="S55" i="14"/>
  <c r="Q55" i="14"/>
  <c r="O55" i="14"/>
  <c r="M55" i="14"/>
  <c r="K55" i="14"/>
  <c r="X54" i="14"/>
  <c r="W54" i="14"/>
  <c r="V54" i="14"/>
  <c r="U54" i="14"/>
  <c r="T54" i="14"/>
  <c r="S54" i="14"/>
  <c r="Q54" i="14"/>
  <c r="O54" i="14"/>
  <c r="M54" i="14"/>
  <c r="K54" i="14"/>
  <c r="X53" i="14"/>
  <c r="W53" i="14"/>
  <c r="V53" i="14"/>
  <c r="U53" i="14"/>
  <c r="T53" i="14"/>
  <c r="S53" i="14"/>
  <c r="Q53" i="14"/>
  <c r="O53" i="14"/>
  <c r="M53" i="14"/>
  <c r="K53" i="14"/>
  <c r="X52" i="14"/>
  <c r="W52" i="14"/>
  <c r="V52" i="14"/>
  <c r="U52" i="14"/>
  <c r="T52" i="14"/>
  <c r="S52" i="14"/>
  <c r="Q52" i="14"/>
  <c r="O52" i="14"/>
  <c r="M52" i="14"/>
  <c r="K52" i="14"/>
  <c r="X51" i="14"/>
  <c r="W51" i="14"/>
  <c r="V51" i="14"/>
  <c r="U51" i="14"/>
  <c r="T51" i="14"/>
  <c r="S51" i="14"/>
  <c r="Q51" i="14"/>
  <c r="O51" i="14"/>
  <c r="M51" i="14"/>
  <c r="K51" i="14"/>
  <c r="X50" i="14"/>
  <c r="W50" i="14"/>
  <c r="V50" i="14"/>
  <c r="U50" i="14"/>
  <c r="T50" i="14"/>
  <c r="S50" i="14"/>
  <c r="Q50" i="14"/>
  <c r="O50" i="14"/>
  <c r="M50" i="14"/>
  <c r="K50" i="14"/>
  <c r="X49" i="14"/>
  <c r="W49" i="14"/>
  <c r="V49" i="14"/>
  <c r="U49" i="14"/>
  <c r="T49" i="14"/>
  <c r="S49" i="14"/>
  <c r="Q49" i="14"/>
  <c r="O49" i="14"/>
  <c r="M49" i="14"/>
  <c r="K49" i="14"/>
  <c r="X48" i="14"/>
  <c r="W48" i="14"/>
  <c r="V48" i="14"/>
  <c r="U48" i="14"/>
  <c r="T48" i="14"/>
  <c r="S48" i="14"/>
  <c r="Q48" i="14"/>
  <c r="O48" i="14"/>
  <c r="M48" i="14"/>
  <c r="K48" i="14"/>
  <c r="X47" i="14"/>
  <c r="W47" i="14"/>
  <c r="V47" i="14"/>
  <c r="U47" i="14"/>
  <c r="T47" i="14"/>
  <c r="S47" i="14"/>
  <c r="Q47" i="14"/>
  <c r="O47" i="14"/>
  <c r="M47" i="14"/>
  <c r="K47" i="14"/>
  <c r="X46" i="14"/>
  <c r="W46" i="14"/>
  <c r="V46" i="14"/>
  <c r="U46" i="14"/>
  <c r="T46" i="14"/>
  <c r="S46" i="14"/>
  <c r="Q46" i="14"/>
  <c r="O46" i="14"/>
  <c r="M46" i="14"/>
  <c r="K46" i="14"/>
  <c r="X45" i="14"/>
  <c r="W45" i="14"/>
  <c r="V45" i="14"/>
  <c r="U45" i="14"/>
  <c r="T45" i="14"/>
  <c r="S45" i="14"/>
  <c r="Q45" i="14"/>
  <c r="O45" i="14"/>
  <c r="M45" i="14"/>
  <c r="K45" i="14"/>
  <c r="X44" i="14"/>
  <c r="W44" i="14"/>
  <c r="V44" i="14"/>
  <c r="U44" i="14"/>
  <c r="T44" i="14"/>
  <c r="S44" i="14"/>
  <c r="Q44" i="14"/>
  <c r="O44" i="14"/>
  <c r="M44" i="14"/>
  <c r="K44" i="14"/>
  <c r="X43" i="14"/>
  <c r="W43" i="14"/>
  <c r="V43" i="14"/>
  <c r="U43" i="14"/>
  <c r="T43" i="14"/>
  <c r="S43" i="14"/>
  <c r="Q43" i="14"/>
  <c r="O43" i="14"/>
  <c r="M43" i="14"/>
  <c r="K43" i="14"/>
  <c r="X42" i="14"/>
  <c r="W42" i="14"/>
  <c r="V42" i="14"/>
  <c r="U42" i="14"/>
  <c r="T42" i="14"/>
  <c r="S42" i="14"/>
  <c r="Q42" i="14"/>
  <c r="O42" i="14"/>
  <c r="M42" i="14"/>
  <c r="K42" i="14"/>
  <c r="X41" i="14"/>
  <c r="W41" i="14"/>
  <c r="V41" i="14"/>
  <c r="U41" i="14"/>
  <c r="T41" i="14"/>
  <c r="S41" i="14"/>
  <c r="Q41" i="14"/>
  <c r="O41" i="14"/>
  <c r="M41" i="14"/>
  <c r="K41" i="14"/>
  <c r="X40" i="14"/>
  <c r="W40" i="14"/>
  <c r="V40" i="14"/>
  <c r="U40" i="14"/>
  <c r="T40" i="14"/>
  <c r="S40" i="14"/>
  <c r="Q40" i="14"/>
  <c r="O40" i="14"/>
  <c r="M40" i="14"/>
  <c r="K40" i="14"/>
  <c r="X39" i="14"/>
  <c r="W39" i="14"/>
  <c r="V39" i="14"/>
  <c r="U39" i="14"/>
  <c r="T39" i="14"/>
  <c r="S39" i="14"/>
  <c r="Q39" i="14"/>
  <c r="O39" i="14"/>
  <c r="M39" i="14"/>
  <c r="K39" i="14"/>
  <c r="X38" i="14"/>
  <c r="W38" i="14"/>
  <c r="V38" i="14"/>
  <c r="U38" i="14"/>
  <c r="T38" i="14"/>
  <c r="S38" i="14"/>
  <c r="Q38" i="14"/>
  <c r="O38" i="14"/>
  <c r="M38" i="14"/>
  <c r="K38" i="14"/>
  <c r="X37" i="14"/>
  <c r="W37" i="14"/>
  <c r="V37" i="14"/>
  <c r="U37" i="14"/>
  <c r="T37" i="14"/>
  <c r="S37" i="14"/>
  <c r="Q37" i="14"/>
  <c r="O37" i="14"/>
  <c r="M37" i="14"/>
  <c r="K37" i="14"/>
  <c r="X36" i="14"/>
  <c r="W36" i="14"/>
  <c r="V36" i="14"/>
  <c r="U36" i="14"/>
  <c r="T36" i="14"/>
  <c r="S36" i="14"/>
  <c r="Q36" i="14"/>
  <c r="O36" i="14"/>
  <c r="M36" i="14"/>
  <c r="K36" i="14"/>
  <c r="X35" i="14"/>
  <c r="W35" i="14"/>
  <c r="V35" i="14"/>
  <c r="U35" i="14"/>
  <c r="T35" i="14"/>
  <c r="S35" i="14"/>
  <c r="Q35" i="14"/>
  <c r="O35" i="14"/>
  <c r="M35" i="14"/>
  <c r="K35" i="14"/>
  <c r="X34" i="14"/>
  <c r="W34" i="14"/>
  <c r="V34" i="14"/>
  <c r="U34" i="14"/>
  <c r="T34" i="14"/>
  <c r="S34" i="14"/>
  <c r="Q34" i="14"/>
  <c r="O34" i="14"/>
  <c r="M34" i="14"/>
  <c r="K34" i="14"/>
  <c r="X33" i="14"/>
  <c r="W33" i="14"/>
  <c r="V33" i="14"/>
  <c r="U33" i="14"/>
  <c r="T33" i="14"/>
  <c r="S33" i="14"/>
  <c r="Q33" i="14"/>
  <c r="O33" i="14"/>
  <c r="M33" i="14"/>
  <c r="K33" i="14"/>
  <c r="X32" i="14"/>
  <c r="W32" i="14"/>
  <c r="V32" i="14"/>
  <c r="U32" i="14"/>
  <c r="T32" i="14"/>
  <c r="S32" i="14"/>
  <c r="Q32" i="14"/>
  <c r="O32" i="14"/>
  <c r="M32" i="14"/>
  <c r="K32" i="14"/>
  <c r="X31" i="14"/>
  <c r="W31" i="14"/>
  <c r="V31" i="14"/>
  <c r="U31" i="14"/>
  <c r="T31" i="14"/>
  <c r="S31" i="14"/>
  <c r="Q31" i="14"/>
  <c r="O31" i="14"/>
  <c r="M31" i="14"/>
  <c r="K31" i="14"/>
  <c r="X30" i="14"/>
  <c r="W30" i="14"/>
  <c r="V30" i="14"/>
  <c r="U30" i="14"/>
  <c r="T30" i="14"/>
  <c r="S30" i="14"/>
  <c r="Q30" i="14"/>
  <c r="O30" i="14"/>
  <c r="M30" i="14"/>
  <c r="K30" i="14"/>
  <c r="X29" i="14"/>
  <c r="W29" i="14"/>
  <c r="V29" i="14"/>
  <c r="U29" i="14"/>
  <c r="T29" i="14"/>
  <c r="S29" i="14"/>
  <c r="Q29" i="14"/>
  <c r="O29" i="14"/>
  <c r="M29" i="14"/>
  <c r="K29" i="14"/>
  <c r="X28" i="14"/>
  <c r="W28" i="14"/>
  <c r="V28" i="14"/>
  <c r="U28" i="14"/>
  <c r="T28" i="14"/>
  <c r="S28" i="14"/>
  <c r="Q28" i="14"/>
  <c r="O28" i="14"/>
  <c r="M28" i="14"/>
  <c r="K28" i="14"/>
  <c r="X27" i="14"/>
  <c r="W27" i="14"/>
  <c r="V27" i="14"/>
  <c r="U27" i="14"/>
  <c r="T27" i="14"/>
  <c r="S27" i="14"/>
  <c r="Q27" i="14"/>
  <c r="O27" i="14"/>
  <c r="M27" i="14"/>
  <c r="K27" i="14"/>
  <c r="X26" i="14"/>
  <c r="W26" i="14"/>
  <c r="V26" i="14"/>
  <c r="U26" i="14"/>
  <c r="T26" i="14"/>
  <c r="S26" i="14"/>
  <c r="Q26" i="14"/>
  <c r="O26" i="14"/>
  <c r="M26" i="14"/>
  <c r="K26" i="14"/>
  <c r="X25" i="14"/>
  <c r="W25" i="14"/>
  <c r="V25" i="14"/>
  <c r="U25" i="14"/>
  <c r="T25" i="14"/>
  <c r="S25" i="14"/>
  <c r="Q25" i="14"/>
  <c r="O25" i="14"/>
  <c r="M25" i="14"/>
  <c r="K25" i="14"/>
  <c r="X24" i="14"/>
  <c r="W24" i="14"/>
  <c r="V24" i="14"/>
  <c r="U24" i="14"/>
  <c r="T24" i="14"/>
  <c r="S24" i="14"/>
  <c r="Q24" i="14"/>
  <c r="O24" i="14"/>
  <c r="M24" i="14"/>
  <c r="K24" i="14"/>
  <c r="X23" i="14"/>
  <c r="W23" i="14"/>
  <c r="V23" i="14"/>
  <c r="U23" i="14"/>
  <c r="T23" i="14"/>
  <c r="S23" i="14"/>
  <c r="Q23" i="14"/>
  <c r="O23" i="14"/>
  <c r="M23" i="14"/>
  <c r="K23" i="14"/>
  <c r="X22" i="14"/>
  <c r="W22" i="14"/>
  <c r="V22" i="14"/>
  <c r="U22" i="14"/>
  <c r="T22" i="14"/>
  <c r="S22" i="14"/>
  <c r="Q22" i="14"/>
  <c r="O22" i="14"/>
  <c r="M22" i="14"/>
  <c r="K22" i="14"/>
  <c r="X21" i="14"/>
  <c r="W21" i="14"/>
  <c r="V21" i="14"/>
  <c r="U21" i="14"/>
  <c r="T21" i="14"/>
  <c r="S21" i="14"/>
  <c r="Q21" i="14"/>
  <c r="O21" i="14"/>
  <c r="M21" i="14"/>
  <c r="K21" i="14"/>
  <c r="X20" i="14"/>
  <c r="W20" i="14"/>
  <c r="V20" i="14"/>
  <c r="U20" i="14"/>
  <c r="T20" i="14"/>
  <c r="S20" i="14"/>
  <c r="Q20" i="14"/>
  <c r="O20" i="14"/>
  <c r="M20" i="14"/>
  <c r="K20" i="14"/>
  <c r="X19" i="14"/>
  <c r="W19" i="14"/>
  <c r="V19" i="14"/>
  <c r="U19" i="14"/>
  <c r="T19" i="14"/>
  <c r="S19" i="14"/>
  <c r="Q19" i="14"/>
  <c r="O19" i="14"/>
  <c r="M19" i="14"/>
  <c r="K19" i="14"/>
  <c r="X18" i="14"/>
  <c r="W18" i="14"/>
  <c r="V18" i="14"/>
  <c r="U18" i="14"/>
  <c r="T18" i="14"/>
  <c r="S18" i="14"/>
  <c r="Q18" i="14"/>
  <c r="O18" i="14"/>
  <c r="M18" i="14"/>
  <c r="K18" i="14"/>
  <c r="X17" i="14"/>
  <c r="W17" i="14"/>
  <c r="V17" i="14"/>
  <c r="U17" i="14"/>
  <c r="T17" i="14"/>
  <c r="S17" i="14"/>
  <c r="Q17" i="14"/>
  <c r="O17" i="14"/>
  <c r="M17" i="14"/>
  <c r="K17" i="14"/>
  <c r="X16" i="14"/>
  <c r="W16" i="14"/>
  <c r="V16" i="14"/>
  <c r="U16" i="14"/>
  <c r="T16" i="14"/>
  <c r="S16" i="14"/>
  <c r="Q16" i="14"/>
  <c r="O16" i="14"/>
  <c r="M16" i="14"/>
  <c r="K16" i="14"/>
  <c r="X15" i="14"/>
  <c r="W15" i="14"/>
  <c r="V15" i="14"/>
  <c r="U15" i="14"/>
  <c r="T15" i="14"/>
  <c r="S15" i="14"/>
  <c r="Q15" i="14"/>
  <c r="O15" i="14"/>
  <c r="M15" i="14"/>
  <c r="K15" i="14"/>
  <c r="X14" i="14"/>
  <c r="W14" i="14"/>
  <c r="V14" i="14"/>
  <c r="U14" i="14"/>
  <c r="T14" i="14"/>
  <c r="S14" i="14"/>
  <c r="Q14" i="14"/>
  <c r="O14" i="14"/>
  <c r="M14" i="14"/>
  <c r="K14" i="14"/>
  <c r="X13" i="14"/>
  <c r="W13" i="14"/>
  <c r="V13" i="14"/>
  <c r="U13" i="14"/>
  <c r="T13" i="14"/>
  <c r="S13" i="14"/>
  <c r="Q13" i="14"/>
  <c r="O13" i="14"/>
  <c r="M13" i="14"/>
  <c r="K13" i="14"/>
  <c r="X12" i="14"/>
  <c r="W12" i="14"/>
  <c r="V12" i="14"/>
  <c r="U12" i="14"/>
  <c r="T12" i="14"/>
  <c r="S12" i="14"/>
  <c r="Q12" i="14"/>
  <c r="O12" i="14"/>
  <c r="M12" i="14"/>
  <c r="K12" i="14"/>
  <c r="X11" i="14"/>
  <c r="W11" i="14"/>
  <c r="V11" i="14"/>
  <c r="U11" i="14"/>
  <c r="T11" i="14"/>
  <c r="S11" i="14"/>
  <c r="Q11" i="14"/>
  <c r="O11" i="14"/>
  <c r="M11" i="14"/>
  <c r="K11" i="14"/>
  <c r="X10" i="14"/>
  <c r="W10" i="14"/>
  <c r="V10" i="14"/>
  <c r="U10" i="14"/>
  <c r="T10" i="14"/>
  <c r="S10" i="14"/>
  <c r="Q10" i="14"/>
  <c r="O10" i="14"/>
  <c r="M10" i="14"/>
  <c r="K10" i="14"/>
  <c r="X9" i="14"/>
  <c r="W9" i="14"/>
  <c r="V9" i="14"/>
  <c r="U9" i="14"/>
  <c r="T9" i="14"/>
  <c r="S9" i="14"/>
  <c r="Q9" i="14"/>
  <c r="O9" i="14"/>
  <c r="M9" i="14"/>
  <c r="K9" i="14"/>
  <c r="X8" i="14"/>
  <c r="W8" i="14"/>
  <c r="V8" i="14"/>
  <c r="U8" i="14"/>
  <c r="T8" i="14"/>
  <c r="S8" i="14"/>
  <c r="Q8" i="14"/>
  <c r="O8" i="14"/>
  <c r="M8" i="14"/>
  <c r="K8" i="14"/>
  <c r="X7" i="14"/>
  <c r="W7" i="14"/>
  <c r="V7" i="14"/>
  <c r="U7" i="14"/>
  <c r="T7" i="14"/>
  <c r="S7" i="14"/>
  <c r="Q7" i="14"/>
  <c r="O7" i="14"/>
  <c r="M7" i="14"/>
  <c r="K7" i="14"/>
  <c r="X260" i="13" l="1"/>
  <c r="W260" i="13"/>
  <c r="V260" i="13"/>
  <c r="U260" i="13"/>
  <c r="T260" i="13"/>
  <c r="S260" i="13"/>
  <c r="Q260" i="13"/>
  <c r="O260" i="13"/>
  <c r="M260" i="13"/>
  <c r="K260" i="13"/>
  <c r="X259" i="13"/>
  <c r="W259" i="13"/>
  <c r="V259" i="13"/>
  <c r="U259" i="13"/>
  <c r="T259" i="13"/>
  <c r="S259" i="13"/>
  <c r="Q259" i="13"/>
  <c r="O259" i="13"/>
  <c r="M259" i="13"/>
  <c r="K259" i="13"/>
  <c r="X258" i="13"/>
  <c r="W258" i="13"/>
  <c r="V258" i="13"/>
  <c r="U258" i="13"/>
  <c r="T258" i="13"/>
  <c r="S258" i="13"/>
  <c r="Q258" i="13"/>
  <c r="O258" i="13"/>
  <c r="M258" i="13"/>
  <c r="K258" i="13"/>
  <c r="X257" i="13"/>
  <c r="W257" i="13"/>
  <c r="V257" i="13"/>
  <c r="U257" i="13"/>
  <c r="T257" i="13"/>
  <c r="S257" i="13"/>
  <c r="Q257" i="13"/>
  <c r="O257" i="13"/>
  <c r="M257" i="13"/>
  <c r="K257" i="13"/>
  <c r="X256" i="13"/>
  <c r="W256" i="13"/>
  <c r="V256" i="13"/>
  <c r="U256" i="13"/>
  <c r="T256" i="13"/>
  <c r="S256" i="13"/>
  <c r="Q256" i="13"/>
  <c r="O256" i="13"/>
  <c r="M256" i="13"/>
  <c r="K256" i="13"/>
  <c r="X255" i="13"/>
  <c r="W255" i="13"/>
  <c r="V255" i="13"/>
  <c r="U255" i="13"/>
  <c r="T255" i="13"/>
  <c r="S255" i="13"/>
  <c r="Q255" i="13"/>
  <c r="O255" i="13"/>
  <c r="M255" i="13"/>
  <c r="K255" i="13"/>
  <c r="X254" i="13"/>
  <c r="W254" i="13"/>
  <c r="V254" i="13"/>
  <c r="U254" i="13"/>
  <c r="T254" i="13"/>
  <c r="S254" i="13"/>
  <c r="Q254" i="13"/>
  <c r="O254" i="13"/>
  <c r="M254" i="13"/>
  <c r="K254" i="13"/>
  <c r="X253" i="13"/>
  <c r="W253" i="13"/>
  <c r="V253" i="13"/>
  <c r="U253" i="13"/>
  <c r="T253" i="13"/>
  <c r="S253" i="13"/>
  <c r="Q253" i="13"/>
  <c r="O253" i="13"/>
  <c r="M253" i="13"/>
  <c r="K253" i="13"/>
  <c r="X252" i="13"/>
  <c r="W252" i="13"/>
  <c r="V252" i="13"/>
  <c r="U252" i="13"/>
  <c r="T252" i="13"/>
  <c r="S252" i="13"/>
  <c r="Q252" i="13"/>
  <c r="O252" i="13"/>
  <c r="M252" i="13"/>
  <c r="K252" i="13"/>
  <c r="X251" i="13"/>
  <c r="W251" i="13"/>
  <c r="V251" i="13"/>
  <c r="U251" i="13"/>
  <c r="T251" i="13"/>
  <c r="S251" i="13"/>
  <c r="Q251" i="13"/>
  <c r="O251" i="13"/>
  <c r="M251" i="13"/>
  <c r="K251" i="13"/>
  <c r="X250" i="13"/>
  <c r="W250" i="13"/>
  <c r="V250" i="13"/>
  <c r="U250" i="13"/>
  <c r="T250" i="13"/>
  <c r="S250" i="13"/>
  <c r="Q250" i="13"/>
  <c r="O250" i="13"/>
  <c r="M250" i="13"/>
  <c r="K250" i="13"/>
  <c r="X249" i="13"/>
  <c r="W249" i="13"/>
  <c r="V249" i="13"/>
  <c r="U249" i="13"/>
  <c r="T249" i="13"/>
  <c r="S249" i="13"/>
  <c r="Q249" i="13"/>
  <c r="O249" i="13"/>
  <c r="M249" i="13"/>
  <c r="K249" i="13"/>
  <c r="X248" i="13"/>
  <c r="W248" i="13"/>
  <c r="V248" i="13"/>
  <c r="U248" i="13"/>
  <c r="T248" i="13"/>
  <c r="S248" i="13"/>
  <c r="Q248" i="13"/>
  <c r="O248" i="13"/>
  <c r="M248" i="13"/>
  <c r="K248" i="13"/>
  <c r="X247" i="13"/>
  <c r="W247" i="13"/>
  <c r="V247" i="13"/>
  <c r="U247" i="13"/>
  <c r="T247" i="13"/>
  <c r="S247" i="13"/>
  <c r="Q247" i="13"/>
  <c r="O247" i="13"/>
  <c r="M247" i="13"/>
  <c r="K247" i="13"/>
  <c r="X246" i="13"/>
  <c r="W246" i="13"/>
  <c r="V246" i="13"/>
  <c r="U246" i="13"/>
  <c r="T246" i="13"/>
  <c r="S246" i="13"/>
  <c r="Q246" i="13"/>
  <c r="O246" i="13"/>
  <c r="M246" i="13"/>
  <c r="K246" i="13"/>
  <c r="X245" i="13"/>
  <c r="W245" i="13"/>
  <c r="V245" i="13"/>
  <c r="U245" i="13"/>
  <c r="T245" i="13"/>
  <c r="S245" i="13"/>
  <c r="Q245" i="13"/>
  <c r="O245" i="13"/>
  <c r="M245" i="13"/>
  <c r="K245" i="13"/>
  <c r="X244" i="13"/>
  <c r="W244" i="13"/>
  <c r="V244" i="13"/>
  <c r="U244" i="13"/>
  <c r="T244" i="13"/>
  <c r="S244" i="13"/>
  <c r="Q244" i="13"/>
  <c r="O244" i="13"/>
  <c r="M244" i="13"/>
  <c r="K244" i="13"/>
  <c r="X243" i="13"/>
  <c r="W243" i="13"/>
  <c r="V243" i="13"/>
  <c r="U243" i="13"/>
  <c r="T243" i="13"/>
  <c r="S243" i="13"/>
  <c r="Q243" i="13"/>
  <c r="O243" i="13"/>
  <c r="M243" i="13"/>
  <c r="K243" i="13"/>
  <c r="X242" i="13"/>
  <c r="W242" i="13"/>
  <c r="V242" i="13"/>
  <c r="U242" i="13"/>
  <c r="T242" i="13"/>
  <c r="S242" i="13"/>
  <c r="Q242" i="13"/>
  <c r="O242" i="13"/>
  <c r="M242" i="13"/>
  <c r="K242" i="13"/>
  <c r="X241" i="13"/>
  <c r="W241" i="13"/>
  <c r="V241" i="13"/>
  <c r="U241" i="13"/>
  <c r="T241" i="13"/>
  <c r="S241" i="13"/>
  <c r="Q241" i="13"/>
  <c r="O241" i="13"/>
  <c r="M241" i="13"/>
  <c r="K241" i="13"/>
  <c r="X240" i="13"/>
  <c r="W240" i="13"/>
  <c r="V240" i="13"/>
  <c r="U240" i="13"/>
  <c r="T240" i="13"/>
  <c r="S240" i="13"/>
  <c r="Q240" i="13"/>
  <c r="O240" i="13"/>
  <c r="M240" i="13"/>
  <c r="K240" i="13"/>
  <c r="X239" i="13"/>
  <c r="W239" i="13"/>
  <c r="V239" i="13"/>
  <c r="U239" i="13"/>
  <c r="T239" i="13"/>
  <c r="S239" i="13"/>
  <c r="Q239" i="13"/>
  <c r="O239" i="13"/>
  <c r="M239" i="13"/>
  <c r="K239" i="13"/>
  <c r="X238" i="13"/>
  <c r="W238" i="13"/>
  <c r="V238" i="13"/>
  <c r="U238" i="13"/>
  <c r="T238" i="13"/>
  <c r="S238" i="13"/>
  <c r="Q238" i="13"/>
  <c r="O238" i="13"/>
  <c r="M238" i="13"/>
  <c r="K238" i="13"/>
  <c r="X237" i="13"/>
  <c r="W237" i="13"/>
  <c r="V237" i="13"/>
  <c r="U237" i="13"/>
  <c r="T237" i="13"/>
  <c r="S237" i="13"/>
  <c r="Q237" i="13"/>
  <c r="O237" i="13"/>
  <c r="M237" i="13"/>
  <c r="K237" i="13"/>
  <c r="X236" i="13"/>
  <c r="W236" i="13"/>
  <c r="V236" i="13"/>
  <c r="U236" i="13"/>
  <c r="T236" i="13"/>
  <c r="S236" i="13"/>
  <c r="Q236" i="13"/>
  <c r="O236" i="13"/>
  <c r="M236" i="13"/>
  <c r="K236" i="13"/>
  <c r="X235" i="13"/>
  <c r="W235" i="13"/>
  <c r="V235" i="13"/>
  <c r="U235" i="13"/>
  <c r="T235" i="13"/>
  <c r="S235" i="13"/>
  <c r="Q235" i="13"/>
  <c r="O235" i="13"/>
  <c r="M235" i="13"/>
  <c r="K235" i="13"/>
  <c r="X234" i="13"/>
  <c r="W234" i="13"/>
  <c r="V234" i="13"/>
  <c r="U234" i="13"/>
  <c r="T234" i="13"/>
  <c r="S234" i="13"/>
  <c r="Q234" i="13"/>
  <c r="O234" i="13"/>
  <c r="M234" i="13"/>
  <c r="K234" i="13"/>
  <c r="X233" i="13"/>
  <c r="W233" i="13"/>
  <c r="V233" i="13"/>
  <c r="U233" i="13"/>
  <c r="T233" i="13"/>
  <c r="S233" i="13"/>
  <c r="Q233" i="13"/>
  <c r="O233" i="13"/>
  <c r="M233" i="13"/>
  <c r="K233" i="13"/>
  <c r="X232" i="13"/>
  <c r="W232" i="13"/>
  <c r="V232" i="13"/>
  <c r="U232" i="13"/>
  <c r="T232" i="13"/>
  <c r="S232" i="13"/>
  <c r="Q232" i="13"/>
  <c r="O232" i="13"/>
  <c r="M232" i="13"/>
  <c r="K232" i="13"/>
  <c r="X231" i="13"/>
  <c r="W231" i="13"/>
  <c r="V231" i="13"/>
  <c r="U231" i="13"/>
  <c r="T231" i="13"/>
  <c r="S231" i="13"/>
  <c r="Q231" i="13"/>
  <c r="O231" i="13"/>
  <c r="M231" i="13"/>
  <c r="K231" i="13"/>
  <c r="X230" i="13"/>
  <c r="W230" i="13"/>
  <c r="V230" i="13"/>
  <c r="U230" i="13"/>
  <c r="T230" i="13"/>
  <c r="S230" i="13"/>
  <c r="Q230" i="13"/>
  <c r="O230" i="13"/>
  <c r="M230" i="13"/>
  <c r="K230" i="13"/>
  <c r="X229" i="13"/>
  <c r="W229" i="13"/>
  <c r="V229" i="13"/>
  <c r="U229" i="13"/>
  <c r="T229" i="13"/>
  <c r="S229" i="13"/>
  <c r="Q229" i="13"/>
  <c r="O229" i="13"/>
  <c r="M229" i="13"/>
  <c r="K229" i="13"/>
  <c r="X228" i="13"/>
  <c r="W228" i="13"/>
  <c r="V228" i="13"/>
  <c r="U228" i="13"/>
  <c r="T228" i="13"/>
  <c r="S228" i="13"/>
  <c r="Q228" i="13"/>
  <c r="O228" i="13"/>
  <c r="M228" i="13"/>
  <c r="K228" i="13"/>
  <c r="X227" i="13"/>
  <c r="W227" i="13"/>
  <c r="V227" i="13"/>
  <c r="U227" i="13"/>
  <c r="T227" i="13"/>
  <c r="S227" i="13"/>
  <c r="Q227" i="13"/>
  <c r="O227" i="13"/>
  <c r="M227" i="13"/>
  <c r="K227" i="13"/>
  <c r="X226" i="13"/>
  <c r="W226" i="13"/>
  <c r="V226" i="13"/>
  <c r="U226" i="13"/>
  <c r="T226" i="13"/>
  <c r="S226" i="13"/>
  <c r="Q226" i="13"/>
  <c r="O226" i="13"/>
  <c r="M226" i="13"/>
  <c r="K226" i="13"/>
  <c r="X225" i="13"/>
  <c r="W225" i="13"/>
  <c r="V225" i="13"/>
  <c r="U225" i="13"/>
  <c r="T225" i="13"/>
  <c r="S225" i="13"/>
  <c r="Q225" i="13"/>
  <c r="O225" i="13"/>
  <c r="M225" i="13"/>
  <c r="K225" i="13"/>
  <c r="X224" i="13"/>
  <c r="W224" i="13"/>
  <c r="V224" i="13"/>
  <c r="U224" i="13"/>
  <c r="T224" i="13"/>
  <c r="S224" i="13"/>
  <c r="Q224" i="13"/>
  <c r="O224" i="13"/>
  <c r="M224" i="13"/>
  <c r="K224" i="13"/>
  <c r="X223" i="13"/>
  <c r="W223" i="13"/>
  <c r="V223" i="13"/>
  <c r="U223" i="13"/>
  <c r="T223" i="13"/>
  <c r="S223" i="13"/>
  <c r="Q223" i="13"/>
  <c r="O223" i="13"/>
  <c r="M223" i="13"/>
  <c r="K223" i="13"/>
  <c r="X222" i="13"/>
  <c r="W222" i="13"/>
  <c r="V222" i="13"/>
  <c r="U222" i="13"/>
  <c r="T222" i="13"/>
  <c r="S222" i="13"/>
  <c r="Q222" i="13"/>
  <c r="O222" i="13"/>
  <c r="M222" i="13"/>
  <c r="K222" i="13"/>
  <c r="X221" i="13"/>
  <c r="W221" i="13"/>
  <c r="V221" i="13"/>
  <c r="U221" i="13"/>
  <c r="T221" i="13"/>
  <c r="S221" i="13"/>
  <c r="Q221" i="13"/>
  <c r="O221" i="13"/>
  <c r="M221" i="13"/>
  <c r="K221" i="13"/>
  <c r="X220" i="13"/>
  <c r="W220" i="13"/>
  <c r="V220" i="13"/>
  <c r="U220" i="13"/>
  <c r="T220" i="13"/>
  <c r="S220" i="13"/>
  <c r="Q220" i="13"/>
  <c r="O220" i="13"/>
  <c r="M220" i="13"/>
  <c r="K220" i="13"/>
  <c r="X219" i="13"/>
  <c r="W219" i="13"/>
  <c r="V219" i="13"/>
  <c r="U219" i="13"/>
  <c r="T219" i="13"/>
  <c r="S219" i="13"/>
  <c r="Q219" i="13"/>
  <c r="O219" i="13"/>
  <c r="M219" i="13"/>
  <c r="K219" i="13"/>
  <c r="X218" i="13"/>
  <c r="W218" i="13"/>
  <c r="V218" i="13"/>
  <c r="U218" i="13"/>
  <c r="T218" i="13"/>
  <c r="S218" i="13"/>
  <c r="Q218" i="13"/>
  <c r="O218" i="13"/>
  <c r="M218" i="13"/>
  <c r="K218" i="13"/>
  <c r="X217" i="13"/>
  <c r="W217" i="13"/>
  <c r="V217" i="13"/>
  <c r="U217" i="13"/>
  <c r="T217" i="13"/>
  <c r="S217" i="13"/>
  <c r="Q217" i="13"/>
  <c r="O217" i="13"/>
  <c r="M217" i="13"/>
  <c r="K217" i="13"/>
  <c r="X216" i="13"/>
  <c r="W216" i="13"/>
  <c r="V216" i="13"/>
  <c r="U216" i="13"/>
  <c r="T216" i="13"/>
  <c r="S216" i="13"/>
  <c r="Q216" i="13"/>
  <c r="O216" i="13"/>
  <c r="M216" i="13"/>
  <c r="K216" i="13"/>
  <c r="X215" i="13"/>
  <c r="W215" i="13"/>
  <c r="V215" i="13"/>
  <c r="U215" i="13"/>
  <c r="T215" i="13"/>
  <c r="S215" i="13"/>
  <c r="Q215" i="13"/>
  <c r="O215" i="13"/>
  <c r="M215" i="13"/>
  <c r="K215" i="13"/>
  <c r="X214" i="13"/>
  <c r="W214" i="13"/>
  <c r="V214" i="13"/>
  <c r="U214" i="13"/>
  <c r="T214" i="13"/>
  <c r="S214" i="13"/>
  <c r="Q214" i="13"/>
  <c r="O214" i="13"/>
  <c r="M214" i="13"/>
  <c r="K214" i="13"/>
  <c r="X213" i="13"/>
  <c r="W213" i="13"/>
  <c r="V213" i="13"/>
  <c r="U213" i="13"/>
  <c r="T213" i="13"/>
  <c r="S213" i="13"/>
  <c r="Q213" i="13"/>
  <c r="O213" i="13"/>
  <c r="M213" i="13"/>
  <c r="K213" i="13"/>
  <c r="X212" i="13"/>
  <c r="W212" i="13"/>
  <c r="V212" i="13"/>
  <c r="U212" i="13"/>
  <c r="T212" i="13"/>
  <c r="S212" i="13"/>
  <c r="Q212" i="13"/>
  <c r="O212" i="13"/>
  <c r="M212" i="13"/>
  <c r="K212" i="13"/>
  <c r="X211" i="13"/>
  <c r="W211" i="13"/>
  <c r="V211" i="13"/>
  <c r="U211" i="13"/>
  <c r="T211" i="13"/>
  <c r="S211" i="13"/>
  <c r="Q211" i="13"/>
  <c r="O211" i="13"/>
  <c r="M211" i="13"/>
  <c r="K211" i="13"/>
  <c r="X210" i="13"/>
  <c r="W210" i="13"/>
  <c r="V210" i="13"/>
  <c r="U210" i="13"/>
  <c r="T210" i="13"/>
  <c r="S210" i="13"/>
  <c r="Q210" i="13"/>
  <c r="O210" i="13"/>
  <c r="M210" i="13"/>
  <c r="K210" i="13"/>
  <c r="X209" i="13"/>
  <c r="W209" i="13"/>
  <c r="V209" i="13"/>
  <c r="U209" i="13"/>
  <c r="T209" i="13"/>
  <c r="S209" i="13"/>
  <c r="Q209" i="13"/>
  <c r="O209" i="13"/>
  <c r="M209" i="13"/>
  <c r="K209" i="13"/>
  <c r="X208" i="13"/>
  <c r="W208" i="13"/>
  <c r="V208" i="13"/>
  <c r="U208" i="13"/>
  <c r="T208" i="13"/>
  <c r="S208" i="13"/>
  <c r="Q208" i="13"/>
  <c r="O208" i="13"/>
  <c r="M208" i="13"/>
  <c r="K208" i="13"/>
  <c r="X207" i="13"/>
  <c r="W207" i="13"/>
  <c r="V207" i="13"/>
  <c r="U207" i="13"/>
  <c r="T207" i="13"/>
  <c r="S207" i="13"/>
  <c r="Q207" i="13"/>
  <c r="O207" i="13"/>
  <c r="M207" i="13"/>
  <c r="K207" i="13"/>
  <c r="X206" i="13"/>
  <c r="W206" i="13"/>
  <c r="V206" i="13"/>
  <c r="U206" i="13"/>
  <c r="T206" i="13"/>
  <c r="S206" i="13"/>
  <c r="Q206" i="13"/>
  <c r="O206" i="13"/>
  <c r="M206" i="13"/>
  <c r="K206" i="13"/>
  <c r="X205" i="13"/>
  <c r="W205" i="13"/>
  <c r="V205" i="13"/>
  <c r="U205" i="13"/>
  <c r="T205" i="13"/>
  <c r="S205" i="13"/>
  <c r="Q205" i="13"/>
  <c r="O205" i="13"/>
  <c r="M205" i="13"/>
  <c r="K205" i="13"/>
  <c r="X204" i="13"/>
  <c r="W204" i="13"/>
  <c r="V204" i="13"/>
  <c r="U204" i="13"/>
  <c r="T204" i="13"/>
  <c r="S204" i="13"/>
  <c r="Q204" i="13"/>
  <c r="O204" i="13"/>
  <c r="M204" i="13"/>
  <c r="K204" i="13"/>
  <c r="X203" i="13"/>
  <c r="W203" i="13"/>
  <c r="V203" i="13"/>
  <c r="U203" i="13"/>
  <c r="T203" i="13"/>
  <c r="S203" i="13"/>
  <c r="Q203" i="13"/>
  <c r="O203" i="13"/>
  <c r="M203" i="13"/>
  <c r="K203" i="13"/>
  <c r="X202" i="13"/>
  <c r="W202" i="13"/>
  <c r="V202" i="13"/>
  <c r="U202" i="13"/>
  <c r="T202" i="13"/>
  <c r="S202" i="13"/>
  <c r="Q202" i="13"/>
  <c r="O202" i="13"/>
  <c r="M202" i="13"/>
  <c r="K202" i="13"/>
  <c r="X201" i="13"/>
  <c r="W201" i="13"/>
  <c r="V201" i="13"/>
  <c r="U201" i="13"/>
  <c r="T201" i="13"/>
  <c r="S201" i="13"/>
  <c r="Q201" i="13"/>
  <c r="O201" i="13"/>
  <c r="M201" i="13"/>
  <c r="K201" i="13"/>
  <c r="X200" i="13"/>
  <c r="W200" i="13"/>
  <c r="V200" i="13"/>
  <c r="U200" i="13"/>
  <c r="T200" i="13"/>
  <c r="S200" i="13"/>
  <c r="Q200" i="13"/>
  <c r="O200" i="13"/>
  <c r="M200" i="13"/>
  <c r="K200" i="13"/>
  <c r="X199" i="13"/>
  <c r="W199" i="13"/>
  <c r="V199" i="13"/>
  <c r="U199" i="13"/>
  <c r="T199" i="13"/>
  <c r="S199" i="13"/>
  <c r="Q199" i="13"/>
  <c r="O199" i="13"/>
  <c r="M199" i="13"/>
  <c r="K199" i="13"/>
  <c r="X198" i="13"/>
  <c r="W198" i="13"/>
  <c r="V198" i="13"/>
  <c r="U198" i="13"/>
  <c r="T198" i="13"/>
  <c r="S198" i="13"/>
  <c r="Q198" i="13"/>
  <c r="O198" i="13"/>
  <c r="M198" i="13"/>
  <c r="K198" i="13"/>
  <c r="X197" i="13"/>
  <c r="W197" i="13"/>
  <c r="V197" i="13"/>
  <c r="U197" i="13"/>
  <c r="T197" i="13"/>
  <c r="S197" i="13"/>
  <c r="Q197" i="13"/>
  <c r="O197" i="13"/>
  <c r="M197" i="13"/>
  <c r="K197" i="13"/>
  <c r="X196" i="13"/>
  <c r="W196" i="13"/>
  <c r="V196" i="13"/>
  <c r="U196" i="13"/>
  <c r="T196" i="13"/>
  <c r="S196" i="13"/>
  <c r="Q196" i="13"/>
  <c r="O196" i="13"/>
  <c r="M196" i="13"/>
  <c r="K196" i="13"/>
  <c r="X195" i="13"/>
  <c r="W195" i="13"/>
  <c r="V195" i="13"/>
  <c r="U195" i="13"/>
  <c r="T195" i="13"/>
  <c r="S195" i="13"/>
  <c r="Q195" i="13"/>
  <c r="O195" i="13"/>
  <c r="M195" i="13"/>
  <c r="K195" i="13"/>
  <c r="X194" i="13"/>
  <c r="W194" i="13"/>
  <c r="V194" i="13"/>
  <c r="U194" i="13"/>
  <c r="T194" i="13"/>
  <c r="S194" i="13"/>
  <c r="Q194" i="13"/>
  <c r="O194" i="13"/>
  <c r="M194" i="13"/>
  <c r="K194" i="13"/>
  <c r="X193" i="13"/>
  <c r="W193" i="13"/>
  <c r="V193" i="13"/>
  <c r="U193" i="13"/>
  <c r="T193" i="13"/>
  <c r="S193" i="13"/>
  <c r="Q193" i="13"/>
  <c r="O193" i="13"/>
  <c r="M193" i="13"/>
  <c r="K193" i="13"/>
  <c r="X192" i="13"/>
  <c r="W192" i="13"/>
  <c r="V192" i="13"/>
  <c r="U192" i="13"/>
  <c r="T192" i="13"/>
  <c r="S192" i="13"/>
  <c r="Q192" i="13"/>
  <c r="O192" i="13"/>
  <c r="M192" i="13"/>
  <c r="K192" i="13"/>
  <c r="X191" i="13"/>
  <c r="W191" i="13"/>
  <c r="V191" i="13"/>
  <c r="U191" i="13"/>
  <c r="T191" i="13"/>
  <c r="S191" i="13"/>
  <c r="Q191" i="13"/>
  <c r="O191" i="13"/>
  <c r="M191" i="13"/>
  <c r="K191" i="13"/>
  <c r="X190" i="13"/>
  <c r="W190" i="13"/>
  <c r="V190" i="13"/>
  <c r="U190" i="13"/>
  <c r="T190" i="13"/>
  <c r="S190" i="13"/>
  <c r="Q190" i="13"/>
  <c r="O190" i="13"/>
  <c r="M190" i="13"/>
  <c r="K190" i="13"/>
  <c r="X189" i="13"/>
  <c r="W189" i="13"/>
  <c r="V189" i="13"/>
  <c r="U189" i="13"/>
  <c r="T189" i="13"/>
  <c r="S189" i="13"/>
  <c r="Q189" i="13"/>
  <c r="O189" i="13"/>
  <c r="M189" i="13"/>
  <c r="K189" i="13"/>
  <c r="X188" i="13"/>
  <c r="W188" i="13"/>
  <c r="V188" i="13"/>
  <c r="U188" i="13"/>
  <c r="T188" i="13"/>
  <c r="S188" i="13"/>
  <c r="Q188" i="13"/>
  <c r="O188" i="13"/>
  <c r="M188" i="13"/>
  <c r="K188" i="13"/>
  <c r="X187" i="13"/>
  <c r="W187" i="13"/>
  <c r="V187" i="13"/>
  <c r="U187" i="13"/>
  <c r="T187" i="13"/>
  <c r="S187" i="13"/>
  <c r="Q187" i="13"/>
  <c r="O187" i="13"/>
  <c r="M187" i="13"/>
  <c r="K187" i="13"/>
  <c r="X186" i="13"/>
  <c r="W186" i="13"/>
  <c r="V186" i="13"/>
  <c r="U186" i="13"/>
  <c r="T186" i="13"/>
  <c r="S186" i="13"/>
  <c r="Q186" i="13"/>
  <c r="O186" i="13"/>
  <c r="M186" i="13"/>
  <c r="K186" i="13"/>
  <c r="X185" i="13"/>
  <c r="W185" i="13"/>
  <c r="V185" i="13"/>
  <c r="U185" i="13"/>
  <c r="T185" i="13"/>
  <c r="S185" i="13"/>
  <c r="Q185" i="13"/>
  <c r="O185" i="13"/>
  <c r="M185" i="13"/>
  <c r="K185" i="13"/>
  <c r="X184" i="13"/>
  <c r="W184" i="13"/>
  <c r="V184" i="13"/>
  <c r="U184" i="13"/>
  <c r="T184" i="13"/>
  <c r="S184" i="13"/>
  <c r="Q184" i="13"/>
  <c r="O184" i="13"/>
  <c r="M184" i="13"/>
  <c r="K184" i="13"/>
  <c r="X183" i="13"/>
  <c r="W183" i="13"/>
  <c r="V183" i="13"/>
  <c r="U183" i="13"/>
  <c r="T183" i="13"/>
  <c r="S183" i="13"/>
  <c r="Q183" i="13"/>
  <c r="O183" i="13"/>
  <c r="M183" i="13"/>
  <c r="K183" i="13"/>
  <c r="X182" i="13"/>
  <c r="W182" i="13"/>
  <c r="V182" i="13"/>
  <c r="U182" i="13"/>
  <c r="T182" i="13"/>
  <c r="S182" i="13"/>
  <c r="Q182" i="13"/>
  <c r="O182" i="13"/>
  <c r="M182" i="13"/>
  <c r="K182" i="13"/>
  <c r="X181" i="13"/>
  <c r="W181" i="13"/>
  <c r="V181" i="13"/>
  <c r="U181" i="13"/>
  <c r="T181" i="13"/>
  <c r="S181" i="13"/>
  <c r="Q181" i="13"/>
  <c r="O181" i="13"/>
  <c r="M181" i="13"/>
  <c r="K181" i="13"/>
  <c r="X180" i="13"/>
  <c r="W180" i="13"/>
  <c r="V180" i="13"/>
  <c r="U180" i="13"/>
  <c r="T180" i="13"/>
  <c r="S180" i="13"/>
  <c r="Q180" i="13"/>
  <c r="O180" i="13"/>
  <c r="M180" i="13"/>
  <c r="K180" i="13"/>
  <c r="X179" i="13"/>
  <c r="W179" i="13"/>
  <c r="V179" i="13"/>
  <c r="U179" i="13"/>
  <c r="T179" i="13"/>
  <c r="S179" i="13"/>
  <c r="Q179" i="13"/>
  <c r="O179" i="13"/>
  <c r="M179" i="13"/>
  <c r="K179" i="13"/>
  <c r="X178" i="13"/>
  <c r="W178" i="13"/>
  <c r="V178" i="13"/>
  <c r="U178" i="13"/>
  <c r="T178" i="13"/>
  <c r="S178" i="13"/>
  <c r="Q178" i="13"/>
  <c r="O178" i="13"/>
  <c r="M178" i="13"/>
  <c r="K178" i="13"/>
  <c r="X177" i="13"/>
  <c r="W177" i="13"/>
  <c r="V177" i="13"/>
  <c r="U177" i="13"/>
  <c r="T177" i="13"/>
  <c r="S177" i="13"/>
  <c r="Q177" i="13"/>
  <c r="O177" i="13"/>
  <c r="M177" i="13"/>
  <c r="K177" i="13"/>
  <c r="X176" i="13"/>
  <c r="W176" i="13"/>
  <c r="V176" i="13"/>
  <c r="U176" i="13"/>
  <c r="T176" i="13"/>
  <c r="S176" i="13"/>
  <c r="Q176" i="13"/>
  <c r="O176" i="13"/>
  <c r="M176" i="13"/>
  <c r="K176" i="13"/>
  <c r="X175" i="13"/>
  <c r="W175" i="13"/>
  <c r="V175" i="13"/>
  <c r="U175" i="13"/>
  <c r="T175" i="13"/>
  <c r="S175" i="13"/>
  <c r="Q175" i="13"/>
  <c r="O175" i="13"/>
  <c r="M175" i="13"/>
  <c r="K175" i="13"/>
  <c r="X174" i="13"/>
  <c r="W174" i="13"/>
  <c r="V174" i="13"/>
  <c r="U174" i="13"/>
  <c r="T174" i="13"/>
  <c r="S174" i="13"/>
  <c r="Q174" i="13"/>
  <c r="O174" i="13"/>
  <c r="M174" i="13"/>
  <c r="K174" i="13"/>
  <c r="X173" i="13"/>
  <c r="W173" i="13"/>
  <c r="V173" i="13"/>
  <c r="U173" i="13"/>
  <c r="T173" i="13"/>
  <c r="S173" i="13"/>
  <c r="Q173" i="13"/>
  <c r="O173" i="13"/>
  <c r="M173" i="13"/>
  <c r="K173" i="13"/>
  <c r="X172" i="13"/>
  <c r="W172" i="13"/>
  <c r="V172" i="13"/>
  <c r="U172" i="13"/>
  <c r="T172" i="13"/>
  <c r="S172" i="13"/>
  <c r="Q172" i="13"/>
  <c r="O172" i="13"/>
  <c r="M172" i="13"/>
  <c r="K172" i="13"/>
  <c r="X171" i="13"/>
  <c r="W171" i="13"/>
  <c r="V171" i="13"/>
  <c r="U171" i="13"/>
  <c r="T171" i="13"/>
  <c r="S171" i="13"/>
  <c r="Q171" i="13"/>
  <c r="O171" i="13"/>
  <c r="M171" i="13"/>
  <c r="K171" i="13"/>
  <c r="X170" i="13"/>
  <c r="W170" i="13"/>
  <c r="V170" i="13"/>
  <c r="U170" i="13"/>
  <c r="T170" i="13"/>
  <c r="S170" i="13"/>
  <c r="Q170" i="13"/>
  <c r="O170" i="13"/>
  <c r="M170" i="13"/>
  <c r="K170" i="13"/>
  <c r="X169" i="13"/>
  <c r="W169" i="13"/>
  <c r="V169" i="13"/>
  <c r="U169" i="13"/>
  <c r="T169" i="13"/>
  <c r="S169" i="13"/>
  <c r="Q169" i="13"/>
  <c r="O169" i="13"/>
  <c r="M169" i="13"/>
  <c r="K169" i="13"/>
  <c r="X168" i="13"/>
  <c r="W168" i="13"/>
  <c r="V168" i="13"/>
  <c r="U168" i="13"/>
  <c r="T168" i="13"/>
  <c r="S168" i="13"/>
  <c r="Q168" i="13"/>
  <c r="O168" i="13"/>
  <c r="M168" i="13"/>
  <c r="K168" i="13"/>
  <c r="X167" i="13"/>
  <c r="W167" i="13"/>
  <c r="V167" i="13"/>
  <c r="U167" i="13"/>
  <c r="T167" i="13"/>
  <c r="S167" i="13"/>
  <c r="Q167" i="13"/>
  <c r="O167" i="13"/>
  <c r="M167" i="13"/>
  <c r="K167" i="13"/>
  <c r="X166" i="13"/>
  <c r="W166" i="13"/>
  <c r="V166" i="13"/>
  <c r="U166" i="13"/>
  <c r="T166" i="13"/>
  <c r="S166" i="13"/>
  <c r="Q166" i="13"/>
  <c r="O166" i="13"/>
  <c r="M166" i="13"/>
  <c r="K166" i="13"/>
  <c r="X165" i="13"/>
  <c r="W165" i="13"/>
  <c r="V165" i="13"/>
  <c r="U165" i="13"/>
  <c r="T165" i="13"/>
  <c r="S165" i="13"/>
  <c r="Q165" i="13"/>
  <c r="O165" i="13"/>
  <c r="M165" i="13"/>
  <c r="K165" i="13"/>
  <c r="X164" i="13"/>
  <c r="W164" i="13"/>
  <c r="V164" i="13"/>
  <c r="U164" i="13"/>
  <c r="T164" i="13"/>
  <c r="S164" i="13"/>
  <c r="Q164" i="13"/>
  <c r="O164" i="13"/>
  <c r="M164" i="13"/>
  <c r="K164" i="13"/>
  <c r="X163" i="13"/>
  <c r="W163" i="13"/>
  <c r="V163" i="13"/>
  <c r="U163" i="13"/>
  <c r="T163" i="13"/>
  <c r="S163" i="13"/>
  <c r="Q163" i="13"/>
  <c r="O163" i="13"/>
  <c r="M163" i="13"/>
  <c r="K163" i="13"/>
  <c r="X162" i="13"/>
  <c r="W162" i="13"/>
  <c r="V162" i="13"/>
  <c r="U162" i="13"/>
  <c r="T162" i="13"/>
  <c r="S162" i="13"/>
  <c r="Q162" i="13"/>
  <c r="O162" i="13"/>
  <c r="M162" i="13"/>
  <c r="K162" i="13"/>
  <c r="X161" i="13"/>
  <c r="W161" i="13"/>
  <c r="V161" i="13"/>
  <c r="U161" i="13"/>
  <c r="T161" i="13"/>
  <c r="S161" i="13"/>
  <c r="Q161" i="13"/>
  <c r="O161" i="13"/>
  <c r="M161" i="13"/>
  <c r="K161" i="13"/>
  <c r="X160" i="13"/>
  <c r="W160" i="13"/>
  <c r="V160" i="13"/>
  <c r="U160" i="13"/>
  <c r="T160" i="13"/>
  <c r="S160" i="13"/>
  <c r="Q160" i="13"/>
  <c r="O160" i="13"/>
  <c r="M160" i="13"/>
  <c r="K160" i="13"/>
  <c r="X159" i="13"/>
  <c r="W159" i="13"/>
  <c r="V159" i="13"/>
  <c r="U159" i="13"/>
  <c r="T159" i="13"/>
  <c r="S159" i="13"/>
  <c r="Q159" i="13"/>
  <c r="O159" i="13"/>
  <c r="M159" i="13"/>
  <c r="K159" i="13"/>
  <c r="X158" i="13"/>
  <c r="W158" i="13"/>
  <c r="V158" i="13"/>
  <c r="U158" i="13"/>
  <c r="T158" i="13"/>
  <c r="S158" i="13"/>
  <c r="Q158" i="13"/>
  <c r="O158" i="13"/>
  <c r="M158" i="13"/>
  <c r="K158" i="13"/>
  <c r="X157" i="13"/>
  <c r="W157" i="13"/>
  <c r="V157" i="13"/>
  <c r="U157" i="13"/>
  <c r="T157" i="13"/>
  <c r="S157" i="13"/>
  <c r="Q157" i="13"/>
  <c r="O157" i="13"/>
  <c r="M157" i="13"/>
  <c r="K157" i="13"/>
  <c r="X156" i="13"/>
  <c r="W156" i="13"/>
  <c r="V156" i="13"/>
  <c r="U156" i="13"/>
  <c r="T156" i="13"/>
  <c r="S156" i="13"/>
  <c r="Q156" i="13"/>
  <c r="O156" i="13"/>
  <c r="M156" i="13"/>
  <c r="K156" i="13"/>
  <c r="X155" i="13"/>
  <c r="W155" i="13"/>
  <c r="V155" i="13"/>
  <c r="U155" i="13"/>
  <c r="T155" i="13"/>
  <c r="S155" i="13"/>
  <c r="Q155" i="13"/>
  <c r="O155" i="13"/>
  <c r="M155" i="13"/>
  <c r="K155" i="13"/>
  <c r="X154" i="13"/>
  <c r="W154" i="13"/>
  <c r="V154" i="13"/>
  <c r="U154" i="13"/>
  <c r="T154" i="13"/>
  <c r="S154" i="13"/>
  <c r="Q154" i="13"/>
  <c r="O154" i="13"/>
  <c r="M154" i="13"/>
  <c r="K154" i="13"/>
  <c r="X153" i="13"/>
  <c r="W153" i="13"/>
  <c r="V153" i="13"/>
  <c r="U153" i="13"/>
  <c r="T153" i="13"/>
  <c r="S153" i="13"/>
  <c r="Q153" i="13"/>
  <c r="O153" i="13"/>
  <c r="M153" i="13"/>
  <c r="K153" i="13"/>
  <c r="X152" i="13"/>
  <c r="W152" i="13"/>
  <c r="V152" i="13"/>
  <c r="U152" i="13"/>
  <c r="T152" i="13"/>
  <c r="S152" i="13"/>
  <c r="Q152" i="13"/>
  <c r="O152" i="13"/>
  <c r="M152" i="13"/>
  <c r="K152" i="13"/>
  <c r="X151" i="13"/>
  <c r="W151" i="13"/>
  <c r="V151" i="13"/>
  <c r="U151" i="13"/>
  <c r="T151" i="13"/>
  <c r="S151" i="13"/>
  <c r="Q151" i="13"/>
  <c r="O151" i="13"/>
  <c r="M151" i="13"/>
  <c r="K151" i="13"/>
  <c r="X150" i="13"/>
  <c r="W150" i="13"/>
  <c r="V150" i="13"/>
  <c r="U150" i="13"/>
  <c r="T150" i="13"/>
  <c r="S150" i="13"/>
  <c r="Q150" i="13"/>
  <c r="O150" i="13"/>
  <c r="M150" i="13"/>
  <c r="K150" i="13"/>
  <c r="X149" i="13"/>
  <c r="W149" i="13"/>
  <c r="V149" i="13"/>
  <c r="U149" i="13"/>
  <c r="T149" i="13"/>
  <c r="S149" i="13"/>
  <c r="Q149" i="13"/>
  <c r="O149" i="13"/>
  <c r="M149" i="13"/>
  <c r="K149" i="13"/>
  <c r="X148" i="13"/>
  <c r="W148" i="13"/>
  <c r="V148" i="13"/>
  <c r="U148" i="13"/>
  <c r="T148" i="13"/>
  <c r="S148" i="13"/>
  <c r="Q148" i="13"/>
  <c r="O148" i="13"/>
  <c r="M148" i="13"/>
  <c r="K148" i="13"/>
  <c r="X147" i="13"/>
  <c r="W147" i="13"/>
  <c r="V147" i="13"/>
  <c r="U147" i="13"/>
  <c r="T147" i="13"/>
  <c r="S147" i="13"/>
  <c r="Q147" i="13"/>
  <c r="O147" i="13"/>
  <c r="M147" i="13"/>
  <c r="K147" i="13"/>
  <c r="X146" i="13"/>
  <c r="W146" i="13"/>
  <c r="V146" i="13"/>
  <c r="U146" i="13"/>
  <c r="T146" i="13"/>
  <c r="S146" i="13"/>
  <c r="Q146" i="13"/>
  <c r="O146" i="13"/>
  <c r="M146" i="13"/>
  <c r="K146" i="13"/>
  <c r="X145" i="13"/>
  <c r="W145" i="13"/>
  <c r="V145" i="13"/>
  <c r="U145" i="13"/>
  <c r="T145" i="13"/>
  <c r="S145" i="13"/>
  <c r="Q145" i="13"/>
  <c r="O145" i="13"/>
  <c r="M145" i="13"/>
  <c r="K145" i="13"/>
  <c r="X144" i="13"/>
  <c r="W144" i="13"/>
  <c r="V144" i="13"/>
  <c r="U144" i="13"/>
  <c r="T144" i="13"/>
  <c r="S144" i="13"/>
  <c r="Q144" i="13"/>
  <c r="O144" i="13"/>
  <c r="M144" i="13"/>
  <c r="K144" i="13"/>
  <c r="X143" i="13"/>
  <c r="W143" i="13"/>
  <c r="V143" i="13"/>
  <c r="U143" i="13"/>
  <c r="T143" i="13"/>
  <c r="S143" i="13"/>
  <c r="Q143" i="13"/>
  <c r="O143" i="13"/>
  <c r="M143" i="13"/>
  <c r="K143" i="13"/>
  <c r="X142" i="13"/>
  <c r="W142" i="13"/>
  <c r="V142" i="13"/>
  <c r="U142" i="13"/>
  <c r="T142" i="13"/>
  <c r="S142" i="13"/>
  <c r="Q142" i="13"/>
  <c r="O142" i="13"/>
  <c r="M142" i="13"/>
  <c r="K142" i="13"/>
  <c r="X141" i="13"/>
  <c r="W141" i="13"/>
  <c r="V141" i="13"/>
  <c r="U141" i="13"/>
  <c r="T141" i="13"/>
  <c r="S141" i="13"/>
  <c r="Q141" i="13"/>
  <c r="O141" i="13"/>
  <c r="M141" i="13"/>
  <c r="K141" i="13"/>
  <c r="X140" i="13"/>
  <c r="W140" i="13"/>
  <c r="V140" i="13"/>
  <c r="U140" i="13"/>
  <c r="T140" i="13"/>
  <c r="S140" i="13"/>
  <c r="Q140" i="13"/>
  <c r="O140" i="13"/>
  <c r="M140" i="13"/>
  <c r="K140" i="13"/>
  <c r="X139" i="13"/>
  <c r="W139" i="13"/>
  <c r="V139" i="13"/>
  <c r="U139" i="13"/>
  <c r="T139" i="13"/>
  <c r="S139" i="13"/>
  <c r="Q139" i="13"/>
  <c r="O139" i="13"/>
  <c r="M139" i="13"/>
  <c r="K139" i="13"/>
  <c r="X138" i="13"/>
  <c r="W138" i="13"/>
  <c r="V138" i="13"/>
  <c r="U138" i="13"/>
  <c r="T138" i="13"/>
  <c r="S138" i="13"/>
  <c r="Q138" i="13"/>
  <c r="O138" i="13"/>
  <c r="M138" i="13"/>
  <c r="K138" i="13"/>
  <c r="X137" i="13"/>
  <c r="W137" i="13"/>
  <c r="V137" i="13"/>
  <c r="U137" i="13"/>
  <c r="T137" i="13"/>
  <c r="S137" i="13"/>
  <c r="Q137" i="13"/>
  <c r="O137" i="13"/>
  <c r="M137" i="13"/>
  <c r="K137" i="13"/>
  <c r="X136" i="13"/>
  <c r="W136" i="13"/>
  <c r="V136" i="13"/>
  <c r="U136" i="13"/>
  <c r="T136" i="13"/>
  <c r="S136" i="13"/>
  <c r="Q136" i="13"/>
  <c r="O136" i="13"/>
  <c r="M136" i="13"/>
  <c r="K136" i="13"/>
  <c r="X135" i="13"/>
  <c r="W135" i="13"/>
  <c r="V135" i="13"/>
  <c r="U135" i="13"/>
  <c r="T135" i="13"/>
  <c r="S135" i="13"/>
  <c r="Q135" i="13"/>
  <c r="O135" i="13"/>
  <c r="M135" i="13"/>
  <c r="K135" i="13"/>
  <c r="X134" i="13"/>
  <c r="W134" i="13"/>
  <c r="V134" i="13"/>
  <c r="U134" i="13"/>
  <c r="T134" i="13"/>
  <c r="S134" i="13"/>
  <c r="Q134" i="13"/>
  <c r="O134" i="13"/>
  <c r="M134" i="13"/>
  <c r="K134" i="13"/>
  <c r="X133" i="13"/>
  <c r="W133" i="13"/>
  <c r="V133" i="13"/>
  <c r="U133" i="13"/>
  <c r="T133" i="13"/>
  <c r="S133" i="13"/>
  <c r="Q133" i="13"/>
  <c r="O133" i="13"/>
  <c r="M133" i="13"/>
  <c r="K133" i="13"/>
  <c r="X132" i="13"/>
  <c r="W132" i="13"/>
  <c r="V132" i="13"/>
  <c r="U132" i="13"/>
  <c r="T132" i="13"/>
  <c r="S132" i="13"/>
  <c r="Q132" i="13"/>
  <c r="O132" i="13"/>
  <c r="M132" i="13"/>
  <c r="K132" i="13"/>
  <c r="X131" i="13"/>
  <c r="W131" i="13"/>
  <c r="V131" i="13"/>
  <c r="U131" i="13"/>
  <c r="T131" i="13"/>
  <c r="S131" i="13"/>
  <c r="Q131" i="13"/>
  <c r="O131" i="13"/>
  <c r="M131" i="13"/>
  <c r="K131" i="13"/>
  <c r="X130" i="13"/>
  <c r="W130" i="13"/>
  <c r="V130" i="13"/>
  <c r="U130" i="13"/>
  <c r="T130" i="13"/>
  <c r="S130" i="13"/>
  <c r="Q130" i="13"/>
  <c r="O130" i="13"/>
  <c r="M130" i="13"/>
  <c r="K130" i="13"/>
  <c r="X129" i="13"/>
  <c r="W129" i="13"/>
  <c r="V129" i="13"/>
  <c r="U129" i="13"/>
  <c r="T129" i="13"/>
  <c r="S129" i="13"/>
  <c r="Q129" i="13"/>
  <c r="O129" i="13"/>
  <c r="M129" i="13"/>
  <c r="K129" i="13"/>
  <c r="X128" i="13"/>
  <c r="W128" i="13"/>
  <c r="V128" i="13"/>
  <c r="U128" i="13"/>
  <c r="T128" i="13"/>
  <c r="S128" i="13"/>
  <c r="Q128" i="13"/>
  <c r="O128" i="13"/>
  <c r="M128" i="13"/>
  <c r="K128" i="13"/>
  <c r="X127" i="13"/>
  <c r="W127" i="13"/>
  <c r="V127" i="13"/>
  <c r="U127" i="13"/>
  <c r="T127" i="13"/>
  <c r="S127" i="13"/>
  <c r="Q127" i="13"/>
  <c r="O127" i="13"/>
  <c r="M127" i="13"/>
  <c r="K127" i="13"/>
  <c r="X126" i="13"/>
  <c r="W126" i="13"/>
  <c r="V126" i="13"/>
  <c r="U126" i="13"/>
  <c r="T126" i="13"/>
  <c r="S126" i="13"/>
  <c r="Q126" i="13"/>
  <c r="O126" i="13"/>
  <c r="M126" i="13"/>
  <c r="K126" i="13"/>
  <c r="X125" i="13"/>
  <c r="W125" i="13"/>
  <c r="V125" i="13"/>
  <c r="U125" i="13"/>
  <c r="T125" i="13"/>
  <c r="S125" i="13"/>
  <c r="Q125" i="13"/>
  <c r="O125" i="13"/>
  <c r="M125" i="13"/>
  <c r="K125" i="13"/>
  <c r="X124" i="13"/>
  <c r="W124" i="13"/>
  <c r="V124" i="13"/>
  <c r="U124" i="13"/>
  <c r="T124" i="13"/>
  <c r="S124" i="13"/>
  <c r="Q124" i="13"/>
  <c r="O124" i="13"/>
  <c r="M124" i="13"/>
  <c r="K124" i="13"/>
  <c r="X123" i="13"/>
  <c r="W123" i="13"/>
  <c r="V123" i="13"/>
  <c r="U123" i="13"/>
  <c r="T123" i="13"/>
  <c r="S123" i="13"/>
  <c r="Q123" i="13"/>
  <c r="O123" i="13"/>
  <c r="M123" i="13"/>
  <c r="K123" i="13"/>
  <c r="X122" i="13"/>
  <c r="W122" i="13"/>
  <c r="V122" i="13"/>
  <c r="U122" i="13"/>
  <c r="T122" i="13"/>
  <c r="S122" i="13"/>
  <c r="Q122" i="13"/>
  <c r="O122" i="13"/>
  <c r="M122" i="13"/>
  <c r="K122" i="13"/>
  <c r="X121" i="13"/>
  <c r="W121" i="13"/>
  <c r="V121" i="13"/>
  <c r="U121" i="13"/>
  <c r="T121" i="13"/>
  <c r="S121" i="13"/>
  <c r="Q121" i="13"/>
  <c r="O121" i="13"/>
  <c r="M121" i="13"/>
  <c r="K121" i="13"/>
  <c r="X120" i="13"/>
  <c r="W120" i="13"/>
  <c r="V120" i="13"/>
  <c r="U120" i="13"/>
  <c r="T120" i="13"/>
  <c r="S120" i="13"/>
  <c r="Q120" i="13"/>
  <c r="O120" i="13"/>
  <c r="M120" i="13"/>
  <c r="K120" i="13"/>
  <c r="X119" i="13"/>
  <c r="W119" i="13"/>
  <c r="V119" i="13"/>
  <c r="U119" i="13"/>
  <c r="T119" i="13"/>
  <c r="S119" i="13"/>
  <c r="Q119" i="13"/>
  <c r="O119" i="13"/>
  <c r="M119" i="13"/>
  <c r="K119" i="13"/>
  <c r="X118" i="13"/>
  <c r="W118" i="13"/>
  <c r="V118" i="13"/>
  <c r="U118" i="13"/>
  <c r="T118" i="13"/>
  <c r="S118" i="13"/>
  <c r="Q118" i="13"/>
  <c r="O118" i="13"/>
  <c r="M118" i="13"/>
  <c r="K118" i="13"/>
  <c r="X117" i="13"/>
  <c r="W117" i="13"/>
  <c r="V117" i="13"/>
  <c r="U117" i="13"/>
  <c r="T117" i="13"/>
  <c r="S117" i="13"/>
  <c r="Q117" i="13"/>
  <c r="O117" i="13"/>
  <c r="M117" i="13"/>
  <c r="K117" i="13"/>
  <c r="X116" i="13"/>
  <c r="W116" i="13"/>
  <c r="V116" i="13"/>
  <c r="U116" i="13"/>
  <c r="T116" i="13"/>
  <c r="S116" i="13"/>
  <c r="Q116" i="13"/>
  <c r="O116" i="13"/>
  <c r="M116" i="13"/>
  <c r="K116" i="13"/>
  <c r="X115" i="13"/>
  <c r="W115" i="13"/>
  <c r="V115" i="13"/>
  <c r="U115" i="13"/>
  <c r="T115" i="13"/>
  <c r="S115" i="13"/>
  <c r="Q115" i="13"/>
  <c r="O115" i="13"/>
  <c r="M115" i="13"/>
  <c r="K115" i="13"/>
  <c r="X114" i="13"/>
  <c r="W114" i="13"/>
  <c r="V114" i="13"/>
  <c r="U114" i="13"/>
  <c r="T114" i="13"/>
  <c r="S114" i="13"/>
  <c r="Q114" i="13"/>
  <c r="O114" i="13"/>
  <c r="M114" i="13"/>
  <c r="K114" i="13"/>
  <c r="X113" i="13"/>
  <c r="W113" i="13"/>
  <c r="V113" i="13"/>
  <c r="U113" i="13"/>
  <c r="T113" i="13"/>
  <c r="S113" i="13"/>
  <c r="Q113" i="13"/>
  <c r="O113" i="13"/>
  <c r="M113" i="13"/>
  <c r="K113" i="13"/>
  <c r="X112" i="13"/>
  <c r="W112" i="13"/>
  <c r="V112" i="13"/>
  <c r="U112" i="13"/>
  <c r="T112" i="13"/>
  <c r="S112" i="13"/>
  <c r="Q112" i="13"/>
  <c r="O112" i="13"/>
  <c r="M112" i="13"/>
  <c r="K112" i="13"/>
  <c r="X111" i="13"/>
  <c r="W111" i="13"/>
  <c r="V111" i="13"/>
  <c r="U111" i="13"/>
  <c r="T111" i="13"/>
  <c r="S111" i="13"/>
  <c r="Q111" i="13"/>
  <c r="O111" i="13"/>
  <c r="M111" i="13"/>
  <c r="K111" i="13"/>
  <c r="X110" i="13"/>
  <c r="W110" i="13"/>
  <c r="V110" i="13"/>
  <c r="U110" i="13"/>
  <c r="T110" i="13"/>
  <c r="S110" i="13"/>
  <c r="Q110" i="13"/>
  <c r="O110" i="13"/>
  <c r="M110" i="13"/>
  <c r="K110" i="13"/>
  <c r="X109" i="13"/>
  <c r="W109" i="13"/>
  <c r="V109" i="13"/>
  <c r="U109" i="13"/>
  <c r="T109" i="13"/>
  <c r="S109" i="13"/>
  <c r="Q109" i="13"/>
  <c r="O109" i="13"/>
  <c r="M109" i="13"/>
  <c r="K109" i="13"/>
  <c r="X108" i="13"/>
  <c r="W108" i="13"/>
  <c r="V108" i="13"/>
  <c r="U108" i="13"/>
  <c r="T108" i="13"/>
  <c r="S108" i="13"/>
  <c r="Q108" i="13"/>
  <c r="O108" i="13"/>
  <c r="M108" i="13"/>
  <c r="K108" i="13"/>
  <c r="X107" i="13"/>
  <c r="W107" i="13"/>
  <c r="V107" i="13"/>
  <c r="U107" i="13"/>
  <c r="T107" i="13"/>
  <c r="S107" i="13"/>
  <c r="Q107" i="13"/>
  <c r="O107" i="13"/>
  <c r="M107" i="13"/>
  <c r="K107" i="13"/>
  <c r="X106" i="13"/>
  <c r="W106" i="13"/>
  <c r="V106" i="13"/>
  <c r="U106" i="13"/>
  <c r="T106" i="13"/>
  <c r="S106" i="13"/>
  <c r="Q106" i="13"/>
  <c r="O106" i="13"/>
  <c r="M106" i="13"/>
  <c r="K106" i="13"/>
  <c r="X105" i="13"/>
  <c r="W105" i="13"/>
  <c r="V105" i="13"/>
  <c r="U105" i="13"/>
  <c r="T105" i="13"/>
  <c r="S105" i="13"/>
  <c r="Q105" i="13"/>
  <c r="O105" i="13"/>
  <c r="M105" i="13"/>
  <c r="K105" i="13"/>
  <c r="X104" i="13"/>
  <c r="W104" i="13"/>
  <c r="V104" i="13"/>
  <c r="U104" i="13"/>
  <c r="T104" i="13"/>
  <c r="S104" i="13"/>
  <c r="Q104" i="13"/>
  <c r="O104" i="13"/>
  <c r="M104" i="13"/>
  <c r="K104" i="13"/>
  <c r="X103" i="13"/>
  <c r="W103" i="13"/>
  <c r="V103" i="13"/>
  <c r="U103" i="13"/>
  <c r="T103" i="13"/>
  <c r="S103" i="13"/>
  <c r="Q103" i="13"/>
  <c r="O103" i="13"/>
  <c r="M103" i="13"/>
  <c r="K103" i="13"/>
  <c r="X102" i="13"/>
  <c r="W102" i="13"/>
  <c r="V102" i="13"/>
  <c r="U102" i="13"/>
  <c r="T102" i="13"/>
  <c r="S102" i="13"/>
  <c r="Q102" i="13"/>
  <c r="O102" i="13"/>
  <c r="M102" i="13"/>
  <c r="K102" i="13"/>
  <c r="X101" i="13"/>
  <c r="W101" i="13"/>
  <c r="V101" i="13"/>
  <c r="U101" i="13"/>
  <c r="T101" i="13"/>
  <c r="S101" i="13"/>
  <c r="Q101" i="13"/>
  <c r="O101" i="13"/>
  <c r="M101" i="13"/>
  <c r="K101" i="13"/>
  <c r="X100" i="13"/>
  <c r="W100" i="13"/>
  <c r="V100" i="13"/>
  <c r="U100" i="13"/>
  <c r="T100" i="13"/>
  <c r="S100" i="13"/>
  <c r="Q100" i="13"/>
  <c r="O100" i="13"/>
  <c r="M100" i="13"/>
  <c r="K100" i="13"/>
  <c r="X99" i="13"/>
  <c r="W99" i="13"/>
  <c r="V99" i="13"/>
  <c r="U99" i="13"/>
  <c r="T99" i="13"/>
  <c r="S99" i="13"/>
  <c r="Q99" i="13"/>
  <c r="O99" i="13"/>
  <c r="M99" i="13"/>
  <c r="K99" i="13"/>
  <c r="X98" i="13"/>
  <c r="W98" i="13"/>
  <c r="V98" i="13"/>
  <c r="U98" i="13"/>
  <c r="T98" i="13"/>
  <c r="S98" i="13"/>
  <c r="Q98" i="13"/>
  <c r="O98" i="13"/>
  <c r="M98" i="13"/>
  <c r="K98" i="13"/>
  <c r="X97" i="13"/>
  <c r="W97" i="13"/>
  <c r="V97" i="13"/>
  <c r="U97" i="13"/>
  <c r="T97" i="13"/>
  <c r="S97" i="13"/>
  <c r="Q97" i="13"/>
  <c r="O97" i="13"/>
  <c r="M97" i="13"/>
  <c r="K97" i="13"/>
  <c r="X96" i="13"/>
  <c r="W96" i="13"/>
  <c r="V96" i="13"/>
  <c r="U96" i="13"/>
  <c r="T96" i="13"/>
  <c r="S96" i="13"/>
  <c r="Q96" i="13"/>
  <c r="O96" i="13"/>
  <c r="M96" i="13"/>
  <c r="K96" i="13"/>
  <c r="X95" i="13"/>
  <c r="W95" i="13"/>
  <c r="V95" i="13"/>
  <c r="U95" i="13"/>
  <c r="T95" i="13"/>
  <c r="S95" i="13"/>
  <c r="Q95" i="13"/>
  <c r="O95" i="13"/>
  <c r="M95" i="13"/>
  <c r="K95" i="13"/>
  <c r="X94" i="13"/>
  <c r="W94" i="13"/>
  <c r="V94" i="13"/>
  <c r="U94" i="13"/>
  <c r="T94" i="13"/>
  <c r="S94" i="13"/>
  <c r="Q94" i="13"/>
  <c r="O94" i="13"/>
  <c r="M94" i="13"/>
  <c r="K94" i="13"/>
  <c r="X93" i="13"/>
  <c r="W93" i="13"/>
  <c r="V93" i="13"/>
  <c r="U93" i="13"/>
  <c r="T93" i="13"/>
  <c r="S93" i="13"/>
  <c r="Q93" i="13"/>
  <c r="O93" i="13"/>
  <c r="M93" i="13"/>
  <c r="K93" i="13"/>
  <c r="X92" i="13"/>
  <c r="W92" i="13"/>
  <c r="V92" i="13"/>
  <c r="U92" i="13"/>
  <c r="T92" i="13"/>
  <c r="S92" i="13"/>
  <c r="Q92" i="13"/>
  <c r="O92" i="13"/>
  <c r="M92" i="13"/>
  <c r="K92" i="13"/>
  <c r="X91" i="13"/>
  <c r="W91" i="13"/>
  <c r="V91" i="13"/>
  <c r="U91" i="13"/>
  <c r="T91" i="13"/>
  <c r="S91" i="13"/>
  <c r="Q91" i="13"/>
  <c r="O91" i="13"/>
  <c r="M91" i="13"/>
  <c r="K91" i="13"/>
  <c r="X90" i="13"/>
  <c r="W90" i="13"/>
  <c r="V90" i="13"/>
  <c r="U90" i="13"/>
  <c r="T90" i="13"/>
  <c r="S90" i="13"/>
  <c r="Q90" i="13"/>
  <c r="O90" i="13"/>
  <c r="M90" i="13"/>
  <c r="K90" i="13"/>
  <c r="X89" i="13"/>
  <c r="W89" i="13"/>
  <c r="V89" i="13"/>
  <c r="U89" i="13"/>
  <c r="T89" i="13"/>
  <c r="S89" i="13"/>
  <c r="Q89" i="13"/>
  <c r="O89" i="13"/>
  <c r="M89" i="13"/>
  <c r="K89" i="13"/>
  <c r="X88" i="13"/>
  <c r="W88" i="13"/>
  <c r="V88" i="13"/>
  <c r="U88" i="13"/>
  <c r="T88" i="13"/>
  <c r="S88" i="13"/>
  <c r="Q88" i="13"/>
  <c r="O88" i="13"/>
  <c r="M88" i="13"/>
  <c r="K88" i="13"/>
  <c r="X87" i="13"/>
  <c r="W87" i="13"/>
  <c r="V87" i="13"/>
  <c r="U87" i="13"/>
  <c r="T87" i="13"/>
  <c r="S87" i="13"/>
  <c r="Q87" i="13"/>
  <c r="O87" i="13"/>
  <c r="M87" i="13"/>
  <c r="K87" i="13"/>
  <c r="X86" i="13"/>
  <c r="W86" i="13"/>
  <c r="V86" i="13"/>
  <c r="U86" i="13"/>
  <c r="T86" i="13"/>
  <c r="S86" i="13"/>
  <c r="Q86" i="13"/>
  <c r="O86" i="13"/>
  <c r="M86" i="13"/>
  <c r="K86" i="13"/>
  <c r="X85" i="13"/>
  <c r="W85" i="13"/>
  <c r="V85" i="13"/>
  <c r="U85" i="13"/>
  <c r="T85" i="13"/>
  <c r="S85" i="13"/>
  <c r="Q85" i="13"/>
  <c r="O85" i="13"/>
  <c r="M85" i="13"/>
  <c r="K85" i="13"/>
  <c r="X84" i="13"/>
  <c r="W84" i="13"/>
  <c r="V84" i="13"/>
  <c r="U84" i="13"/>
  <c r="T84" i="13"/>
  <c r="S84" i="13"/>
  <c r="Q84" i="13"/>
  <c r="O84" i="13"/>
  <c r="M84" i="13"/>
  <c r="K84" i="13"/>
  <c r="X83" i="13"/>
  <c r="W83" i="13"/>
  <c r="V83" i="13"/>
  <c r="U83" i="13"/>
  <c r="T83" i="13"/>
  <c r="S83" i="13"/>
  <c r="Q83" i="13"/>
  <c r="O83" i="13"/>
  <c r="M83" i="13"/>
  <c r="K83" i="13"/>
  <c r="X82" i="13"/>
  <c r="W82" i="13"/>
  <c r="V82" i="13"/>
  <c r="U82" i="13"/>
  <c r="T82" i="13"/>
  <c r="S82" i="13"/>
  <c r="Q82" i="13"/>
  <c r="O82" i="13"/>
  <c r="M82" i="13"/>
  <c r="K82" i="13"/>
  <c r="X81" i="13"/>
  <c r="W81" i="13"/>
  <c r="V81" i="13"/>
  <c r="U81" i="13"/>
  <c r="T81" i="13"/>
  <c r="S81" i="13"/>
  <c r="Q81" i="13"/>
  <c r="O81" i="13"/>
  <c r="M81" i="13"/>
  <c r="K81" i="13"/>
  <c r="X80" i="13"/>
  <c r="W80" i="13"/>
  <c r="V80" i="13"/>
  <c r="U80" i="13"/>
  <c r="T80" i="13"/>
  <c r="S80" i="13"/>
  <c r="Q80" i="13"/>
  <c r="O80" i="13"/>
  <c r="M80" i="13"/>
  <c r="K80" i="13"/>
  <c r="X79" i="13"/>
  <c r="W79" i="13"/>
  <c r="V79" i="13"/>
  <c r="U79" i="13"/>
  <c r="T79" i="13"/>
  <c r="S79" i="13"/>
  <c r="Q79" i="13"/>
  <c r="O79" i="13"/>
  <c r="M79" i="13"/>
  <c r="K79" i="13"/>
  <c r="X78" i="13"/>
  <c r="W78" i="13"/>
  <c r="V78" i="13"/>
  <c r="U78" i="13"/>
  <c r="T78" i="13"/>
  <c r="S78" i="13"/>
  <c r="Q78" i="13"/>
  <c r="O78" i="13"/>
  <c r="M78" i="13"/>
  <c r="K78" i="13"/>
  <c r="X77" i="13"/>
  <c r="W77" i="13"/>
  <c r="V77" i="13"/>
  <c r="U77" i="13"/>
  <c r="T77" i="13"/>
  <c r="S77" i="13"/>
  <c r="Q77" i="13"/>
  <c r="O77" i="13"/>
  <c r="M77" i="13"/>
  <c r="K77" i="13"/>
  <c r="X76" i="13"/>
  <c r="W76" i="13"/>
  <c r="V76" i="13"/>
  <c r="U76" i="13"/>
  <c r="T76" i="13"/>
  <c r="S76" i="13"/>
  <c r="Q76" i="13"/>
  <c r="O76" i="13"/>
  <c r="M76" i="13"/>
  <c r="K76" i="13"/>
  <c r="X75" i="13"/>
  <c r="W75" i="13"/>
  <c r="V75" i="13"/>
  <c r="U75" i="13"/>
  <c r="T75" i="13"/>
  <c r="S75" i="13"/>
  <c r="Q75" i="13"/>
  <c r="O75" i="13"/>
  <c r="M75" i="13"/>
  <c r="K75" i="13"/>
  <c r="X74" i="13"/>
  <c r="W74" i="13"/>
  <c r="V74" i="13"/>
  <c r="U74" i="13"/>
  <c r="T74" i="13"/>
  <c r="S74" i="13"/>
  <c r="Q74" i="13"/>
  <c r="O74" i="13"/>
  <c r="M74" i="13"/>
  <c r="K74" i="13"/>
  <c r="X73" i="13"/>
  <c r="W73" i="13"/>
  <c r="V73" i="13"/>
  <c r="U73" i="13"/>
  <c r="T73" i="13"/>
  <c r="S73" i="13"/>
  <c r="Q73" i="13"/>
  <c r="O73" i="13"/>
  <c r="M73" i="13"/>
  <c r="K73" i="13"/>
  <c r="X72" i="13"/>
  <c r="W72" i="13"/>
  <c r="V72" i="13"/>
  <c r="U72" i="13"/>
  <c r="T72" i="13"/>
  <c r="S72" i="13"/>
  <c r="Q72" i="13"/>
  <c r="O72" i="13"/>
  <c r="M72" i="13"/>
  <c r="K72" i="13"/>
  <c r="X71" i="13"/>
  <c r="W71" i="13"/>
  <c r="V71" i="13"/>
  <c r="U71" i="13"/>
  <c r="T71" i="13"/>
  <c r="S71" i="13"/>
  <c r="Q71" i="13"/>
  <c r="O71" i="13"/>
  <c r="M71" i="13"/>
  <c r="K71" i="13"/>
  <c r="X70" i="13"/>
  <c r="W70" i="13"/>
  <c r="V70" i="13"/>
  <c r="U70" i="13"/>
  <c r="T70" i="13"/>
  <c r="S70" i="13"/>
  <c r="Q70" i="13"/>
  <c r="O70" i="13"/>
  <c r="M70" i="13"/>
  <c r="K70" i="13"/>
  <c r="X69" i="13"/>
  <c r="W69" i="13"/>
  <c r="V69" i="13"/>
  <c r="U69" i="13"/>
  <c r="T69" i="13"/>
  <c r="S69" i="13"/>
  <c r="Q69" i="13"/>
  <c r="O69" i="13"/>
  <c r="M69" i="13"/>
  <c r="K69" i="13"/>
  <c r="X68" i="13"/>
  <c r="W68" i="13"/>
  <c r="V68" i="13"/>
  <c r="U68" i="13"/>
  <c r="T68" i="13"/>
  <c r="S68" i="13"/>
  <c r="Q68" i="13"/>
  <c r="O68" i="13"/>
  <c r="M68" i="13"/>
  <c r="K68" i="13"/>
  <c r="X67" i="13"/>
  <c r="W67" i="13"/>
  <c r="V67" i="13"/>
  <c r="U67" i="13"/>
  <c r="T67" i="13"/>
  <c r="S67" i="13"/>
  <c r="Q67" i="13"/>
  <c r="O67" i="13"/>
  <c r="M67" i="13"/>
  <c r="K67" i="13"/>
  <c r="X66" i="13"/>
  <c r="W66" i="13"/>
  <c r="V66" i="13"/>
  <c r="U66" i="13"/>
  <c r="T66" i="13"/>
  <c r="S66" i="13"/>
  <c r="Q66" i="13"/>
  <c r="O66" i="13"/>
  <c r="M66" i="13"/>
  <c r="K66" i="13"/>
  <c r="X65" i="13"/>
  <c r="W65" i="13"/>
  <c r="V65" i="13"/>
  <c r="U65" i="13"/>
  <c r="T65" i="13"/>
  <c r="S65" i="13"/>
  <c r="Q65" i="13"/>
  <c r="O65" i="13"/>
  <c r="M65" i="13"/>
  <c r="K65" i="13"/>
  <c r="X64" i="13"/>
  <c r="W64" i="13"/>
  <c r="V64" i="13"/>
  <c r="U64" i="13"/>
  <c r="T64" i="13"/>
  <c r="S64" i="13"/>
  <c r="Q64" i="13"/>
  <c r="O64" i="13"/>
  <c r="M64" i="13"/>
  <c r="K64" i="13"/>
  <c r="X63" i="13"/>
  <c r="W63" i="13"/>
  <c r="V63" i="13"/>
  <c r="U63" i="13"/>
  <c r="T63" i="13"/>
  <c r="S63" i="13"/>
  <c r="Q63" i="13"/>
  <c r="O63" i="13"/>
  <c r="M63" i="13"/>
  <c r="K63" i="13"/>
  <c r="X62" i="13"/>
  <c r="W62" i="13"/>
  <c r="V62" i="13"/>
  <c r="U62" i="13"/>
  <c r="T62" i="13"/>
  <c r="S62" i="13"/>
  <c r="Q62" i="13"/>
  <c r="O62" i="13"/>
  <c r="M62" i="13"/>
  <c r="K62" i="13"/>
  <c r="X61" i="13"/>
  <c r="W61" i="13"/>
  <c r="V61" i="13"/>
  <c r="U61" i="13"/>
  <c r="T61" i="13"/>
  <c r="S61" i="13"/>
  <c r="Q61" i="13"/>
  <c r="O61" i="13"/>
  <c r="M61" i="13"/>
  <c r="K61" i="13"/>
  <c r="X60" i="13"/>
  <c r="W60" i="13"/>
  <c r="V60" i="13"/>
  <c r="U60" i="13"/>
  <c r="T60" i="13"/>
  <c r="S60" i="13"/>
  <c r="Q60" i="13"/>
  <c r="O60" i="13"/>
  <c r="M60" i="13"/>
  <c r="K60" i="13"/>
  <c r="X59" i="13"/>
  <c r="W59" i="13"/>
  <c r="V59" i="13"/>
  <c r="U59" i="13"/>
  <c r="T59" i="13"/>
  <c r="S59" i="13"/>
  <c r="Q59" i="13"/>
  <c r="O59" i="13"/>
  <c r="M59" i="13"/>
  <c r="K59" i="13"/>
  <c r="X58" i="13"/>
  <c r="W58" i="13"/>
  <c r="V58" i="13"/>
  <c r="U58" i="13"/>
  <c r="T58" i="13"/>
  <c r="S58" i="13"/>
  <c r="Q58" i="13"/>
  <c r="O58" i="13"/>
  <c r="M58" i="13"/>
  <c r="K58" i="13"/>
  <c r="X57" i="13"/>
  <c r="W57" i="13"/>
  <c r="V57" i="13"/>
  <c r="U57" i="13"/>
  <c r="T57" i="13"/>
  <c r="S57" i="13"/>
  <c r="Q57" i="13"/>
  <c r="O57" i="13"/>
  <c r="M57" i="13"/>
  <c r="K57" i="13"/>
  <c r="X56" i="13"/>
  <c r="W56" i="13"/>
  <c r="V56" i="13"/>
  <c r="U56" i="13"/>
  <c r="T56" i="13"/>
  <c r="S56" i="13"/>
  <c r="Q56" i="13"/>
  <c r="O56" i="13"/>
  <c r="M56" i="13"/>
  <c r="K56" i="13"/>
  <c r="X55" i="13"/>
  <c r="W55" i="13"/>
  <c r="V55" i="13"/>
  <c r="U55" i="13"/>
  <c r="T55" i="13"/>
  <c r="S55" i="13"/>
  <c r="Q55" i="13"/>
  <c r="O55" i="13"/>
  <c r="M55" i="13"/>
  <c r="K55" i="13"/>
  <c r="X54" i="13"/>
  <c r="W54" i="13"/>
  <c r="V54" i="13"/>
  <c r="U54" i="13"/>
  <c r="T54" i="13"/>
  <c r="S54" i="13"/>
  <c r="Q54" i="13"/>
  <c r="O54" i="13"/>
  <c r="M54" i="13"/>
  <c r="K54" i="13"/>
  <c r="X53" i="13"/>
  <c r="W53" i="13"/>
  <c r="V53" i="13"/>
  <c r="U53" i="13"/>
  <c r="T53" i="13"/>
  <c r="S53" i="13"/>
  <c r="Q53" i="13"/>
  <c r="O53" i="13"/>
  <c r="M53" i="13"/>
  <c r="K53" i="13"/>
  <c r="X52" i="13"/>
  <c r="W52" i="13"/>
  <c r="V52" i="13"/>
  <c r="U52" i="13"/>
  <c r="T52" i="13"/>
  <c r="S52" i="13"/>
  <c r="Q52" i="13"/>
  <c r="O52" i="13"/>
  <c r="M52" i="13"/>
  <c r="K52" i="13"/>
  <c r="X51" i="13"/>
  <c r="W51" i="13"/>
  <c r="V51" i="13"/>
  <c r="U51" i="13"/>
  <c r="T51" i="13"/>
  <c r="S51" i="13"/>
  <c r="Q51" i="13"/>
  <c r="O51" i="13"/>
  <c r="M51" i="13"/>
  <c r="K51" i="13"/>
  <c r="X50" i="13"/>
  <c r="W50" i="13"/>
  <c r="V50" i="13"/>
  <c r="U50" i="13"/>
  <c r="T50" i="13"/>
  <c r="S50" i="13"/>
  <c r="Q50" i="13"/>
  <c r="O50" i="13"/>
  <c r="M50" i="13"/>
  <c r="K50" i="13"/>
  <c r="X49" i="13"/>
  <c r="W49" i="13"/>
  <c r="V49" i="13"/>
  <c r="U49" i="13"/>
  <c r="T49" i="13"/>
  <c r="S49" i="13"/>
  <c r="Q49" i="13"/>
  <c r="O49" i="13"/>
  <c r="M49" i="13"/>
  <c r="K49" i="13"/>
  <c r="X48" i="13"/>
  <c r="W48" i="13"/>
  <c r="V48" i="13"/>
  <c r="U48" i="13"/>
  <c r="T48" i="13"/>
  <c r="S48" i="13"/>
  <c r="Q48" i="13"/>
  <c r="O48" i="13"/>
  <c r="M48" i="13"/>
  <c r="K48" i="13"/>
  <c r="X47" i="13"/>
  <c r="W47" i="13"/>
  <c r="V47" i="13"/>
  <c r="U47" i="13"/>
  <c r="T47" i="13"/>
  <c r="S47" i="13"/>
  <c r="Q47" i="13"/>
  <c r="O47" i="13"/>
  <c r="M47" i="13"/>
  <c r="K47" i="13"/>
  <c r="X46" i="13"/>
  <c r="W46" i="13"/>
  <c r="V46" i="13"/>
  <c r="U46" i="13"/>
  <c r="T46" i="13"/>
  <c r="S46" i="13"/>
  <c r="Q46" i="13"/>
  <c r="O46" i="13"/>
  <c r="M46" i="13"/>
  <c r="K46" i="13"/>
  <c r="X45" i="13"/>
  <c r="W45" i="13"/>
  <c r="V45" i="13"/>
  <c r="U45" i="13"/>
  <c r="T45" i="13"/>
  <c r="S45" i="13"/>
  <c r="Q45" i="13"/>
  <c r="O45" i="13"/>
  <c r="M45" i="13"/>
  <c r="K45" i="13"/>
  <c r="X44" i="13"/>
  <c r="W44" i="13"/>
  <c r="V44" i="13"/>
  <c r="U44" i="13"/>
  <c r="T44" i="13"/>
  <c r="S44" i="13"/>
  <c r="Q44" i="13"/>
  <c r="O44" i="13"/>
  <c r="M44" i="13"/>
  <c r="K44" i="13"/>
  <c r="X43" i="13"/>
  <c r="W43" i="13"/>
  <c r="V43" i="13"/>
  <c r="U43" i="13"/>
  <c r="T43" i="13"/>
  <c r="S43" i="13"/>
  <c r="Q43" i="13"/>
  <c r="O43" i="13"/>
  <c r="M43" i="13"/>
  <c r="K43" i="13"/>
  <c r="X42" i="13"/>
  <c r="W42" i="13"/>
  <c r="V42" i="13"/>
  <c r="U42" i="13"/>
  <c r="T42" i="13"/>
  <c r="S42" i="13"/>
  <c r="Q42" i="13"/>
  <c r="O42" i="13"/>
  <c r="M42" i="13"/>
  <c r="K42" i="13"/>
  <c r="X41" i="13"/>
  <c r="W41" i="13"/>
  <c r="V41" i="13"/>
  <c r="U41" i="13"/>
  <c r="T41" i="13"/>
  <c r="S41" i="13"/>
  <c r="Q41" i="13"/>
  <c r="O41" i="13"/>
  <c r="M41" i="13"/>
  <c r="K41" i="13"/>
  <c r="X40" i="13"/>
  <c r="W40" i="13"/>
  <c r="V40" i="13"/>
  <c r="U40" i="13"/>
  <c r="T40" i="13"/>
  <c r="S40" i="13"/>
  <c r="Q40" i="13"/>
  <c r="O40" i="13"/>
  <c r="M40" i="13"/>
  <c r="K40" i="13"/>
  <c r="X39" i="13"/>
  <c r="W39" i="13"/>
  <c r="V39" i="13"/>
  <c r="U39" i="13"/>
  <c r="T39" i="13"/>
  <c r="S39" i="13"/>
  <c r="Q39" i="13"/>
  <c r="O39" i="13"/>
  <c r="M39" i="13"/>
  <c r="K39" i="13"/>
  <c r="X38" i="13"/>
  <c r="W38" i="13"/>
  <c r="V38" i="13"/>
  <c r="U38" i="13"/>
  <c r="T38" i="13"/>
  <c r="S38" i="13"/>
  <c r="Q38" i="13"/>
  <c r="O38" i="13"/>
  <c r="M38" i="13"/>
  <c r="K38" i="13"/>
  <c r="X37" i="13"/>
  <c r="W37" i="13"/>
  <c r="V37" i="13"/>
  <c r="U37" i="13"/>
  <c r="T37" i="13"/>
  <c r="S37" i="13"/>
  <c r="Q37" i="13"/>
  <c r="O37" i="13"/>
  <c r="M37" i="13"/>
  <c r="K37" i="13"/>
  <c r="X36" i="13"/>
  <c r="W36" i="13"/>
  <c r="V36" i="13"/>
  <c r="U36" i="13"/>
  <c r="T36" i="13"/>
  <c r="S36" i="13"/>
  <c r="Q36" i="13"/>
  <c r="O36" i="13"/>
  <c r="M36" i="13"/>
  <c r="K36" i="13"/>
  <c r="X35" i="13"/>
  <c r="W35" i="13"/>
  <c r="V35" i="13"/>
  <c r="U35" i="13"/>
  <c r="T35" i="13"/>
  <c r="S35" i="13"/>
  <c r="Q35" i="13"/>
  <c r="O35" i="13"/>
  <c r="M35" i="13"/>
  <c r="K35" i="13"/>
  <c r="X34" i="13"/>
  <c r="W34" i="13"/>
  <c r="V34" i="13"/>
  <c r="U34" i="13"/>
  <c r="T34" i="13"/>
  <c r="S34" i="13"/>
  <c r="Q34" i="13"/>
  <c r="O34" i="13"/>
  <c r="M34" i="13"/>
  <c r="K34" i="13"/>
  <c r="X33" i="13"/>
  <c r="W33" i="13"/>
  <c r="V33" i="13"/>
  <c r="U33" i="13"/>
  <c r="T33" i="13"/>
  <c r="S33" i="13"/>
  <c r="Q33" i="13"/>
  <c r="O33" i="13"/>
  <c r="M33" i="13"/>
  <c r="K33" i="13"/>
  <c r="X32" i="13"/>
  <c r="W32" i="13"/>
  <c r="V32" i="13"/>
  <c r="U32" i="13"/>
  <c r="T32" i="13"/>
  <c r="S32" i="13"/>
  <c r="Q32" i="13"/>
  <c r="O32" i="13"/>
  <c r="M32" i="13"/>
  <c r="K32" i="13"/>
  <c r="X31" i="13"/>
  <c r="W31" i="13"/>
  <c r="V31" i="13"/>
  <c r="U31" i="13"/>
  <c r="T31" i="13"/>
  <c r="S31" i="13"/>
  <c r="Q31" i="13"/>
  <c r="O31" i="13"/>
  <c r="M31" i="13"/>
  <c r="K31" i="13"/>
  <c r="X30" i="13"/>
  <c r="W30" i="13"/>
  <c r="V30" i="13"/>
  <c r="U30" i="13"/>
  <c r="T30" i="13"/>
  <c r="S30" i="13"/>
  <c r="Q30" i="13"/>
  <c r="O30" i="13"/>
  <c r="M30" i="13"/>
  <c r="K30" i="13"/>
  <c r="X29" i="13"/>
  <c r="W29" i="13"/>
  <c r="V29" i="13"/>
  <c r="U29" i="13"/>
  <c r="T29" i="13"/>
  <c r="S29" i="13"/>
  <c r="Q29" i="13"/>
  <c r="O29" i="13"/>
  <c r="M29" i="13"/>
  <c r="K29" i="13"/>
  <c r="X28" i="13"/>
  <c r="W28" i="13"/>
  <c r="V28" i="13"/>
  <c r="U28" i="13"/>
  <c r="T28" i="13"/>
  <c r="S28" i="13"/>
  <c r="Q28" i="13"/>
  <c r="O28" i="13"/>
  <c r="M28" i="13"/>
  <c r="K28" i="13"/>
  <c r="X27" i="13"/>
  <c r="W27" i="13"/>
  <c r="V27" i="13"/>
  <c r="U27" i="13"/>
  <c r="T27" i="13"/>
  <c r="S27" i="13"/>
  <c r="Q27" i="13"/>
  <c r="O27" i="13"/>
  <c r="M27" i="13"/>
  <c r="K27" i="13"/>
  <c r="X26" i="13"/>
  <c r="W26" i="13"/>
  <c r="V26" i="13"/>
  <c r="U26" i="13"/>
  <c r="T26" i="13"/>
  <c r="S26" i="13"/>
  <c r="Q26" i="13"/>
  <c r="O26" i="13"/>
  <c r="M26" i="13"/>
  <c r="K26" i="13"/>
  <c r="X25" i="13"/>
  <c r="W25" i="13"/>
  <c r="V25" i="13"/>
  <c r="U25" i="13"/>
  <c r="T25" i="13"/>
  <c r="S25" i="13"/>
  <c r="Q25" i="13"/>
  <c r="O25" i="13"/>
  <c r="M25" i="13"/>
  <c r="K25" i="13"/>
  <c r="X24" i="13"/>
  <c r="W24" i="13"/>
  <c r="V24" i="13"/>
  <c r="U24" i="13"/>
  <c r="T24" i="13"/>
  <c r="S24" i="13"/>
  <c r="Q24" i="13"/>
  <c r="O24" i="13"/>
  <c r="M24" i="13"/>
  <c r="K24" i="13"/>
  <c r="X23" i="13"/>
  <c r="W23" i="13"/>
  <c r="V23" i="13"/>
  <c r="U23" i="13"/>
  <c r="T23" i="13"/>
  <c r="S23" i="13"/>
  <c r="Q23" i="13"/>
  <c r="O23" i="13"/>
  <c r="M23" i="13"/>
  <c r="K23" i="13"/>
  <c r="X22" i="13"/>
  <c r="W22" i="13"/>
  <c r="V22" i="13"/>
  <c r="U22" i="13"/>
  <c r="T22" i="13"/>
  <c r="S22" i="13"/>
  <c r="Q22" i="13"/>
  <c r="O22" i="13"/>
  <c r="M22" i="13"/>
  <c r="K22" i="13"/>
  <c r="X21" i="13"/>
  <c r="W21" i="13"/>
  <c r="V21" i="13"/>
  <c r="U21" i="13"/>
  <c r="T21" i="13"/>
  <c r="S21" i="13"/>
  <c r="Q21" i="13"/>
  <c r="O21" i="13"/>
  <c r="M21" i="13"/>
  <c r="K21" i="13"/>
  <c r="X20" i="13"/>
  <c r="W20" i="13"/>
  <c r="V20" i="13"/>
  <c r="U20" i="13"/>
  <c r="T20" i="13"/>
  <c r="S20" i="13"/>
  <c r="Q20" i="13"/>
  <c r="O20" i="13"/>
  <c r="M20" i="13"/>
  <c r="K20" i="13"/>
  <c r="X19" i="13"/>
  <c r="W19" i="13"/>
  <c r="V19" i="13"/>
  <c r="U19" i="13"/>
  <c r="T19" i="13"/>
  <c r="S19" i="13"/>
  <c r="Q19" i="13"/>
  <c r="O19" i="13"/>
  <c r="M19" i="13"/>
  <c r="K19" i="13"/>
  <c r="X18" i="13"/>
  <c r="W18" i="13"/>
  <c r="V18" i="13"/>
  <c r="U18" i="13"/>
  <c r="T18" i="13"/>
  <c r="S18" i="13"/>
  <c r="Q18" i="13"/>
  <c r="O18" i="13"/>
  <c r="M18" i="13"/>
  <c r="K18" i="13"/>
  <c r="X17" i="13"/>
  <c r="W17" i="13"/>
  <c r="V17" i="13"/>
  <c r="U17" i="13"/>
  <c r="T17" i="13"/>
  <c r="S17" i="13"/>
  <c r="Q17" i="13"/>
  <c r="O17" i="13"/>
  <c r="M17" i="13"/>
  <c r="K17" i="13"/>
  <c r="X16" i="13"/>
  <c r="W16" i="13"/>
  <c r="V16" i="13"/>
  <c r="U16" i="13"/>
  <c r="T16" i="13"/>
  <c r="S16" i="13"/>
  <c r="Q16" i="13"/>
  <c r="O16" i="13"/>
  <c r="M16" i="13"/>
  <c r="K16" i="13"/>
  <c r="X15" i="13"/>
  <c r="W15" i="13"/>
  <c r="V15" i="13"/>
  <c r="U15" i="13"/>
  <c r="T15" i="13"/>
  <c r="S15" i="13"/>
  <c r="Q15" i="13"/>
  <c r="O15" i="13"/>
  <c r="M15" i="13"/>
  <c r="K15" i="13"/>
  <c r="X14" i="13"/>
  <c r="W14" i="13"/>
  <c r="V14" i="13"/>
  <c r="U14" i="13"/>
  <c r="T14" i="13"/>
  <c r="S14" i="13"/>
  <c r="Q14" i="13"/>
  <c r="O14" i="13"/>
  <c r="M14" i="13"/>
  <c r="K14" i="13"/>
  <c r="X13" i="13"/>
  <c r="W13" i="13"/>
  <c r="V13" i="13"/>
  <c r="U13" i="13"/>
  <c r="T13" i="13"/>
  <c r="S13" i="13"/>
  <c r="Q13" i="13"/>
  <c r="O13" i="13"/>
  <c r="M13" i="13"/>
  <c r="K13" i="13"/>
  <c r="X12" i="13"/>
  <c r="W12" i="13"/>
  <c r="V12" i="13"/>
  <c r="U12" i="13"/>
  <c r="T12" i="13"/>
  <c r="S12" i="13"/>
  <c r="Q12" i="13"/>
  <c r="O12" i="13"/>
  <c r="M12" i="13"/>
  <c r="K12" i="13"/>
  <c r="X11" i="13"/>
  <c r="W11" i="13"/>
  <c r="V11" i="13"/>
  <c r="U11" i="13"/>
  <c r="T11" i="13"/>
  <c r="S11" i="13"/>
  <c r="Q11" i="13"/>
  <c r="O11" i="13"/>
  <c r="M11" i="13"/>
  <c r="K11" i="13"/>
  <c r="X10" i="13"/>
  <c r="W10" i="13"/>
  <c r="V10" i="13"/>
  <c r="U10" i="13"/>
  <c r="T10" i="13"/>
  <c r="S10" i="13"/>
  <c r="Q10" i="13"/>
  <c r="O10" i="13"/>
  <c r="M10" i="13"/>
  <c r="K10" i="13"/>
  <c r="X9" i="13"/>
  <c r="W9" i="13"/>
  <c r="V9" i="13"/>
  <c r="U9" i="13"/>
  <c r="T9" i="13"/>
  <c r="S9" i="13"/>
  <c r="Q9" i="13"/>
  <c r="O9" i="13"/>
  <c r="M9" i="13"/>
  <c r="K9" i="13"/>
  <c r="X8" i="13"/>
  <c r="W8" i="13"/>
  <c r="V8" i="13"/>
  <c r="U8" i="13"/>
  <c r="T8" i="13"/>
  <c r="S8" i="13"/>
  <c r="Q8" i="13"/>
  <c r="O8" i="13"/>
  <c r="M8" i="13"/>
  <c r="K8" i="13"/>
  <c r="X7" i="13"/>
  <c r="W7" i="13"/>
  <c r="V7" i="13"/>
  <c r="U7" i="13"/>
  <c r="T7" i="13"/>
  <c r="S7" i="13"/>
  <c r="Q7" i="13"/>
  <c r="O7" i="13"/>
  <c r="M7" i="13"/>
  <c r="K7" i="13"/>
  <c r="X256" i="12" l="1"/>
  <c r="W256" i="12"/>
  <c r="V256" i="12"/>
  <c r="U256" i="12"/>
  <c r="T256" i="12"/>
  <c r="S256" i="12"/>
  <c r="Q256" i="12"/>
  <c r="O256" i="12"/>
  <c r="M256" i="12"/>
  <c r="K256" i="12"/>
  <c r="X255" i="12"/>
  <c r="W255" i="12"/>
  <c r="V255" i="12"/>
  <c r="U255" i="12"/>
  <c r="T255" i="12"/>
  <c r="S255" i="12"/>
  <c r="Q255" i="12"/>
  <c r="O255" i="12"/>
  <c r="M255" i="12"/>
  <c r="K255" i="12"/>
  <c r="X254" i="12"/>
  <c r="W254" i="12"/>
  <c r="V254" i="12"/>
  <c r="U254" i="12"/>
  <c r="T254" i="12"/>
  <c r="S254" i="12"/>
  <c r="Q254" i="12"/>
  <c r="O254" i="12"/>
  <c r="M254" i="12"/>
  <c r="K254" i="12"/>
  <c r="X253" i="12"/>
  <c r="W253" i="12"/>
  <c r="V253" i="12"/>
  <c r="U253" i="12"/>
  <c r="T253" i="12"/>
  <c r="S253" i="12"/>
  <c r="Q253" i="12"/>
  <c r="O253" i="12"/>
  <c r="M253" i="12"/>
  <c r="K253" i="12"/>
  <c r="X252" i="12"/>
  <c r="W252" i="12"/>
  <c r="V252" i="12"/>
  <c r="U252" i="12"/>
  <c r="T252" i="12"/>
  <c r="S252" i="12"/>
  <c r="Q252" i="12"/>
  <c r="O252" i="12"/>
  <c r="M252" i="12"/>
  <c r="K252" i="12"/>
  <c r="X251" i="12"/>
  <c r="W251" i="12"/>
  <c r="V251" i="12"/>
  <c r="U251" i="12"/>
  <c r="T251" i="12"/>
  <c r="S251" i="12"/>
  <c r="Q251" i="12"/>
  <c r="O251" i="12"/>
  <c r="M251" i="12"/>
  <c r="K251" i="12"/>
  <c r="X250" i="12"/>
  <c r="W250" i="12"/>
  <c r="V250" i="12"/>
  <c r="U250" i="12"/>
  <c r="T250" i="12"/>
  <c r="S250" i="12"/>
  <c r="Q250" i="12"/>
  <c r="O250" i="12"/>
  <c r="M250" i="12"/>
  <c r="K250" i="12"/>
  <c r="X249" i="12"/>
  <c r="W249" i="12"/>
  <c r="V249" i="12"/>
  <c r="U249" i="12"/>
  <c r="T249" i="12"/>
  <c r="S249" i="12"/>
  <c r="Q249" i="12"/>
  <c r="O249" i="12"/>
  <c r="M249" i="12"/>
  <c r="K249" i="12"/>
  <c r="X248" i="12"/>
  <c r="W248" i="12"/>
  <c r="V248" i="12"/>
  <c r="U248" i="12"/>
  <c r="T248" i="12"/>
  <c r="S248" i="12"/>
  <c r="Q248" i="12"/>
  <c r="O248" i="12"/>
  <c r="M248" i="12"/>
  <c r="K248" i="12"/>
  <c r="X247" i="12"/>
  <c r="W247" i="12"/>
  <c r="V247" i="12"/>
  <c r="U247" i="12"/>
  <c r="T247" i="12"/>
  <c r="S247" i="12"/>
  <c r="Q247" i="12"/>
  <c r="O247" i="12"/>
  <c r="M247" i="12"/>
  <c r="K247" i="12"/>
  <c r="X246" i="12"/>
  <c r="W246" i="12"/>
  <c r="V246" i="12"/>
  <c r="U246" i="12"/>
  <c r="T246" i="12"/>
  <c r="S246" i="12"/>
  <c r="Q246" i="12"/>
  <c r="O246" i="12"/>
  <c r="M246" i="12"/>
  <c r="K246" i="12"/>
  <c r="X245" i="12"/>
  <c r="W245" i="12"/>
  <c r="V245" i="12"/>
  <c r="U245" i="12"/>
  <c r="T245" i="12"/>
  <c r="S245" i="12"/>
  <c r="Q245" i="12"/>
  <c r="O245" i="12"/>
  <c r="M245" i="12"/>
  <c r="K245" i="12"/>
  <c r="X244" i="12"/>
  <c r="W244" i="12"/>
  <c r="V244" i="12"/>
  <c r="U244" i="12"/>
  <c r="T244" i="12"/>
  <c r="S244" i="12"/>
  <c r="Q244" i="12"/>
  <c r="O244" i="12"/>
  <c r="M244" i="12"/>
  <c r="K244" i="12"/>
  <c r="X243" i="12"/>
  <c r="W243" i="12"/>
  <c r="V243" i="12"/>
  <c r="U243" i="12"/>
  <c r="T243" i="12"/>
  <c r="S243" i="12"/>
  <c r="Q243" i="12"/>
  <c r="O243" i="12"/>
  <c r="M243" i="12"/>
  <c r="K243" i="12"/>
  <c r="X242" i="12"/>
  <c r="W242" i="12"/>
  <c r="V242" i="12"/>
  <c r="U242" i="12"/>
  <c r="T242" i="12"/>
  <c r="S242" i="12"/>
  <c r="Q242" i="12"/>
  <c r="O242" i="12"/>
  <c r="M242" i="12"/>
  <c r="K242" i="12"/>
  <c r="X241" i="12"/>
  <c r="W241" i="12"/>
  <c r="V241" i="12"/>
  <c r="U241" i="12"/>
  <c r="T241" i="12"/>
  <c r="S241" i="12"/>
  <c r="Q241" i="12"/>
  <c r="O241" i="12"/>
  <c r="M241" i="12"/>
  <c r="K241" i="12"/>
  <c r="X240" i="12"/>
  <c r="W240" i="12"/>
  <c r="V240" i="12"/>
  <c r="U240" i="12"/>
  <c r="T240" i="12"/>
  <c r="S240" i="12"/>
  <c r="Q240" i="12"/>
  <c r="O240" i="12"/>
  <c r="M240" i="12"/>
  <c r="K240" i="12"/>
  <c r="X239" i="12"/>
  <c r="W239" i="12"/>
  <c r="V239" i="12"/>
  <c r="U239" i="12"/>
  <c r="T239" i="12"/>
  <c r="S239" i="12"/>
  <c r="Q239" i="12"/>
  <c r="O239" i="12"/>
  <c r="M239" i="12"/>
  <c r="K239" i="12"/>
  <c r="X238" i="12"/>
  <c r="W238" i="12"/>
  <c r="V238" i="12"/>
  <c r="U238" i="12"/>
  <c r="T238" i="12"/>
  <c r="S238" i="12"/>
  <c r="Q238" i="12"/>
  <c r="O238" i="12"/>
  <c r="M238" i="12"/>
  <c r="K238" i="12"/>
  <c r="X237" i="12"/>
  <c r="W237" i="12"/>
  <c r="V237" i="12"/>
  <c r="U237" i="12"/>
  <c r="T237" i="12"/>
  <c r="S237" i="12"/>
  <c r="Q237" i="12"/>
  <c r="O237" i="12"/>
  <c r="M237" i="12"/>
  <c r="K237" i="12"/>
  <c r="X236" i="12"/>
  <c r="W236" i="12"/>
  <c r="V236" i="12"/>
  <c r="U236" i="12"/>
  <c r="T236" i="12"/>
  <c r="S236" i="12"/>
  <c r="Q236" i="12"/>
  <c r="O236" i="12"/>
  <c r="M236" i="12"/>
  <c r="K236" i="12"/>
  <c r="X235" i="12"/>
  <c r="W235" i="12"/>
  <c r="V235" i="12"/>
  <c r="U235" i="12"/>
  <c r="T235" i="12"/>
  <c r="S235" i="12"/>
  <c r="Q235" i="12"/>
  <c r="O235" i="12"/>
  <c r="M235" i="12"/>
  <c r="K235" i="12"/>
  <c r="X234" i="12"/>
  <c r="W234" i="12"/>
  <c r="V234" i="12"/>
  <c r="U234" i="12"/>
  <c r="T234" i="12"/>
  <c r="S234" i="12"/>
  <c r="Q234" i="12"/>
  <c r="O234" i="12"/>
  <c r="M234" i="12"/>
  <c r="K234" i="12"/>
  <c r="X233" i="12"/>
  <c r="W233" i="12"/>
  <c r="V233" i="12"/>
  <c r="U233" i="12"/>
  <c r="T233" i="12"/>
  <c r="S233" i="12"/>
  <c r="Q233" i="12"/>
  <c r="O233" i="12"/>
  <c r="M233" i="12"/>
  <c r="K233" i="12"/>
  <c r="X232" i="12"/>
  <c r="W232" i="12"/>
  <c r="V232" i="12"/>
  <c r="U232" i="12"/>
  <c r="T232" i="12"/>
  <c r="S232" i="12"/>
  <c r="Q232" i="12"/>
  <c r="O232" i="12"/>
  <c r="M232" i="12"/>
  <c r="K232" i="12"/>
  <c r="X231" i="12"/>
  <c r="W231" i="12"/>
  <c r="V231" i="12"/>
  <c r="U231" i="12"/>
  <c r="T231" i="12"/>
  <c r="S231" i="12"/>
  <c r="Q231" i="12"/>
  <c r="O231" i="12"/>
  <c r="M231" i="12"/>
  <c r="K231" i="12"/>
  <c r="X230" i="12"/>
  <c r="W230" i="12"/>
  <c r="V230" i="12"/>
  <c r="U230" i="12"/>
  <c r="T230" i="12"/>
  <c r="S230" i="12"/>
  <c r="Q230" i="12"/>
  <c r="O230" i="12"/>
  <c r="M230" i="12"/>
  <c r="K230" i="12"/>
  <c r="X229" i="12"/>
  <c r="W229" i="12"/>
  <c r="V229" i="12"/>
  <c r="U229" i="12"/>
  <c r="T229" i="12"/>
  <c r="S229" i="12"/>
  <c r="Q229" i="12"/>
  <c r="O229" i="12"/>
  <c r="M229" i="12"/>
  <c r="K229" i="12"/>
  <c r="X228" i="12"/>
  <c r="W228" i="12"/>
  <c r="V228" i="12"/>
  <c r="U228" i="12"/>
  <c r="T228" i="12"/>
  <c r="S228" i="12"/>
  <c r="Q228" i="12"/>
  <c r="O228" i="12"/>
  <c r="M228" i="12"/>
  <c r="K228" i="12"/>
  <c r="X227" i="12"/>
  <c r="W227" i="12"/>
  <c r="V227" i="12"/>
  <c r="U227" i="12"/>
  <c r="T227" i="12"/>
  <c r="S227" i="12"/>
  <c r="Q227" i="12"/>
  <c r="O227" i="12"/>
  <c r="M227" i="12"/>
  <c r="K227" i="12"/>
  <c r="X226" i="12"/>
  <c r="W226" i="12"/>
  <c r="V226" i="12"/>
  <c r="U226" i="12"/>
  <c r="T226" i="12"/>
  <c r="S226" i="12"/>
  <c r="Q226" i="12"/>
  <c r="O226" i="12"/>
  <c r="M226" i="12"/>
  <c r="K226" i="12"/>
  <c r="X225" i="12"/>
  <c r="W225" i="12"/>
  <c r="V225" i="12"/>
  <c r="U225" i="12"/>
  <c r="T225" i="12"/>
  <c r="S225" i="12"/>
  <c r="Q225" i="12"/>
  <c r="O225" i="12"/>
  <c r="M225" i="12"/>
  <c r="K225" i="12"/>
  <c r="X224" i="12"/>
  <c r="W224" i="12"/>
  <c r="V224" i="12"/>
  <c r="U224" i="12"/>
  <c r="T224" i="12"/>
  <c r="S224" i="12"/>
  <c r="Q224" i="12"/>
  <c r="O224" i="12"/>
  <c r="M224" i="12"/>
  <c r="K224" i="12"/>
  <c r="X223" i="12"/>
  <c r="W223" i="12"/>
  <c r="V223" i="12"/>
  <c r="U223" i="12"/>
  <c r="T223" i="12"/>
  <c r="S223" i="12"/>
  <c r="Q223" i="12"/>
  <c r="O223" i="12"/>
  <c r="M223" i="12"/>
  <c r="K223" i="12"/>
  <c r="X222" i="12"/>
  <c r="W222" i="12"/>
  <c r="V222" i="12"/>
  <c r="U222" i="12"/>
  <c r="T222" i="12"/>
  <c r="S222" i="12"/>
  <c r="Q222" i="12"/>
  <c r="O222" i="12"/>
  <c r="M222" i="12"/>
  <c r="K222" i="12"/>
  <c r="X221" i="12"/>
  <c r="W221" i="12"/>
  <c r="V221" i="12"/>
  <c r="U221" i="12"/>
  <c r="T221" i="12"/>
  <c r="S221" i="12"/>
  <c r="Q221" i="12"/>
  <c r="O221" i="12"/>
  <c r="M221" i="12"/>
  <c r="K221" i="12"/>
  <c r="X220" i="12"/>
  <c r="W220" i="12"/>
  <c r="V220" i="12"/>
  <c r="U220" i="12"/>
  <c r="T220" i="12"/>
  <c r="S220" i="12"/>
  <c r="Q220" i="12"/>
  <c r="O220" i="12"/>
  <c r="M220" i="12"/>
  <c r="K220" i="12"/>
  <c r="X219" i="12"/>
  <c r="W219" i="12"/>
  <c r="V219" i="12"/>
  <c r="U219" i="12"/>
  <c r="T219" i="12"/>
  <c r="S219" i="12"/>
  <c r="Q219" i="12"/>
  <c r="O219" i="12"/>
  <c r="M219" i="12"/>
  <c r="K219" i="12"/>
  <c r="X218" i="12"/>
  <c r="W218" i="12"/>
  <c r="V218" i="12"/>
  <c r="U218" i="12"/>
  <c r="T218" i="12"/>
  <c r="S218" i="12"/>
  <c r="Q218" i="12"/>
  <c r="O218" i="12"/>
  <c r="M218" i="12"/>
  <c r="K218" i="12"/>
  <c r="X217" i="12"/>
  <c r="W217" i="12"/>
  <c r="V217" i="12"/>
  <c r="U217" i="12"/>
  <c r="T217" i="12"/>
  <c r="S217" i="12"/>
  <c r="Q217" i="12"/>
  <c r="O217" i="12"/>
  <c r="M217" i="12"/>
  <c r="K217" i="12"/>
  <c r="X216" i="12"/>
  <c r="W216" i="12"/>
  <c r="V216" i="12"/>
  <c r="U216" i="12"/>
  <c r="T216" i="12"/>
  <c r="S216" i="12"/>
  <c r="Q216" i="12"/>
  <c r="O216" i="12"/>
  <c r="M216" i="12"/>
  <c r="K216" i="12"/>
  <c r="X215" i="12"/>
  <c r="W215" i="12"/>
  <c r="V215" i="12"/>
  <c r="U215" i="12"/>
  <c r="T215" i="12"/>
  <c r="S215" i="12"/>
  <c r="Q215" i="12"/>
  <c r="O215" i="12"/>
  <c r="M215" i="12"/>
  <c r="K215" i="12"/>
  <c r="X214" i="12"/>
  <c r="W214" i="12"/>
  <c r="V214" i="12"/>
  <c r="U214" i="12"/>
  <c r="T214" i="12"/>
  <c r="S214" i="12"/>
  <c r="Q214" i="12"/>
  <c r="O214" i="12"/>
  <c r="M214" i="12"/>
  <c r="K214" i="12"/>
  <c r="X213" i="12"/>
  <c r="W213" i="12"/>
  <c r="V213" i="12"/>
  <c r="U213" i="12"/>
  <c r="T213" i="12"/>
  <c r="S213" i="12"/>
  <c r="Q213" i="12"/>
  <c r="O213" i="12"/>
  <c r="M213" i="12"/>
  <c r="K213" i="12"/>
  <c r="X212" i="12"/>
  <c r="W212" i="12"/>
  <c r="V212" i="12"/>
  <c r="U212" i="12"/>
  <c r="T212" i="12"/>
  <c r="S212" i="12"/>
  <c r="Q212" i="12"/>
  <c r="O212" i="12"/>
  <c r="M212" i="12"/>
  <c r="K212" i="12"/>
  <c r="X211" i="12"/>
  <c r="W211" i="12"/>
  <c r="V211" i="12"/>
  <c r="U211" i="12"/>
  <c r="T211" i="12"/>
  <c r="S211" i="12"/>
  <c r="Q211" i="12"/>
  <c r="O211" i="12"/>
  <c r="M211" i="12"/>
  <c r="K211" i="12"/>
  <c r="X210" i="12"/>
  <c r="W210" i="12"/>
  <c r="V210" i="12"/>
  <c r="U210" i="12"/>
  <c r="T210" i="12"/>
  <c r="S210" i="12"/>
  <c r="Q210" i="12"/>
  <c r="O210" i="12"/>
  <c r="M210" i="12"/>
  <c r="K210" i="12"/>
  <c r="X209" i="12"/>
  <c r="W209" i="12"/>
  <c r="V209" i="12"/>
  <c r="U209" i="12"/>
  <c r="T209" i="12"/>
  <c r="S209" i="12"/>
  <c r="Q209" i="12"/>
  <c r="O209" i="12"/>
  <c r="M209" i="12"/>
  <c r="K209" i="12"/>
  <c r="X208" i="12"/>
  <c r="W208" i="12"/>
  <c r="V208" i="12"/>
  <c r="U208" i="12"/>
  <c r="T208" i="12"/>
  <c r="S208" i="12"/>
  <c r="Q208" i="12"/>
  <c r="O208" i="12"/>
  <c r="M208" i="12"/>
  <c r="K208" i="12"/>
  <c r="X207" i="12"/>
  <c r="W207" i="12"/>
  <c r="V207" i="12"/>
  <c r="U207" i="12"/>
  <c r="T207" i="12"/>
  <c r="S207" i="12"/>
  <c r="Q207" i="12"/>
  <c r="O207" i="12"/>
  <c r="M207" i="12"/>
  <c r="K207" i="12"/>
  <c r="X206" i="12"/>
  <c r="W206" i="12"/>
  <c r="V206" i="12"/>
  <c r="U206" i="12"/>
  <c r="T206" i="12"/>
  <c r="S206" i="12"/>
  <c r="Q206" i="12"/>
  <c r="O206" i="12"/>
  <c r="M206" i="12"/>
  <c r="K206" i="12"/>
  <c r="X205" i="12"/>
  <c r="W205" i="12"/>
  <c r="V205" i="12"/>
  <c r="U205" i="12"/>
  <c r="T205" i="12"/>
  <c r="S205" i="12"/>
  <c r="Q205" i="12"/>
  <c r="O205" i="12"/>
  <c r="M205" i="12"/>
  <c r="K205" i="12"/>
  <c r="X204" i="12"/>
  <c r="W204" i="12"/>
  <c r="V204" i="12"/>
  <c r="U204" i="12"/>
  <c r="T204" i="12"/>
  <c r="S204" i="12"/>
  <c r="Q204" i="12"/>
  <c r="O204" i="12"/>
  <c r="M204" i="12"/>
  <c r="K204" i="12"/>
  <c r="X203" i="12"/>
  <c r="W203" i="12"/>
  <c r="V203" i="12"/>
  <c r="U203" i="12"/>
  <c r="T203" i="12"/>
  <c r="S203" i="12"/>
  <c r="Q203" i="12"/>
  <c r="O203" i="12"/>
  <c r="M203" i="12"/>
  <c r="K203" i="12"/>
  <c r="X202" i="12"/>
  <c r="W202" i="12"/>
  <c r="V202" i="12"/>
  <c r="U202" i="12"/>
  <c r="T202" i="12"/>
  <c r="S202" i="12"/>
  <c r="Q202" i="12"/>
  <c r="O202" i="12"/>
  <c r="M202" i="12"/>
  <c r="K202" i="12"/>
  <c r="X201" i="12"/>
  <c r="W201" i="12"/>
  <c r="V201" i="12"/>
  <c r="U201" i="12"/>
  <c r="T201" i="12"/>
  <c r="S201" i="12"/>
  <c r="Q201" i="12"/>
  <c r="O201" i="12"/>
  <c r="M201" i="12"/>
  <c r="K201" i="12"/>
  <c r="X200" i="12"/>
  <c r="W200" i="12"/>
  <c r="V200" i="12"/>
  <c r="U200" i="12"/>
  <c r="T200" i="12"/>
  <c r="S200" i="12"/>
  <c r="Q200" i="12"/>
  <c r="O200" i="12"/>
  <c r="M200" i="12"/>
  <c r="K200" i="12"/>
  <c r="X199" i="12"/>
  <c r="W199" i="12"/>
  <c r="V199" i="12"/>
  <c r="U199" i="12"/>
  <c r="T199" i="12"/>
  <c r="S199" i="12"/>
  <c r="Q199" i="12"/>
  <c r="O199" i="12"/>
  <c r="M199" i="12"/>
  <c r="K199" i="12"/>
  <c r="X198" i="12"/>
  <c r="W198" i="12"/>
  <c r="V198" i="12"/>
  <c r="U198" i="12"/>
  <c r="T198" i="12"/>
  <c r="S198" i="12"/>
  <c r="Q198" i="12"/>
  <c r="O198" i="12"/>
  <c r="M198" i="12"/>
  <c r="K198" i="12"/>
  <c r="X197" i="12"/>
  <c r="W197" i="12"/>
  <c r="V197" i="12"/>
  <c r="U197" i="12"/>
  <c r="T197" i="12"/>
  <c r="S197" i="12"/>
  <c r="Q197" i="12"/>
  <c r="O197" i="12"/>
  <c r="M197" i="12"/>
  <c r="K197" i="12"/>
  <c r="X196" i="12"/>
  <c r="W196" i="12"/>
  <c r="V196" i="12"/>
  <c r="U196" i="12"/>
  <c r="T196" i="12"/>
  <c r="S196" i="12"/>
  <c r="Q196" i="12"/>
  <c r="O196" i="12"/>
  <c r="M196" i="12"/>
  <c r="K196" i="12"/>
  <c r="X195" i="12"/>
  <c r="W195" i="12"/>
  <c r="V195" i="12"/>
  <c r="U195" i="12"/>
  <c r="T195" i="12"/>
  <c r="S195" i="12"/>
  <c r="Q195" i="12"/>
  <c r="O195" i="12"/>
  <c r="M195" i="12"/>
  <c r="K195" i="12"/>
  <c r="X194" i="12"/>
  <c r="W194" i="12"/>
  <c r="V194" i="12"/>
  <c r="U194" i="12"/>
  <c r="T194" i="12"/>
  <c r="S194" i="12"/>
  <c r="Q194" i="12"/>
  <c r="O194" i="12"/>
  <c r="M194" i="12"/>
  <c r="K194" i="12"/>
  <c r="X193" i="12"/>
  <c r="W193" i="12"/>
  <c r="V193" i="12"/>
  <c r="U193" i="12"/>
  <c r="T193" i="12"/>
  <c r="S193" i="12"/>
  <c r="Q193" i="12"/>
  <c r="O193" i="12"/>
  <c r="M193" i="12"/>
  <c r="K193" i="12"/>
  <c r="X192" i="12"/>
  <c r="W192" i="12"/>
  <c r="V192" i="12"/>
  <c r="U192" i="12"/>
  <c r="T192" i="12"/>
  <c r="S192" i="12"/>
  <c r="Q192" i="12"/>
  <c r="O192" i="12"/>
  <c r="M192" i="12"/>
  <c r="K192" i="12"/>
  <c r="X191" i="12"/>
  <c r="W191" i="12"/>
  <c r="V191" i="12"/>
  <c r="U191" i="12"/>
  <c r="T191" i="12"/>
  <c r="S191" i="12"/>
  <c r="Q191" i="12"/>
  <c r="O191" i="12"/>
  <c r="M191" i="12"/>
  <c r="K191" i="12"/>
  <c r="X190" i="12"/>
  <c r="W190" i="12"/>
  <c r="V190" i="12"/>
  <c r="U190" i="12"/>
  <c r="T190" i="12"/>
  <c r="S190" i="12"/>
  <c r="Q190" i="12"/>
  <c r="O190" i="12"/>
  <c r="M190" i="12"/>
  <c r="K190" i="12"/>
  <c r="X189" i="12"/>
  <c r="W189" i="12"/>
  <c r="V189" i="12"/>
  <c r="U189" i="12"/>
  <c r="T189" i="12"/>
  <c r="S189" i="12"/>
  <c r="Q189" i="12"/>
  <c r="O189" i="12"/>
  <c r="M189" i="12"/>
  <c r="K189" i="12"/>
  <c r="X188" i="12"/>
  <c r="W188" i="12"/>
  <c r="V188" i="12"/>
  <c r="U188" i="12"/>
  <c r="T188" i="12"/>
  <c r="S188" i="12"/>
  <c r="Q188" i="12"/>
  <c r="O188" i="12"/>
  <c r="M188" i="12"/>
  <c r="K188" i="12"/>
  <c r="X187" i="12"/>
  <c r="W187" i="12"/>
  <c r="V187" i="12"/>
  <c r="U187" i="12"/>
  <c r="T187" i="12"/>
  <c r="S187" i="12"/>
  <c r="Q187" i="12"/>
  <c r="O187" i="12"/>
  <c r="M187" i="12"/>
  <c r="K187" i="12"/>
  <c r="X186" i="12"/>
  <c r="W186" i="12"/>
  <c r="V186" i="12"/>
  <c r="U186" i="12"/>
  <c r="T186" i="12"/>
  <c r="S186" i="12"/>
  <c r="Q186" i="12"/>
  <c r="O186" i="12"/>
  <c r="M186" i="12"/>
  <c r="K186" i="12"/>
  <c r="X185" i="12"/>
  <c r="W185" i="12"/>
  <c r="V185" i="12"/>
  <c r="U185" i="12"/>
  <c r="T185" i="12"/>
  <c r="S185" i="12"/>
  <c r="Q185" i="12"/>
  <c r="O185" i="12"/>
  <c r="M185" i="12"/>
  <c r="K185" i="12"/>
  <c r="X184" i="12"/>
  <c r="W184" i="12"/>
  <c r="V184" i="12"/>
  <c r="U184" i="12"/>
  <c r="T184" i="12"/>
  <c r="S184" i="12"/>
  <c r="Q184" i="12"/>
  <c r="O184" i="12"/>
  <c r="M184" i="12"/>
  <c r="K184" i="12"/>
  <c r="X183" i="12"/>
  <c r="W183" i="12"/>
  <c r="V183" i="12"/>
  <c r="U183" i="12"/>
  <c r="T183" i="12"/>
  <c r="S183" i="12"/>
  <c r="Q183" i="12"/>
  <c r="O183" i="12"/>
  <c r="M183" i="12"/>
  <c r="K183" i="12"/>
  <c r="X182" i="12"/>
  <c r="W182" i="12"/>
  <c r="V182" i="12"/>
  <c r="U182" i="12"/>
  <c r="T182" i="12"/>
  <c r="S182" i="12"/>
  <c r="Q182" i="12"/>
  <c r="O182" i="12"/>
  <c r="M182" i="12"/>
  <c r="K182" i="12"/>
  <c r="X181" i="12"/>
  <c r="W181" i="12"/>
  <c r="V181" i="12"/>
  <c r="U181" i="12"/>
  <c r="T181" i="12"/>
  <c r="S181" i="12"/>
  <c r="Q181" i="12"/>
  <c r="O181" i="12"/>
  <c r="M181" i="12"/>
  <c r="K181" i="12"/>
  <c r="X180" i="12"/>
  <c r="W180" i="12"/>
  <c r="V180" i="12"/>
  <c r="U180" i="12"/>
  <c r="T180" i="12"/>
  <c r="S180" i="12"/>
  <c r="Q180" i="12"/>
  <c r="O180" i="12"/>
  <c r="M180" i="12"/>
  <c r="K180" i="12"/>
  <c r="X179" i="12"/>
  <c r="W179" i="12"/>
  <c r="V179" i="12"/>
  <c r="U179" i="12"/>
  <c r="T179" i="12"/>
  <c r="S179" i="12"/>
  <c r="Q179" i="12"/>
  <c r="O179" i="12"/>
  <c r="M179" i="12"/>
  <c r="K179" i="12"/>
  <c r="X178" i="12"/>
  <c r="W178" i="12"/>
  <c r="V178" i="12"/>
  <c r="U178" i="12"/>
  <c r="T178" i="12"/>
  <c r="S178" i="12"/>
  <c r="Q178" i="12"/>
  <c r="O178" i="12"/>
  <c r="M178" i="12"/>
  <c r="K178" i="12"/>
  <c r="X177" i="12"/>
  <c r="W177" i="12"/>
  <c r="V177" i="12"/>
  <c r="U177" i="12"/>
  <c r="T177" i="12"/>
  <c r="S177" i="12"/>
  <c r="Q177" i="12"/>
  <c r="O177" i="12"/>
  <c r="M177" i="12"/>
  <c r="K177" i="12"/>
  <c r="X176" i="12"/>
  <c r="W176" i="12"/>
  <c r="V176" i="12"/>
  <c r="U176" i="12"/>
  <c r="T176" i="12"/>
  <c r="S176" i="12"/>
  <c r="Q176" i="12"/>
  <c r="O176" i="12"/>
  <c r="M176" i="12"/>
  <c r="K176" i="12"/>
  <c r="X175" i="12"/>
  <c r="W175" i="12"/>
  <c r="V175" i="12"/>
  <c r="U175" i="12"/>
  <c r="T175" i="12"/>
  <c r="S175" i="12"/>
  <c r="Q175" i="12"/>
  <c r="O175" i="12"/>
  <c r="M175" i="12"/>
  <c r="K175" i="12"/>
  <c r="X174" i="12"/>
  <c r="W174" i="12"/>
  <c r="V174" i="12"/>
  <c r="U174" i="12"/>
  <c r="T174" i="12"/>
  <c r="S174" i="12"/>
  <c r="Q174" i="12"/>
  <c r="O174" i="12"/>
  <c r="M174" i="12"/>
  <c r="K174" i="12"/>
  <c r="X173" i="12"/>
  <c r="W173" i="12"/>
  <c r="V173" i="12"/>
  <c r="U173" i="12"/>
  <c r="T173" i="12"/>
  <c r="S173" i="12"/>
  <c r="Q173" i="12"/>
  <c r="O173" i="12"/>
  <c r="M173" i="12"/>
  <c r="K173" i="12"/>
  <c r="X172" i="12"/>
  <c r="W172" i="12"/>
  <c r="V172" i="12"/>
  <c r="U172" i="12"/>
  <c r="T172" i="12"/>
  <c r="S172" i="12"/>
  <c r="Q172" i="12"/>
  <c r="O172" i="12"/>
  <c r="M172" i="12"/>
  <c r="K172" i="12"/>
  <c r="X171" i="12"/>
  <c r="W171" i="12"/>
  <c r="V171" i="12"/>
  <c r="U171" i="12"/>
  <c r="T171" i="12"/>
  <c r="S171" i="12"/>
  <c r="Q171" i="12"/>
  <c r="O171" i="12"/>
  <c r="M171" i="12"/>
  <c r="K171" i="12"/>
  <c r="X170" i="12"/>
  <c r="W170" i="12"/>
  <c r="V170" i="12"/>
  <c r="U170" i="12"/>
  <c r="T170" i="12"/>
  <c r="S170" i="12"/>
  <c r="Q170" i="12"/>
  <c r="O170" i="12"/>
  <c r="M170" i="12"/>
  <c r="K170" i="12"/>
  <c r="X169" i="12"/>
  <c r="W169" i="12"/>
  <c r="V169" i="12"/>
  <c r="U169" i="12"/>
  <c r="T169" i="12"/>
  <c r="S169" i="12"/>
  <c r="Q169" i="12"/>
  <c r="O169" i="12"/>
  <c r="M169" i="12"/>
  <c r="K169" i="12"/>
  <c r="X168" i="12"/>
  <c r="W168" i="12"/>
  <c r="V168" i="12"/>
  <c r="U168" i="12"/>
  <c r="T168" i="12"/>
  <c r="S168" i="12"/>
  <c r="Q168" i="12"/>
  <c r="O168" i="12"/>
  <c r="M168" i="12"/>
  <c r="K168" i="12"/>
  <c r="X167" i="12"/>
  <c r="W167" i="12"/>
  <c r="V167" i="12"/>
  <c r="U167" i="12"/>
  <c r="T167" i="12"/>
  <c r="S167" i="12"/>
  <c r="Q167" i="12"/>
  <c r="O167" i="12"/>
  <c r="M167" i="12"/>
  <c r="K167" i="12"/>
  <c r="X166" i="12"/>
  <c r="W166" i="12"/>
  <c r="V166" i="12"/>
  <c r="U166" i="12"/>
  <c r="T166" i="12"/>
  <c r="S166" i="12"/>
  <c r="Q166" i="12"/>
  <c r="O166" i="12"/>
  <c r="M166" i="12"/>
  <c r="K166" i="12"/>
  <c r="X165" i="12"/>
  <c r="W165" i="12"/>
  <c r="V165" i="12"/>
  <c r="U165" i="12"/>
  <c r="T165" i="12"/>
  <c r="S165" i="12"/>
  <c r="Q165" i="12"/>
  <c r="O165" i="12"/>
  <c r="M165" i="12"/>
  <c r="K165" i="12"/>
  <c r="X164" i="12"/>
  <c r="W164" i="12"/>
  <c r="V164" i="12"/>
  <c r="U164" i="12"/>
  <c r="T164" i="12"/>
  <c r="S164" i="12"/>
  <c r="Q164" i="12"/>
  <c r="O164" i="12"/>
  <c r="M164" i="12"/>
  <c r="K164" i="12"/>
  <c r="X163" i="12"/>
  <c r="W163" i="12"/>
  <c r="V163" i="12"/>
  <c r="U163" i="12"/>
  <c r="T163" i="12"/>
  <c r="S163" i="12"/>
  <c r="Q163" i="12"/>
  <c r="O163" i="12"/>
  <c r="M163" i="12"/>
  <c r="K163" i="12"/>
  <c r="X162" i="12"/>
  <c r="W162" i="12"/>
  <c r="V162" i="12"/>
  <c r="U162" i="12"/>
  <c r="T162" i="12"/>
  <c r="S162" i="12"/>
  <c r="Q162" i="12"/>
  <c r="O162" i="12"/>
  <c r="M162" i="12"/>
  <c r="K162" i="12"/>
  <c r="X161" i="12"/>
  <c r="W161" i="12"/>
  <c r="V161" i="12"/>
  <c r="U161" i="12"/>
  <c r="T161" i="12"/>
  <c r="S161" i="12"/>
  <c r="Q161" i="12"/>
  <c r="O161" i="12"/>
  <c r="M161" i="12"/>
  <c r="K161" i="12"/>
  <c r="X160" i="12"/>
  <c r="W160" i="12"/>
  <c r="V160" i="12"/>
  <c r="U160" i="12"/>
  <c r="T160" i="12"/>
  <c r="S160" i="12"/>
  <c r="Q160" i="12"/>
  <c r="O160" i="12"/>
  <c r="M160" i="12"/>
  <c r="K160" i="12"/>
  <c r="X159" i="12"/>
  <c r="W159" i="12"/>
  <c r="V159" i="12"/>
  <c r="U159" i="12"/>
  <c r="T159" i="12"/>
  <c r="S159" i="12"/>
  <c r="Q159" i="12"/>
  <c r="O159" i="12"/>
  <c r="M159" i="12"/>
  <c r="K159" i="12"/>
  <c r="X158" i="12"/>
  <c r="W158" i="12"/>
  <c r="V158" i="12"/>
  <c r="U158" i="12"/>
  <c r="T158" i="12"/>
  <c r="S158" i="12"/>
  <c r="Q158" i="12"/>
  <c r="O158" i="12"/>
  <c r="M158" i="12"/>
  <c r="K158" i="12"/>
  <c r="X157" i="12"/>
  <c r="W157" i="12"/>
  <c r="V157" i="12"/>
  <c r="U157" i="12"/>
  <c r="T157" i="12"/>
  <c r="S157" i="12"/>
  <c r="Q157" i="12"/>
  <c r="O157" i="12"/>
  <c r="M157" i="12"/>
  <c r="K157" i="12"/>
  <c r="X156" i="12"/>
  <c r="W156" i="12"/>
  <c r="V156" i="12"/>
  <c r="U156" i="12"/>
  <c r="T156" i="12"/>
  <c r="S156" i="12"/>
  <c r="Q156" i="12"/>
  <c r="O156" i="12"/>
  <c r="M156" i="12"/>
  <c r="K156" i="12"/>
  <c r="X155" i="12"/>
  <c r="W155" i="12"/>
  <c r="V155" i="12"/>
  <c r="U155" i="12"/>
  <c r="T155" i="12"/>
  <c r="S155" i="12"/>
  <c r="Q155" i="12"/>
  <c r="O155" i="12"/>
  <c r="M155" i="12"/>
  <c r="K155" i="12"/>
  <c r="X154" i="12"/>
  <c r="W154" i="12"/>
  <c r="V154" i="12"/>
  <c r="U154" i="12"/>
  <c r="T154" i="12"/>
  <c r="S154" i="12"/>
  <c r="Q154" i="12"/>
  <c r="O154" i="12"/>
  <c r="M154" i="12"/>
  <c r="K154" i="12"/>
  <c r="X153" i="12"/>
  <c r="W153" i="12"/>
  <c r="V153" i="12"/>
  <c r="U153" i="12"/>
  <c r="T153" i="12"/>
  <c r="S153" i="12"/>
  <c r="Q153" i="12"/>
  <c r="O153" i="12"/>
  <c r="M153" i="12"/>
  <c r="K153" i="12"/>
  <c r="X152" i="12"/>
  <c r="W152" i="12"/>
  <c r="V152" i="12"/>
  <c r="U152" i="12"/>
  <c r="T152" i="12"/>
  <c r="S152" i="12"/>
  <c r="Q152" i="12"/>
  <c r="O152" i="12"/>
  <c r="M152" i="12"/>
  <c r="K152" i="12"/>
  <c r="X151" i="12"/>
  <c r="W151" i="12"/>
  <c r="V151" i="12"/>
  <c r="U151" i="12"/>
  <c r="T151" i="12"/>
  <c r="S151" i="12"/>
  <c r="Q151" i="12"/>
  <c r="O151" i="12"/>
  <c r="M151" i="12"/>
  <c r="K151" i="12"/>
  <c r="X150" i="12"/>
  <c r="W150" i="12"/>
  <c r="V150" i="12"/>
  <c r="U150" i="12"/>
  <c r="T150" i="12"/>
  <c r="S150" i="12"/>
  <c r="Q150" i="12"/>
  <c r="O150" i="12"/>
  <c r="M150" i="12"/>
  <c r="K150" i="12"/>
  <c r="X149" i="12"/>
  <c r="W149" i="12"/>
  <c r="V149" i="12"/>
  <c r="U149" i="12"/>
  <c r="T149" i="12"/>
  <c r="S149" i="12"/>
  <c r="Q149" i="12"/>
  <c r="O149" i="12"/>
  <c r="M149" i="12"/>
  <c r="K149" i="12"/>
  <c r="X148" i="12"/>
  <c r="W148" i="12"/>
  <c r="V148" i="12"/>
  <c r="U148" i="12"/>
  <c r="T148" i="12"/>
  <c r="S148" i="12"/>
  <c r="Q148" i="12"/>
  <c r="O148" i="12"/>
  <c r="M148" i="12"/>
  <c r="K148" i="12"/>
  <c r="X147" i="12"/>
  <c r="W147" i="12"/>
  <c r="V147" i="12"/>
  <c r="U147" i="12"/>
  <c r="T147" i="12"/>
  <c r="S147" i="12"/>
  <c r="Q147" i="12"/>
  <c r="O147" i="12"/>
  <c r="M147" i="12"/>
  <c r="K147" i="12"/>
  <c r="X146" i="12"/>
  <c r="W146" i="12"/>
  <c r="V146" i="12"/>
  <c r="U146" i="12"/>
  <c r="T146" i="12"/>
  <c r="S146" i="12"/>
  <c r="Q146" i="12"/>
  <c r="O146" i="12"/>
  <c r="M146" i="12"/>
  <c r="K146" i="12"/>
  <c r="X145" i="12"/>
  <c r="W145" i="12"/>
  <c r="V145" i="12"/>
  <c r="U145" i="12"/>
  <c r="T145" i="12"/>
  <c r="S145" i="12"/>
  <c r="Q145" i="12"/>
  <c r="O145" i="12"/>
  <c r="M145" i="12"/>
  <c r="K145" i="12"/>
  <c r="X144" i="12"/>
  <c r="W144" i="12"/>
  <c r="V144" i="12"/>
  <c r="U144" i="12"/>
  <c r="T144" i="12"/>
  <c r="S144" i="12"/>
  <c r="Q144" i="12"/>
  <c r="O144" i="12"/>
  <c r="M144" i="12"/>
  <c r="K144" i="12"/>
  <c r="X143" i="12"/>
  <c r="W143" i="12"/>
  <c r="V143" i="12"/>
  <c r="U143" i="12"/>
  <c r="T143" i="12"/>
  <c r="S143" i="12"/>
  <c r="Q143" i="12"/>
  <c r="O143" i="12"/>
  <c r="M143" i="12"/>
  <c r="K143" i="12"/>
  <c r="X142" i="12"/>
  <c r="W142" i="12"/>
  <c r="V142" i="12"/>
  <c r="U142" i="12"/>
  <c r="T142" i="12"/>
  <c r="S142" i="12"/>
  <c r="Q142" i="12"/>
  <c r="O142" i="12"/>
  <c r="M142" i="12"/>
  <c r="K142" i="12"/>
  <c r="X141" i="12"/>
  <c r="W141" i="12"/>
  <c r="V141" i="12"/>
  <c r="U141" i="12"/>
  <c r="T141" i="12"/>
  <c r="S141" i="12"/>
  <c r="Q141" i="12"/>
  <c r="O141" i="12"/>
  <c r="M141" i="12"/>
  <c r="K141" i="12"/>
  <c r="X140" i="12"/>
  <c r="W140" i="12"/>
  <c r="V140" i="12"/>
  <c r="U140" i="12"/>
  <c r="T140" i="12"/>
  <c r="S140" i="12"/>
  <c r="Q140" i="12"/>
  <c r="O140" i="12"/>
  <c r="M140" i="12"/>
  <c r="K140" i="12"/>
  <c r="X139" i="12"/>
  <c r="W139" i="12"/>
  <c r="V139" i="12"/>
  <c r="U139" i="12"/>
  <c r="T139" i="12"/>
  <c r="S139" i="12"/>
  <c r="Q139" i="12"/>
  <c r="O139" i="12"/>
  <c r="M139" i="12"/>
  <c r="K139" i="12"/>
  <c r="X138" i="12"/>
  <c r="W138" i="12"/>
  <c r="V138" i="12"/>
  <c r="U138" i="12"/>
  <c r="T138" i="12"/>
  <c r="S138" i="12"/>
  <c r="Q138" i="12"/>
  <c r="O138" i="12"/>
  <c r="M138" i="12"/>
  <c r="K138" i="12"/>
  <c r="X137" i="12"/>
  <c r="W137" i="12"/>
  <c r="V137" i="12"/>
  <c r="U137" i="12"/>
  <c r="T137" i="12"/>
  <c r="S137" i="12"/>
  <c r="Q137" i="12"/>
  <c r="O137" i="12"/>
  <c r="M137" i="12"/>
  <c r="K137" i="12"/>
  <c r="X136" i="12"/>
  <c r="W136" i="12"/>
  <c r="V136" i="12"/>
  <c r="U136" i="12"/>
  <c r="T136" i="12"/>
  <c r="S136" i="12"/>
  <c r="Q136" i="12"/>
  <c r="O136" i="12"/>
  <c r="M136" i="12"/>
  <c r="K136" i="12"/>
  <c r="X135" i="12"/>
  <c r="W135" i="12"/>
  <c r="V135" i="12"/>
  <c r="U135" i="12"/>
  <c r="T135" i="12"/>
  <c r="S135" i="12"/>
  <c r="Q135" i="12"/>
  <c r="O135" i="12"/>
  <c r="M135" i="12"/>
  <c r="K135" i="12"/>
  <c r="X134" i="12"/>
  <c r="W134" i="12"/>
  <c r="V134" i="12"/>
  <c r="U134" i="12"/>
  <c r="T134" i="12"/>
  <c r="S134" i="12"/>
  <c r="Q134" i="12"/>
  <c r="O134" i="12"/>
  <c r="M134" i="12"/>
  <c r="K134" i="12"/>
  <c r="X133" i="12"/>
  <c r="W133" i="12"/>
  <c r="V133" i="12"/>
  <c r="U133" i="12"/>
  <c r="T133" i="12"/>
  <c r="S133" i="12"/>
  <c r="Q133" i="12"/>
  <c r="O133" i="12"/>
  <c r="M133" i="12"/>
  <c r="K133" i="12"/>
  <c r="X132" i="12"/>
  <c r="W132" i="12"/>
  <c r="V132" i="12"/>
  <c r="U132" i="12"/>
  <c r="T132" i="12"/>
  <c r="S132" i="12"/>
  <c r="Q132" i="12"/>
  <c r="O132" i="12"/>
  <c r="M132" i="12"/>
  <c r="K132" i="12"/>
  <c r="X131" i="12"/>
  <c r="W131" i="12"/>
  <c r="V131" i="12"/>
  <c r="U131" i="12"/>
  <c r="T131" i="12"/>
  <c r="S131" i="12"/>
  <c r="Q131" i="12"/>
  <c r="O131" i="12"/>
  <c r="M131" i="12"/>
  <c r="K131" i="12"/>
  <c r="X130" i="12"/>
  <c r="W130" i="12"/>
  <c r="V130" i="12"/>
  <c r="U130" i="12"/>
  <c r="T130" i="12"/>
  <c r="S130" i="12"/>
  <c r="Q130" i="12"/>
  <c r="O130" i="12"/>
  <c r="M130" i="12"/>
  <c r="K130" i="12"/>
  <c r="X129" i="12"/>
  <c r="W129" i="12"/>
  <c r="V129" i="12"/>
  <c r="U129" i="12"/>
  <c r="T129" i="12"/>
  <c r="S129" i="12"/>
  <c r="Q129" i="12"/>
  <c r="O129" i="12"/>
  <c r="M129" i="12"/>
  <c r="K129" i="12"/>
  <c r="X128" i="12"/>
  <c r="W128" i="12"/>
  <c r="V128" i="12"/>
  <c r="U128" i="12"/>
  <c r="T128" i="12"/>
  <c r="S128" i="12"/>
  <c r="Q128" i="12"/>
  <c r="O128" i="12"/>
  <c r="M128" i="12"/>
  <c r="K128" i="12"/>
  <c r="X127" i="12"/>
  <c r="W127" i="12"/>
  <c r="V127" i="12"/>
  <c r="U127" i="12"/>
  <c r="T127" i="12"/>
  <c r="S127" i="12"/>
  <c r="Q127" i="12"/>
  <c r="O127" i="12"/>
  <c r="M127" i="12"/>
  <c r="K127" i="12"/>
  <c r="X126" i="12"/>
  <c r="W126" i="12"/>
  <c r="V126" i="12"/>
  <c r="U126" i="12"/>
  <c r="T126" i="12"/>
  <c r="S126" i="12"/>
  <c r="Q126" i="12"/>
  <c r="O126" i="12"/>
  <c r="M126" i="12"/>
  <c r="K126" i="12"/>
  <c r="X125" i="12"/>
  <c r="W125" i="12"/>
  <c r="V125" i="12"/>
  <c r="U125" i="12"/>
  <c r="T125" i="12"/>
  <c r="S125" i="12"/>
  <c r="Q125" i="12"/>
  <c r="O125" i="12"/>
  <c r="M125" i="12"/>
  <c r="K125" i="12"/>
  <c r="X124" i="12"/>
  <c r="W124" i="12"/>
  <c r="V124" i="12"/>
  <c r="U124" i="12"/>
  <c r="T124" i="12"/>
  <c r="S124" i="12"/>
  <c r="Q124" i="12"/>
  <c r="O124" i="12"/>
  <c r="M124" i="12"/>
  <c r="K124" i="12"/>
  <c r="X123" i="12"/>
  <c r="W123" i="12"/>
  <c r="V123" i="12"/>
  <c r="U123" i="12"/>
  <c r="T123" i="12"/>
  <c r="S123" i="12"/>
  <c r="Q123" i="12"/>
  <c r="O123" i="12"/>
  <c r="M123" i="12"/>
  <c r="K123" i="12"/>
  <c r="X122" i="12"/>
  <c r="W122" i="12"/>
  <c r="V122" i="12"/>
  <c r="U122" i="12"/>
  <c r="T122" i="12"/>
  <c r="S122" i="12"/>
  <c r="Q122" i="12"/>
  <c r="O122" i="12"/>
  <c r="M122" i="12"/>
  <c r="K122" i="12"/>
  <c r="X121" i="12"/>
  <c r="W121" i="12"/>
  <c r="V121" i="12"/>
  <c r="U121" i="12"/>
  <c r="T121" i="12"/>
  <c r="S121" i="12"/>
  <c r="Q121" i="12"/>
  <c r="O121" i="12"/>
  <c r="M121" i="12"/>
  <c r="K121" i="12"/>
  <c r="X120" i="12"/>
  <c r="W120" i="12"/>
  <c r="V120" i="12"/>
  <c r="U120" i="12"/>
  <c r="T120" i="12"/>
  <c r="S120" i="12"/>
  <c r="Q120" i="12"/>
  <c r="O120" i="12"/>
  <c r="M120" i="12"/>
  <c r="K120" i="12"/>
  <c r="X119" i="12"/>
  <c r="W119" i="12"/>
  <c r="V119" i="12"/>
  <c r="U119" i="12"/>
  <c r="T119" i="12"/>
  <c r="S119" i="12"/>
  <c r="Q119" i="12"/>
  <c r="O119" i="12"/>
  <c r="M119" i="12"/>
  <c r="K119" i="12"/>
  <c r="X118" i="12"/>
  <c r="W118" i="12"/>
  <c r="V118" i="12"/>
  <c r="U118" i="12"/>
  <c r="T118" i="12"/>
  <c r="S118" i="12"/>
  <c r="Q118" i="12"/>
  <c r="O118" i="12"/>
  <c r="M118" i="12"/>
  <c r="K118" i="12"/>
  <c r="X117" i="12"/>
  <c r="W117" i="12"/>
  <c r="V117" i="12"/>
  <c r="U117" i="12"/>
  <c r="T117" i="12"/>
  <c r="S117" i="12"/>
  <c r="Q117" i="12"/>
  <c r="O117" i="12"/>
  <c r="M117" i="12"/>
  <c r="K117" i="12"/>
  <c r="X116" i="12"/>
  <c r="W116" i="12"/>
  <c r="V116" i="12"/>
  <c r="U116" i="12"/>
  <c r="T116" i="12"/>
  <c r="S116" i="12"/>
  <c r="Q116" i="12"/>
  <c r="O116" i="12"/>
  <c r="M116" i="12"/>
  <c r="K116" i="12"/>
  <c r="X115" i="12"/>
  <c r="W115" i="12"/>
  <c r="V115" i="12"/>
  <c r="U115" i="12"/>
  <c r="T115" i="12"/>
  <c r="S115" i="12"/>
  <c r="Q115" i="12"/>
  <c r="O115" i="12"/>
  <c r="M115" i="12"/>
  <c r="K115" i="12"/>
  <c r="X114" i="12"/>
  <c r="W114" i="12"/>
  <c r="V114" i="12"/>
  <c r="U114" i="12"/>
  <c r="T114" i="12"/>
  <c r="S114" i="12"/>
  <c r="Q114" i="12"/>
  <c r="O114" i="12"/>
  <c r="M114" i="12"/>
  <c r="K114" i="12"/>
  <c r="X113" i="12"/>
  <c r="W113" i="12"/>
  <c r="V113" i="12"/>
  <c r="U113" i="12"/>
  <c r="T113" i="12"/>
  <c r="S113" i="12"/>
  <c r="Q113" i="12"/>
  <c r="O113" i="12"/>
  <c r="M113" i="12"/>
  <c r="K113" i="12"/>
  <c r="X112" i="12"/>
  <c r="W112" i="12"/>
  <c r="V112" i="12"/>
  <c r="U112" i="12"/>
  <c r="T112" i="12"/>
  <c r="S112" i="12"/>
  <c r="Q112" i="12"/>
  <c r="O112" i="12"/>
  <c r="M112" i="12"/>
  <c r="K112" i="12"/>
  <c r="X111" i="12"/>
  <c r="W111" i="12"/>
  <c r="V111" i="12"/>
  <c r="U111" i="12"/>
  <c r="T111" i="12"/>
  <c r="S111" i="12"/>
  <c r="Q111" i="12"/>
  <c r="O111" i="12"/>
  <c r="M111" i="12"/>
  <c r="K111" i="12"/>
  <c r="X110" i="12"/>
  <c r="W110" i="12"/>
  <c r="V110" i="12"/>
  <c r="U110" i="12"/>
  <c r="T110" i="12"/>
  <c r="S110" i="12"/>
  <c r="Q110" i="12"/>
  <c r="O110" i="12"/>
  <c r="M110" i="12"/>
  <c r="K110" i="12"/>
  <c r="X109" i="12"/>
  <c r="W109" i="12"/>
  <c r="V109" i="12"/>
  <c r="U109" i="12"/>
  <c r="T109" i="12"/>
  <c r="S109" i="12"/>
  <c r="Q109" i="12"/>
  <c r="O109" i="12"/>
  <c r="M109" i="12"/>
  <c r="K109" i="12"/>
  <c r="X108" i="12"/>
  <c r="W108" i="12"/>
  <c r="V108" i="12"/>
  <c r="U108" i="12"/>
  <c r="T108" i="12"/>
  <c r="S108" i="12"/>
  <c r="Q108" i="12"/>
  <c r="O108" i="12"/>
  <c r="M108" i="12"/>
  <c r="K108" i="12"/>
  <c r="X107" i="12"/>
  <c r="W107" i="12"/>
  <c r="V107" i="12"/>
  <c r="U107" i="12"/>
  <c r="T107" i="12"/>
  <c r="S107" i="12"/>
  <c r="Q107" i="12"/>
  <c r="O107" i="12"/>
  <c r="M107" i="12"/>
  <c r="K107" i="12"/>
  <c r="X106" i="12"/>
  <c r="W106" i="12"/>
  <c r="V106" i="12"/>
  <c r="U106" i="12"/>
  <c r="T106" i="12"/>
  <c r="S106" i="12"/>
  <c r="Q106" i="12"/>
  <c r="O106" i="12"/>
  <c r="M106" i="12"/>
  <c r="K106" i="12"/>
  <c r="X105" i="12"/>
  <c r="W105" i="12"/>
  <c r="V105" i="12"/>
  <c r="U105" i="12"/>
  <c r="T105" i="12"/>
  <c r="S105" i="12"/>
  <c r="Q105" i="12"/>
  <c r="O105" i="12"/>
  <c r="M105" i="12"/>
  <c r="K105" i="12"/>
  <c r="X104" i="12"/>
  <c r="W104" i="12"/>
  <c r="V104" i="12"/>
  <c r="U104" i="12"/>
  <c r="T104" i="12"/>
  <c r="S104" i="12"/>
  <c r="Q104" i="12"/>
  <c r="O104" i="12"/>
  <c r="M104" i="12"/>
  <c r="K104" i="12"/>
  <c r="X103" i="12"/>
  <c r="W103" i="12"/>
  <c r="V103" i="12"/>
  <c r="U103" i="12"/>
  <c r="T103" i="12"/>
  <c r="S103" i="12"/>
  <c r="Q103" i="12"/>
  <c r="O103" i="12"/>
  <c r="M103" i="12"/>
  <c r="K103" i="12"/>
  <c r="X102" i="12"/>
  <c r="W102" i="12"/>
  <c r="V102" i="12"/>
  <c r="U102" i="12"/>
  <c r="T102" i="12"/>
  <c r="S102" i="12"/>
  <c r="Q102" i="12"/>
  <c r="O102" i="12"/>
  <c r="M102" i="12"/>
  <c r="K102" i="12"/>
  <c r="X101" i="12"/>
  <c r="W101" i="12"/>
  <c r="V101" i="12"/>
  <c r="U101" i="12"/>
  <c r="T101" i="12"/>
  <c r="S101" i="12"/>
  <c r="Q101" i="12"/>
  <c r="O101" i="12"/>
  <c r="M101" i="12"/>
  <c r="K101" i="12"/>
  <c r="X100" i="12"/>
  <c r="W100" i="12"/>
  <c r="V100" i="12"/>
  <c r="U100" i="12"/>
  <c r="T100" i="12"/>
  <c r="S100" i="12"/>
  <c r="Q100" i="12"/>
  <c r="O100" i="12"/>
  <c r="M100" i="12"/>
  <c r="K100" i="12"/>
  <c r="X99" i="12"/>
  <c r="W99" i="12"/>
  <c r="V99" i="12"/>
  <c r="U99" i="12"/>
  <c r="T99" i="12"/>
  <c r="S99" i="12"/>
  <c r="Q99" i="12"/>
  <c r="O99" i="12"/>
  <c r="M99" i="12"/>
  <c r="K99" i="12"/>
  <c r="X98" i="12"/>
  <c r="W98" i="12"/>
  <c r="V98" i="12"/>
  <c r="U98" i="12"/>
  <c r="T98" i="12"/>
  <c r="S98" i="12"/>
  <c r="Q98" i="12"/>
  <c r="O98" i="12"/>
  <c r="M98" i="12"/>
  <c r="K98" i="12"/>
  <c r="X97" i="12"/>
  <c r="W97" i="12"/>
  <c r="V97" i="12"/>
  <c r="U97" i="12"/>
  <c r="T97" i="12"/>
  <c r="S97" i="12"/>
  <c r="Q97" i="12"/>
  <c r="O97" i="12"/>
  <c r="M97" i="12"/>
  <c r="K97" i="12"/>
  <c r="X96" i="12"/>
  <c r="W96" i="12"/>
  <c r="V96" i="12"/>
  <c r="U96" i="12"/>
  <c r="T96" i="12"/>
  <c r="S96" i="12"/>
  <c r="Q96" i="12"/>
  <c r="O96" i="12"/>
  <c r="M96" i="12"/>
  <c r="K96" i="12"/>
  <c r="X95" i="12"/>
  <c r="W95" i="12"/>
  <c r="V95" i="12"/>
  <c r="U95" i="12"/>
  <c r="T95" i="12"/>
  <c r="S95" i="12"/>
  <c r="Q95" i="12"/>
  <c r="O95" i="12"/>
  <c r="M95" i="12"/>
  <c r="K95" i="12"/>
  <c r="X94" i="12"/>
  <c r="W94" i="12"/>
  <c r="V94" i="12"/>
  <c r="U94" i="12"/>
  <c r="T94" i="12"/>
  <c r="S94" i="12"/>
  <c r="Q94" i="12"/>
  <c r="O94" i="12"/>
  <c r="M94" i="12"/>
  <c r="K94" i="12"/>
  <c r="X93" i="12"/>
  <c r="W93" i="12"/>
  <c r="V93" i="12"/>
  <c r="U93" i="12"/>
  <c r="T93" i="12"/>
  <c r="S93" i="12"/>
  <c r="Q93" i="12"/>
  <c r="O93" i="12"/>
  <c r="M93" i="12"/>
  <c r="K93" i="12"/>
  <c r="X92" i="12"/>
  <c r="W92" i="12"/>
  <c r="V92" i="12"/>
  <c r="U92" i="12"/>
  <c r="T92" i="12"/>
  <c r="S92" i="12"/>
  <c r="Q92" i="12"/>
  <c r="O92" i="12"/>
  <c r="M92" i="12"/>
  <c r="K92" i="12"/>
  <c r="X91" i="12"/>
  <c r="W91" i="12"/>
  <c r="V91" i="12"/>
  <c r="U91" i="12"/>
  <c r="T91" i="12"/>
  <c r="S91" i="12"/>
  <c r="Q91" i="12"/>
  <c r="O91" i="12"/>
  <c r="M91" i="12"/>
  <c r="K91" i="12"/>
  <c r="X90" i="12"/>
  <c r="W90" i="12"/>
  <c r="V90" i="12"/>
  <c r="U90" i="12"/>
  <c r="T90" i="12"/>
  <c r="S90" i="12"/>
  <c r="Q90" i="12"/>
  <c r="O90" i="12"/>
  <c r="M90" i="12"/>
  <c r="K90" i="12"/>
  <c r="X89" i="12"/>
  <c r="W89" i="12"/>
  <c r="V89" i="12"/>
  <c r="U89" i="12"/>
  <c r="T89" i="12"/>
  <c r="S89" i="12"/>
  <c r="Q89" i="12"/>
  <c r="O89" i="12"/>
  <c r="M89" i="12"/>
  <c r="K89" i="12"/>
  <c r="X88" i="12"/>
  <c r="W88" i="12"/>
  <c r="V88" i="12"/>
  <c r="U88" i="12"/>
  <c r="T88" i="12"/>
  <c r="S88" i="12"/>
  <c r="Q88" i="12"/>
  <c r="O88" i="12"/>
  <c r="M88" i="12"/>
  <c r="K88" i="12"/>
  <c r="X87" i="12"/>
  <c r="W87" i="12"/>
  <c r="V87" i="12"/>
  <c r="U87" i="12"/>
  <c r="T87" i="12"/>
  <c r="S87" i="12"/>
  <c r="Q87" i="12"/>
  <c r="O87" i="12"/>
  <c r="M87" i="12"/>
  <c r="K87" i="12"/>
  <c r="X86" i="12"/>
  <c r="W86" i="12"/>
  <c r="V86" i="12"/>
  <c r="U86" i="12"/>
  <c r="T86" i="12"/>
  <c r="S86" i="12"/>
  <c r="Q86" i="12"/>
  <c r="O86" i="12"/>
  <c r="M86" i="12"/>
  <c r="K86" i="12"/>
  <c r="X85" i="12"/>
  <c r="W85" i="12"/>
  <c r="V85" i="12"/>
  <c r="U85" i="12"/>
  <c r="T85" i="12"/>
  <c r="S85" i="12"/>
  <c r="Q85" i="12"/>
  <c r="O85" i="12"/>
  <c r="M85" i="12"/>
  <c r="K85" i="12"/>
  <c r="X84" i="12"/>
  <c r="W84" i="12"/>
  <c r="V84" i="12"/>
  <c r="U84" i="12"/>
  <c r="T84" i="12"/>
  <c r="S84" i="12"/>
  <c r="Q84" i="12"/>
  <c r="O84" i="12"/>
  <c r="M84" i="12"/>
  <c r="K84" i="12"/>
  <c r="X83" i="12"/>
  <c r="W83" i="12"/>
  <c r="V83" i="12"/>
  <c r="U83" i="12"/>
  <c r="T83" i="12"/>
  <c r="S83" i="12"/>
  <c r="Q83" i="12"/>
  <c r="O83" i="12"/>
  <c r="M83" i="12"/>
  <c r="K83" i="12"/>
  <c r="X82" i="12"/>
  <c r="W82" i="12"/>
  <c r="V82" i="12"/>
  <c r="U82" i="12"/>
  <c r="T82" i="12"/>
  <c r="S82" i="12"/>
  <c r="Q82" i="12"/>
  <c r="O82" i="12"/>
  <c r="M82" i="12"/>
  <c r="K82" i="12"/>
  <c r="X81" i="12"/>
  <c r="W81" i="12"/>
  <c r="V81" i="12"/>
  <c r="U81" i="12"/>
  <c r="T81" i="12"/>
  <c r="S81" i="12"/>
  <c r="Q81" i="12"/>
  <c r="O81" i="12"/>
  <c r="M81" i="12"/>
  <c r="K81" i="12"/>
  <c r="X80" i="12"/>
  <c r="W80" i="12"/>
  <c r="V80" i="12"/>
  <c r="U80" i="12"/>
  <c r="T80" i="12"/>
  <c r="S80" i="12"/>
  <c r="Q80" i="12"/>
  <c r="O80" i="12"/>
  <c r="M80" i="12"/>
  <c r="K80" i="12"/>
  <c r="X79" i="12"/>
  <c r="W79" i="12"/>
  <c r="V79" i="12"/>
  <c r="U79" i="12"/>
  <c r="T79" i="12"/>
  <c r="S79" i="12"/>
  <c r="Q79" i="12"/>
  <c r="O79" i="12"/>
  <c r="M79" i="12"/>
  <c r="K79" i="12"/>
  <c r="X78" i="12"/>
  <c r="W78" i="12"/>
  <c r="V78" i="12"/>
  <c r="U78" i="12"/>
  <c r="T78" i="12"/>
  <c r="S78" i="12"/>
  <c r="Q78" i="12"/>
  <c r="O78" i="12"/>
  <c r="M78" i="12"/>
  <c r="K78" i="12"/>
  <c r="X77" i="12"/>
  <c r="W77" i="12"/>
  <c r="V77" i="12"/>
  <c r="U77" i="12"/>
  <c r="T77" i="12"/>
  <c r="S77" i="12"/>
  <c r="Q77" i="12"/>
  <c r="O77" i="12"/>
  <c r="M77" i="12"/>
  <c r="K77" i="12"/>
  <c r="X76" i="12"/>
  <c r="W76" i="12"/>
  <c r="V76" i="12"/>
  <c r="U76" i="12"/>
  <c r="T76" i="12"/>
  <c r="S76" i="12"/>
  <c r="Q76" i="12"/>
  <c r="O76" i="12"/>
  <c r="M76" i="12"/>
  <c r="K76" i="12"/>
  <c r="X75" i="12"/>
  <c r="W75" i="12"/>
  <c r="V75" i="12"/>
  <c r="U75" i="12"/>
  <c r="T75" i="12"/>
  <c r="S75" i="12"/>
  <c r="Q75" i="12"/>
  <c r="O75" i="12"/>
  <c r="M75" i="12"/>
  <c r="K75" i="12"/>
  <c r="X74" i="12"/>
  <c r="W74" i="12"/>
  <c r="V74" i="12"/>
  <c r="U74" i="12"/>
  <c r="T74" i="12"/>
  <c r="S74" i="12"/>
  <c r="Q74" i="12"/>
  <c r="O74" i="12"/>
  <c r="M74" i="12"/>
  <c r="K74" i="12"/>
  <c r="X73" i="12"/>
  <c r="W73" i="12"/>
  <c r="V73" i="12"/>
  <c r="U73" i="12"/>
  <c r="T73" i="12"/>
  <c r="S73" i="12"/>
  <c r="Q73" i="12"/>
  <c r="O73" i="12"/>
  <c r="M73" i="12"/>
  <c r="K73" i="12"/>
  <c r="X72" i="12"/>
  <c r="W72" i="12"/>
  <c r="V72" i="12"/>
  <c r="U72" i="12"/>
  <c r="T72" i="12"/>
  <c r="S72" i="12"/>
  <c r="Q72" i="12"/>
  <c r="O72" i="12"/>
  <c r="M72" i="12"/>
  <c r="K72" i="12"/>
  <c r="X71" i="12"/>
  <c r="W71" i="12"/>
  <c r="V71" i="12"/>
  <c r="U71" i="12"/>
  <c r="T71" i="12"/>
  <c r="S71" i="12"/>
  <c r="Q71" i="12"/>
  <c r="O71" i="12"/>
  <c r="M71" i="12"/>
  <c r="K71" i="12"/>
  <c r="X70" i="12"/>
  <c r="W70" i="12"/>
  <c r="V70" i="12"/>
  <c r="U70" i="12"/>
  <c r="T70" i="12"/>
  <c r="S70" i="12"/>
  <c r="Q70" i="12"/>
  <c r="O70" i="12"/>
  <c r="M70" i="12"/>
  <c r="K70" i="12"/>
  <c r="X69" i="12"/>
  <c r="W69" i="12"/>
  <c r="V69" i="12"/>
  <c r="U69" i="12"/>
  <c r="T69" i="12"/>
  <c r="S69" i="12"/>
  <c r="Q69" i="12"/>
  <c r="O69" i="12"/>
  <c r="M69" i="12"/>
  <c r="K69" i="12"/>
  <c r="X68" i="12"/>
  <c r="W68" i="12"/>
  <c r="V68" i="12"/>
  <c r="U68" i="12"/>
  <c r="T68" i="12"/>
  <c r="S68" i="12"/>
  <c r="Q68" i="12"/>
  <c r="O68" i="12"/>
  <c r="M68" i="12"/>
  <c r="K68" i="12"/>
  <c r="X67" i="12"/>
  <c r="W67" i="12"/>
  <c r="V67" i="12"/>
  <c r="U67" i="12"/>
  <c r="T67" i="12"/>
  <c r="S67" i="12"/>
  <c r="Q67" i="12"/>
  <c r="O67" i="12"/>
  <c r="M67" i="12"/>
  <c r="K67" i="12"/>
  <c r="X66" i="12"/>
  <c r="W66" i="12"/>
  <c r="V66" i="12"/>
  <c r="U66" i="12"/>
  <c r="T66" i="12"/>
  <c r="S66" i="12"/>
  <c r="Q66" i="12"/>
  <c r="O66" i="12"/>
  <c r="M66" i="12"/>
  <c r="K66" i="12"/>
  <c r="X65" i="12"/>
  <c r="W65" i="12"/>
  <c r="V65" i="12"/>
  <c r="U65" i="12"/>
  <c r="T65" i="12"/>
  <c r="S65" i="12"/>
  <c r="Q65" i="12"/>
  <c r="O65" i="12"/>
  <c r="M65" i="12"/>
  <c r="K65" i="12"/>
  <c r="X64" i="12"/>
  <c r="W64" i="12"/>
  <c r="V64" i="12"/>
  <c r="U64" i="12"/>
  <c r="T64" i="12"/>
  <c r="S64" i="12"/>
  <c r="Q64" i="12"/>
  <c r="O64" i="12"/>
  <c r="M64" i="12"/>
  <c r="K64" i="12"/>
  <c r="X63" i="12"/>
  <c r="W63" i="12"/>
  <c r="V63" i="12"/>
  <c r="U63" i="12"/>
  <c r="T63" i="12"/>
  <c r="S63" i="12"/>
  <c r="Q63" i="12"/>
  <c r="O63" i="12"/>
  <c r="M63" i="12"/>
  <c r="K63" i="12"/>
  <c r="X62" i="12"/>
  <c r="W62" i="12"/>
  <c r="V62" i="12"/>
  <c r="U62" i="12"/>
  <c r="T62" i="12"/>
  <c r="S62" i="12"/>
  <c r="Q62" i="12"/>
  <c r="O62" i="12"/>
  <c r="M62" i="12"/>
  <c r="K62" i="12"/>
  <c r="X61" i="12"/>
  <c r="W61" i="12"/>
  <c r="V61" i="12"/>
  <c r="U61" i="12"/>
  <c r="T61" i="12"/>
  <c r="S61" i="12"/>
  <c r="Q61" i="12"/>
  <c r="O61" i="12"/>
  <c r="M61" i="12"/>
  <c r="K61" i="12"/>
  <c r="X60" i="12"/>
  <c r="W60" i="12"/>
  <c r="V60" i="12"/>
  <c r="U60" i="12"/>
  <c r="T60" i="12"/>
  <c r="S60" i="12"/>
  <c r="Q60" i="12"/>
  <c r="O60" i="12"/>
  <c r="M60" i="12"/>
  <c r="K60" i="12"/>
  <c r="X59" i="12"/>
  <c r="W59" i="12"/>
  <c r="V59" i="12"/>
  <c r="U59" i="12"/>
  <c r="T59" i="12"/>
  <c r="S59" i="12"/>
  <c r="Q59" i="12"/>
  <c r="O59" i="12"/>
  <c r="M59" i="12"/>
  <c r="K59" i="12"/>
  <c r="X58" i="12"/>
  <c r="W58" i="12"/>
  <c r="V58" i="12"/>
  <c r="U58" i="12"/>
  <c r="T58" i="12"/>
  <c r="S58" i="12"/>
  <c r="Q58" i="12"/>
  <c r="O58" i="12"/>
  <c r="M58" i="12"/>
  <c r="K58" i="12"/>
  <c r="X57" i="12"/>
  <c r="W57" i="12"/>
  <c r="V57" i="12"/>
  <c r="U57" i="12"/>
  <c r="T57" i="12"/>
  <c r="S57" i="12"/>
  <c r="Q57" i="12"/>
  <c r="O57" i="12"/>
  <c r="M57" i="12"/>
  <c r="K57" i="12"/>
  <c r="X56" i="12"/>
  <c r="W56" i="12"/>
  <c r="V56" i="12"/>
  <c r="U56" i="12"/>
  <c r="T56" i="12"/>
  <c r="S56" i="12"/>
  <c r="Q56" i="12"/>
  <c r="O56" i="12"/>
  <c r="M56" i="12"/>
  <c r="K56" i="12"/>
  <c r="X55" i="12"/>
  <c r="W55" i="12"/>
  <c r="V55" i="12"/>
  <c r="U55" i="12"/>
  <c r="T55" i="12"/>
  <c r="S55" i="12"/>
  <c r="Q55" i="12"/>
  <c r="O55" i="12"/>
  <c r="M55" i="12"/>
  <c r="K55" i="12"/>
  <c r="X54" i="12"/>
  <c r="W54" i="12"/>
  <c r="V54" i="12"/>
  <c r="U54" i="12"/>
  <c r="T54" i="12"/>
  <c r="S54" i="12"/>
  <c r="Q54" i="12"/>
  <c r="O54" i="12"/>
  <c r="M54" i="12"/>
  <c r="K54" i="12"/>
  <c r="X53" i="12"/>
  <c r="W53" i="12"/>
  <c r="V53" i="12"/>
  <c r="U53" i="12"/>
  <c r="T53" i="12"/>
  <c r="S53" i="12"/>
  <c r="Q53" i="12"/>
  <c r="O53" i="12"/>
  <c r="M53" i="12"/>
  <c r="K53" i="12"/>
  <c r="X52" i="12"/>
  <c r="W52" i="12"/>
  <c r="V52" i="12"/>
  <c r="U52" i="12"/>
  <c r="T52" i="12"/>
  <c r="S52" i="12"/>
  <c r="Q52" i="12"/>
  <c r="O52" i="12"/>
  <c r="M52" i="12"/>
  <c r="K52" i="12"/>
  <c r="X51" i="12"/>
  <c r="W51" i="12"/>
  <c r="V51" i="12"/>
  <c r="U51" i="12"/>
  <c r="T51" i="12"/>
  <c r="S51" i="12"/>
  <c r="Q51" i="12"/>
  <c r="O51" i="12"/>
  <c r="M51" i="12"/>
  <c r="K51" i="12"/>
  <c r="X50" i="12"/>
  <c r="W50" i="12"/>
  <c r="V50" i="12"/>
  <c r="U50" i="12"/>
  <c r="T50" i="12"/>
  <c r="S50" i="12"/>
  <c r="Q50" i="12"/>
  <c r="O50" i="12"/>
  <c r="M50" i="12"/>
  <c r="K50" i="12"/>
  <c r="X49" i="12"/>
  <c r="W49" i="12"/>
  <c r="V49" i="12"/>
  <c r="U49" i="12"/>
  <c r="T49" i="12"/>
  <c r="S49" i="12"/>
  <c r="Q49" i="12"/>
  <c r="O49" i="12"/>
  <c r="M49" i="12"/>
  <c r="K49" i="12"/>
  <c r="X48" i="12"/>
  <c r="W48" i="12"/>
  <c r="V48" i="12"/>
  <c r="U48" i="12"/>
  <c r="T48" i="12"/>
  <c r="S48" i="12"/>
  <c r="Q48" i="12"/>
  <c r="O48" i="12"/>
  <c r="M48" i="12"/>
  <c r="K48" i="12"/>
  <c r="X47" i="12"/>
  <c r="W47" i="12"/>
  <c r="V47" i="12"/>
  <c r="U47" i="12"/>
  <c r="T47" i="12"/>
  <c r="S47" i="12"/>
  <c r="Q47" i="12"/>
  <c r="O47" i="12"/>
  <c r="M47" i="12"/>
  <c r="K47" i="12"/>
  <c r="X46" i="12"/>
  <c r="W46" i="12"/>
  <c r="V46" i="12"/>
  <c r="U46" i="12"/>
  <c r="T46" i="12"/>
  <c r="S46" i="12"/>
  <c r="Q46" i="12"/>
  <c r="O46" i="12"/>
  <c r="M46" i="12"/>
  <c r="K46" i="12"/>
  <c r="X45" i="12"/>
  <c r="W45" i="12"/>
  <c r="V45" i="12"/>
  <c r="U45" i="12"/>
  <c r="T45" i="12"/>
  <c r="S45" i="12"/>
  <c r="Q45" i="12"/>
  <c r="O45" i="12"/>
  <c r="M45" i="12"/>
  <c r="K45" i="12"/>
  <c r="X44" i="12"/>
  <c r="W44" i="12"/>
  <c r="V44" i="12"/>
  <c r="U44" i="12"/>
  <c r="T44" i="12"/>
  <c r="S44" i="12"/>
  <c r="Q44" i="12"/>
  <c r="O44" i="12"/>
  <c r="M44" i="12"/>
  <c r="K44" i="12"/>
  <c r="X43" i="12"/>
  <c r="W43" i="12"/>
  <c r="V43" i="12"/>
  <c r="U43" i="12"/>
  <c r="T43" i="12"/>
  <c r="S43" i="12"/>
  <c r="Q43" i="12"/>
  <c r="O43" i="12"/>
  <c r="M43" i="12"/>
  <c r="K43" i="12"/>
  <c r="X42" i="12"/>
  <c r="W42" i="12"/>
  <c r="V42" i="12"/>
  <c r="U42" i="12"/>
  <c r="T42" i="12"/>
  <c r="S42" i="12"/>
  <c r="Q42" i="12"/>
  <c r="O42" i="12"/>
  <c r="M42" i="12"/>
  <c r="K42" i="12"/>
  <c r="X41" i="12"/>
  <c r="W41" i="12"/>
  <c r="V41" i="12"/>
  <c r="U41" i="12"/>
  <c r="T41" i="12"/>
  <c r="S41" i="12"/>
  <c r="Q41" i="12"/>
  <c r="O41" i="12"/>
  <c r="M41" i="12"/>
  <c r="K41" i="12"/>
  <c r="X40" i="12"/>
  <c r="W40" i="12"/>
  <c r="V40" i="12"/>
  <c r="U40" i="12"/>
  <c r="T40" i="12"/>
  <c r="S40" i="12"/>
  <c r="Q40" i="12"/>
  <c r="O40" i="12"/>
  <c r="M40" i="12"/>
  <c r="K40" i="12"/>
  <c r="X39" i="12"/>
  <c r="W39" i="12"/>
  <c r="V39" i="12"/>
  <c r="U39" i="12"/>
  <c r="T39" i="12"/>
  <c r="S39" i="12"/>
  <c r="Q39" i="12"/>
  <c r="O39" i="12"/>
  <c r="M39" i="12"/>
  <c r="K39" i="12"/>
  <c r="X38" i="12"/>
  <c r="W38" i="12"/>
  <c r="V38" i="12"/>
  <c r="U38" i="12"/>
  <c r="T38" i="12"/>
  <c r="S38" i="12"/>
  <c r="Q38" i="12"/>
  <c r="O38" i="12"/>
  <c r="M38" i="12"/>
  <c r="K38" i="12"/>
  <c r="X37" i="12"/>
  <c r="W37" i="12"/>
  <c r="V37" i="12"/>
  <c r="U37" i="12"/>
  <c r="T37" i="12"/>
  <c r="S37" i="12"/>
  <c r="Q37" i="12"/>
  <c r="O37" i="12"/>
  <c r="M37" i="12"/>
  <c r="K37" i="12"/>
  <c r="X36" i="12"/>
  <c r="W36" i="12"/>
  <c r="V36" i="12"/>
  <c r="U36" i="12"/>
  <c r="T36" i="12"/>
  <c r="S36" i="12"/>
  <c r="Q36" i="12"/>
  <c r="O36" i="12"/>
  <c r="M36" i="12"/>
  <c r="K36" i="12"/>
  <c r="X35" i="12"/>
  <c r="W35" i="12"/>
  <c r="V35" i="12"/>
  <c r="U35" i="12"/>
  <c r="T35" i="12"/>
  <c r="S35" i="12"/>
  <c r="Q35" i="12"/>
  <c r="O35" i="12"/>
  <c r="M35" i="12"/>
  <c r="K35" i="12"/>
  <c r="X34" i="12"/>
  <c r="W34" i="12"/>
  <c r="V34" i="12"/>
  <c r="U34" i="12"/>
  <c r="T34" i="12"/>
  <c r="S34" i="12"/>
  <c r="Q34" i="12"/>
  <c r="O34" i="12"/>
  <c r="M34" i="12"/>
  <c r="K34" i="12"/>
  <c r="X33" i="12"/>
  <c r="W33" i="12"/>
  <c r="V33" i="12"/>
  <c r="U33" i="12"/>
  <c r="T33" i="12"/>
  <c r="S33" i="12"/>
  <c r="Q33" i="12"/>
  <c r="O33" i="12"/>
  <c r="M33" i="12"/>
  <c r="K33" i="12"/>
  <c r="X32" i="12"/>
  <c r="W32" i="12"/>
  <c r="V32" i="12"/>
  <c r="U32" i="12"/>
  <c r="T32" i="12"/>
  <c r="S32" i="12"/>
  <c r="Q32" i="12"/>
  <c r="O32" i="12"/>
  <c r="M32" i="12"/>
  <c r="K32" i="12"/>
  <c r="X31" i="12"/>
  <c r="W31" i="12"/>
  <c r="V31" i="12"/>
  <c r="U31" i="12"/>
  <c r="T31" i="12"/>
  <c r="S31" i="12"/>
  <c r="Q31" i="12"/>
  <c r="O31" i="12"/>
  <c r="M31" i="12"/>
  <c r="K31" i="12"/>
  <c r="X30" i="12"/>
  <c r="W30" i="12"/>
  <c r="V30" i="12"/>
  <c r="U30" i="12"/>
  <c r="T30" i="12"/>
  <c r="S30" i="12"/>
  <c r="Q30" i="12"/>
  <c r="O30" i="12"/>
  <c r="M30" i="12"/>
  <c r="K30" i="12"/>
  <c r="X29" i="12"/>
  <c r="W29" i="12"/>
  <c r="V29" i="12"/>
  <c r="U29" i="12"/>
  <c r="T29" i="12"/>
  <c r="S29" i="12"/>
  <c r="Q29" i="12"/>
  <c r="O29" i="12"/>
  <c r="M29" i="12"/>
  <c r="K29" i="12"/>
  <c r="X28" i="12"/>
  <c r="W28" i="12"/>
  <c r="V28" i="12"/>
  <c r="U28" i="12"/>
  <c r="T28" i="12"/>
  <c r="S28" i="12"/>
  <c r="Q28" i="12"/>
  <c r="O28" i="12"/>
  <c r="M28" i="12"/>
  <c r="K28" i="12"/>
  <c r="X27" i="12"/>
  <c r="W27" i="12"/>
  <c r="V27" i="12"/>
  <c r="U27" i="12"/>
  <c r="T27" i="12"/>
  <c r="S27" i="12"/>
  <c r="Q27" i="12"/>
  <c r="O27" i="12"/>
  <c r="M27" i="12"/>
  <c r="K27" i="12"/>
  <c r="X26" i="12"/>
  <c r="W26" i="12"/>
  <c r="V26" i="12"/>
  <c r="U26" i="12"/>
  <c r="T26" i="12"/>
  <c r="S26" i="12"/>
  <c r="Q26" i="12"/>
  <c r="O26" i="12"/>
  <c r="M26" i="12"/>
  <c r="K26" i="12"/>
  <c r="X25" i="12"/>
  <c r="W25" i="12"/>
  <c r="V25" i="12"/>
  <c r="U25" i="12"/>
  <c r="T25" i="12"/>
  <c r="S25" i="12"/>
  <c r="Q25" i="12"/>
  <c r="O25" i="12"/>
  <c r="M25" i="12"/>
  <c r="K25" i="12"/>
  <c r="X24" i="12"/>
  <c r="W24" i="12"/>
  <c r="V24" i="12"/>
  <c r="U24" i="12"/>
  <c r="T24" i="12"/>
  <c r="S24" i="12"/>
  <c r="Q24" i="12"/>
  <c r="O24" i="12"/>
  <c r="M24" i="12"/>
  <c r="K24" i="12"/>
  <c r="X23" i="12"/>
  <c r="W23" i="12"/>
  <c r="V23" i="12"/>
  <c r="U23" i="12"/>
  <c r="T23" i="12"/>
  <c r="S23" i="12"/>
  <c r="Q23" i="12"/>
  <c r="O23" i="12"/>
  <c r="M23" i="12"/>
  <c r="K23" i="12"/>
  <c r="X22" i="12"/>
  <c r="W22" i="12"/>
  <c r="V22" i="12"/>
  <c r="U22" i="12"/>
  <c r="T22" i="12"/>
  <c r="S22" i="12"/>
  <c r="Q22" i="12"/>
  <c r="O22" i="12"/>
  <c r="M22" i="12"/>
  <c r="K22" i="12"/>
  <c r="X21" i="12"/>
  <c r="W21" i="12"/>
  <c r="V21" i="12"/>
  <c r="U21" i="12"/>
  <c r="T21" i="12"/>
  <c r="S21" i="12"/>
  <c r="Q21" i="12"/>
  <c r="O21" i="12"/>
  <c r="M21" i="12"/>
  <c r="K21" i="12"/>
  <c r="X20" i="12"/>
  <c r="W20" i="12"/>
  <c r="V20" i="12"/>
  <c r="U20" i="12"/>
  <c r="T20" i="12"/>
  <c r="S20" i="12"/>
  <c r="Q20" i="12"/>
  <c r="O20" i="12"/>
  <c r="M20" i="12"/>
  <c r="K20" i="12"/>
  <c r="X19" i="12"/>
  <c r="W19" i="12"/>
  <c r="V19" i="12"/>
  <c r="U19" i="12"/>
  <c r="T19" i="12"/>
  <c r="S19" i="12"/>
  <c r="Q19" i="12"/>
  <c r="O19" i="12"/>
  <c r="M19" i="12"/>
  <c r="K19" i="12"/>
  <c r="X18" i="12"/>
  <c r="W18" i="12"/>
  <c r="V18" i="12"/>
  <c r="U18" i="12"/>
  <c r="T18" i="12"/>
  <c r="S18" i="12"/>
  <c r="Q18" i="12"/>
  <c r="O18" i="12"/>
  <c r="M18" i="12"/>
  <c r="K18" i="12"/>
  <c r="X17" i="12"/>
  <c r="W17" i="12"/>
  <c r="V17" i="12"/>
  <c r="U17" i="12"/>
  <c r="T17" i="12"/>
  <c r="S17" i="12"/>
  <c r="Q17" i="12"/>
  <c r="O17" i="12"/>
  <c r="M17" i="12"/>
  <c r="K17" i="12"/>
  <c r="X16" i="12"/>
  <c r="W16" i="12"/>
  <c r="V16" i="12"/>
  <c r="U16" i="12"/>
  <c r="T16" i="12"/>
  <c r="S16" i="12"/>
  <c r="Q16" i="12"/>
  <c r="O16" i="12"/>
  <c r="M16" i="12"/>
  <c r="K16" i="12"/>
  <c r="X15" i="12"/>
  <c r="W15" i="12"/>
  <c r="V15" i="12"/>
  <c r="U15" i="12"/>
  <c r="T15" i="12"/>
  <c r="S15" i="12"/>
  <c r="Q15" i="12"/>
  <c r="O15" i="12"/>
  <c r="M15" i="12"/>
  <c r="K15" i="12"/>
  <c r="X14" i="12"/>
  <c r="W14" i="12"/>
  <c r="V14" i="12"/>
  <c r="U14" i="12"/>
  <c r="T14" i="12"/>
  <c r="S14" i="12"/>
  <c r="Q14" i="12"/>
  <c r="O14" i="12"/>
  <c r="M14" i="12"/>
  <c r="K14" i="12"/>
  <c r="X13" i="12"/>
  <c r="W13" i="12"/>
  <c r="V13" i="12"/>
  <c r="U13" i="12"/>
  <c r="T13" i="12"/>
  <c r="S13" i="12"/>
  <c r="Q13" i="12"/>
  <c r="O13" i="12"/>
  <c r="M13" i="12"/>
  <c r="K13" i="12"/>
  <c r="X12" i="12"/>
  <c r="W12" i="12"/>
  <c r="V12" i="12"/>
  <c r="U12" i="12"/>
  <c r="T12" i="12"/>
  <c r="S12" i="12"/>
  <c r="Q12" i="12"/>
  <c r="O12" i="12"/>
  <c r="M12" i="12"/>
  <c r="K12" i="12"/>
  <c r="X11" i="12"/>
  <c r="W11" i="12"/>
  <c r="V11" i="12"/>
  <c r="U11" i="12"/>
  <c r="T11" i="12"/>
  <c r="S11" i="12"/>
  <c r="Q11" i="12"/>
  <c r="O11" i="12"/>
  <c r="M11" i="12"/>
  <c r="K11" i="12"/>
  <c r="X10" i="12"/>
  <c r="W10" i="12"/>
  <c r="V10" i="12"/>
  <c r="U10" i="12"/>
  <c r="T10" i="12"/>
  <c r="S10" i="12"/>
  <c r="Q10" i="12"/>
  <c r="O10" i="12"/>
  <c r="M10" i="12"/>
  <c r="K10" i="12"/>
  <c r="X9" i="12"/>
  <c r="W9" i="12"/>
  <c r="V9" i="12"/>
  <c r="U9" i="12"/>
  <c r="T9" i="12"/>
  <c r="S9" i="12"/>
  <c r="Q9" i="12"/>
  <c r="O9" i="12"/>
  <c r="M9" i="12"/>
  <c r="K9" i="12"/>
  <c r="X8" i="12"/>
  <c r="W8" i="12"/>
  <c r="V8" i="12"/>
  <c r="U8" i="12"/>
  <c r="T8" i="12"/>
  <c r="S8" i="12"/>
  <c r="Q8" i="12"/>
  <c r="O8" i="12"/>
  <c r="M8" i="12"/>
  <c r="K8" i="12"/>
  <c r="X7" i="12"/>
  <c r="W7" i="12"/>
  <c r="V7" i="12"/>
  <c r="U7" i="12"/>
  <c r="T7" i="12"/>
  <c r="S7" i="12"/>
  <c r="Q7" i="12"/>
  <c r="O7" i="12"/>
  <c r="M7" i="12"/>
  <c r="K7" i="12"/>
  <c r="X252" i="11" l="1"/>
  <c r="W252" i="11"/>
  <c r="V252" i="11"/>
  <c r="U252" i="11"/>
  <c r="T252" i="11"/>
  <c r="S252" i="11"/>
  <c r="Q252" i="11"/>
  <c r="O252" i="11"/>
  <c r="M252" i="11"/>
  <c r="K252" i="11"/>
  <c r="X251" i="11"/>
  <c r="W251" i="11"/>
  <c r="V251" i="11"/>
  <c r="U251" i="11"/>
  <c r="T251" i="11"/>
  <c r="S251" i="11"/>
  <c r="Q251" i="11"/>
  <c r="O251" i="11"/>
  <c r="M251" i="11"/>
  <c r="K251" i="11"/>
  <c r="X250" i="11"/>
  <c r="W250" i="11"/>
  <c r="V250" i="11"/>
  <c r="U250" i="11"/>
  <c r="T250" i="11"/>
  <c r="S250" i="11"/>
  <c r="Q250" i="11"/>
  <c r="O250" i="11"/>
  <c r="M250" i="11"/>
  <c r="K250" i="11"/>
  <c r="X249" i="11"/>
  <c r="W249" i="11"/>
  <c r="V249" i="11"/>
  <c r="U249" i="11"/>
  <c r="T249" i="11"/>
  <c r="S249" i="11"/>
  <c r="Q249" i="11"/>
  <c r="O249" i="11"/>
  <c r="M249" i="11"/>
  <c r="K249" i="11"/>
  <c r="X248" i="11"/>
  <c r="W248" i="11"/>
  <c r="V248" i="11"/>
  <c r="U248" i="11"/>
  <c r="T248" i="11"/>
  <c r="S248" i="11"/>
  <c r="Q248" i="11"/>
  <c r="O248" i="11"/>
  <c r="M248" i="11"/>
  <c r="K248" i="11"/>
  <c r="X247" i="11"/>
  <c r="W247" i="11"/>
  <c r="V247" i="11"/>
  <c r="U247" i="11"/>
  <c r="T247" i="11"/>
  <c r="S247" i="11"/>
  <c r="Q247" i="11"/>
  <c r="O247" i="11"/>
  <c r="M247" i="11"/>
  <c r="K247" i="11"/>
  <c r="X246" i="11"/>
  <c r="W246" i="11"/>
  <c r="V246" i="11"/>
  <c r="U246" i="11"/>
  <c r="T246" i="11"/>
  <c r="S246" i="11"/>
  <c r="Q246" i="11"/>
  <c r="O246" i="11"/>
  <c r="M246" i="11"/>
  <c r="K246" i="11"/>
  <c r="X245" i="11"/>
  <c r="W245" i="11"/>
  <c r="V245" i="11"/>
  <c r="U245" i="11"/>
  <c r="T245" i="11"/>
  <c r="S245" i="11"/>
  <c r="Q245" i="11"/>
  <c r="O245" i="11"/>
  <c r="M245" i="11"/>
  <c r="K245" i="11"/>
  <c r="X244" i="11"/>
  <c r="W244" i="11"/>
  <c r="V244" i="11"/>
  <c r="U244" i="11"/>
  <c r="T244" i="11"/>
  <c r="S244" i="11"/>
  <c r="Q244" i="11"/>
  <c r="O244" i="11"/>
  <c r="M244" i="11"/>
  <c r="K244" i="11"/>
  <c r="X243" i="11"/>
  <c r="W243" i="11"/>
  <c r="V243" i="11"/>
  <c r="U243" i="11"/>
  <c r="T243" i="11"/>
  <c r="S243" i="11"/>
  <c r="Q243" i="11"/>
  <c r="O243" i="11"/>
  <c r="M243" i="11"/>
  <c r="K243" i="11"/>
  <c r="X242" i="11"/>
  <c r="W242" i="11"/>
  <c r="V242" i="11"/>
  <c r="U242" i="11"/>
  <c r="T242" i="11"/>
  <c r="S242" i="11"/>
  <c r="Q242" i="11"/>
  <c r="O242" i="11"/>
  <c r="M242" i="11"/>
  <c r="K242" i="11"/>
  <c r="X241" i="11"/>
  <c r="W241" i="11"/>
  <c r="V241" i="11"/>
  <c r="U241" i="11"/>
  <c r="T241" i="11"/>
  <c r="S241" i="11"/>
  <c r="Q241" i="11"/>
  <c r="O241" i="11"/>
  <c r="M241" i="11"/>
  <c r="K241" i="11"/>
  <c r="X240" i="11"/>
  <c r="W240" i="11"/>
  <c r="V240" i="11"/>
  <c r="U240" i="11"/>
  <c r="T240" i="11"/>
  <c r="S240" i="11"/>
  <c r="Q240" i="11"/>
  <c r="O240" i="11"/>
  <c r="M240" i="11"/>
  <c r="K240" i="11"/>
  <c r="X239" i="11"/>
  <c r="W239" i="11"/>
  <c r="V239" i="11"/>
  <c r="U239" i="11"/>
  <c r="T239" i="11"/>
  <c r="S239" i="11"/>
  <c r="Q239" i="11"/>
  <c r="O239" i="11"/>
  <c r="M239" i="11"/>
  <c r="K239" i="11"/>
  <c r="X238" i="11"/>
  <c r="W238" i="11"/>
  <c r="V238" i="11"/>
  <c r="U238" i="11"/>
  <c r="T238" i="11"/>
  <c r="S238" i="11"/>
  <c r="Q238" i="11"/>
  <c r="O238" i="11"/>
  <c r="M238" i="11"/>
  <c r="K238" i="11"/>
  <c r="X237" i="11"/>
  <c r="W237" i="11"/>
  <c r="V237" i="11"/>
  <c r="U237" i="11"/>
  <c r="T237" i="11"/>
  <c r="S237" i="11"/>
  <c r="Q237" i="11"/>
  <c r="O237" i="11"/>
  <c r="M237" i="11"/>
  <c r="K237" i="11"/>
  <c r="X236" i="11"/>
  <c r="W236" i="11"/>
  <c r="V236" i="11"/>
  <c r="U236" i="11"/>
  <c r="T236" i="11"/>
  <c r="S236" i="11"/>
  <c r="Q236" i="11"/>
  <c r="O236" i="11"/>
  <c r="M236" i="11"/>
  <c r="K236" i="11"/>
  <c r="X235" i="11"/>
  <c r="W235" i="11"/>
  <c r="V235" i="11"/>
  <c r="U235" i="11"/>
  <c r="T235" i="11"/>
  <c r="S235" i="11"/>
  <c r="Q235" i="11"/>
  <c r="O235" i="11"/>
  <c r="M235" i="11"/>
  <c r="K235" i="11"/>
  <c r="X234" i="11"/>
  <c r="W234" i="11"/>
  <c r="V234" i="11"/>
  <c r="U234" i="11"/>
  <c r="T234" i="11"/>
  <c r="S234" i="11"/>
  <c r="Q234" i="11"/>
  <c r="O234" i="11"/>
  <c r="M234" i="11"/>
  <c r="K234" i="11"/>
  <c r="X233" i="11"/>
  <c r="W233" i="11"/>
  <c r="V233" i="11"/>
  <c r="U233" i="11"/>
  <c r="T233" i="11"/>
  <c r="S233" i="11"/>
  <c r="Q233" i="11"/>
  <c r="O233" i="11"/>
  <c r="M233" i="11"/>
  <c r="K233" i="11"/>
  <c r="X232" i="11"/>
  <c r="W232" i="11"/>
  <c r="V232" i="11"/>
  <c r="U232" i="11"/>
  <c r="T232" i="11"/>
  <c r="S232" i="11"/>
  <c r="Q232" i="11"/>
  <c r="O232" i="11"/>
  <c r="M232" i="11"/>
  <c r="K232" i="11"/>
  <c r="X231" i="11"/>
  <c r="W231" i="11"/>
  <c r="V231" i="11"/>
  <c r="U231" i="11"/>
  <c r="T231" i="11"/>
  <c r="S231" i="11"/>
  <c r="Q231" i="11"/>
  <c r="O231" i="11"/>
  <c r="M231" i="11"/>
  <c r="K231" i="11"/>
  <c r="X230" i="11"/>
  <c r="W230" i="11"/>
  <c r="V230" i="11"/>
  <c r="U230" i="11"/>
  <c r="T230" i="11"/>
  <c r="S230" i="11"/>
  <c r="Q230" i="11"/>
  <c r="O230" i="11"/>
  <c r="M230" i="11"/>
  <c r="K230" i="11"/>
  <c r="X229" i="11"/>
  <c r="W229" i="11"/>
  <c r="V229" i="11"/>
  <c r="U229" i="11"/>
  <c r="T229" i="11"/>
  <c r="S229" i="11"/>
  <c r="Q229" i="11"/>
  <c r="O229" i="11"/>
  <c r="M229" i="11"/>
  <c r="K229" i="11"/>
  <c r="X228" i="11"/>
  <c r="W228" i="11"/>
  <c r="V228" i="11"/>
  <c r="U228" i="11"/>
  <c r="T228" i="11"/>
  <c r="S228" i="11"/>
  <c r="Q228" i="11"/>
  <c r="O228" i="11"/>
  <c r="M228" i="11"/>
  <c r="K228" i="11"/>
  <c r="X227" i="11"/>
  <c r="W227" i="11"/>
  <c r="V227" i="11"/>
  <c r="U227" i="11"/>
  <c r="T227" i="11"/>
  <c r="S227" i="11"/>
  <c r="Q227" i="11"/>
  <c r="O227" i="11"/>
  <c r="M227" i="11"/>
  <c r="K227" i="11"/>
  <c r="X226" i="11"/>
  <c r="W226" i="11"/>
  <c r="V226" i="11"/>
  <c r="U226" i="11"/>
  <c r="T226" i="11"/>
  <c r="S226" i="11"/>
  <c r="Q226" i="11"/>
  <c r="O226" i="11"/>
  <c r="M226" i="11"/>
  <c r="K226" i="11"/>
  <c r="X225" i="11"/>
  <c r="W225" i="11"/>
  <c r="V225" i="11"/>
  <c r="U225" i="11"/>
  <c r="T225" i="11"/>
  <c r="S225" i="11"/>
  <c r="Q225" i="11"/>
  <c r="O225" i="11"/>
  <c r="M225" i="11"/>
  <c r="K225" i="11"/>
  <c r="X224" i="11"/>
  <c r="W224" i="11"/>
  <c r="V224" i="11"/>
  <c r="U224" i="11"/>
  <c r="T224" i="11"/>
  <c r="S224" i="11"/>
  <c r="Q224" i="11"/>
  <c r="O224" i="11"/>
  <c r="M224" i="11"/>
  <c r="K224" i="11"/>
  <c r="X223" i="11"/>
  <c r="W223" i="11"/>
  <c r="V223" i="11"/>
  <c r="U223" i="11"/>
  <c r="T223" i="11"/>
  <c r="S223" i="11"/>
  <c r="Q223" i="11"/>
  <c r="O223" i="11"/>
  <c r="M223" i="11"/>
  <c r="K223" i="11"/>
  <c r="X222" i="11"/>
  <c r="W222" i="11"/>
  <c r="V222" i="11"/>
  <c r="U222" i="11"/>
  <c r="T222" i="11"/>
  <c r="S222" i="11"/>
  <c r="Q222" i="11"/>
  <c r="O222" i="11"/>
  <c r="M222" i="11"/>
  <c r="K222" i="11"/>
  <c r="X221" i="11"/>
  <c r="W221" i="11"/>
  <c r="V221" i="11"/>
  <c r="U221" i="11"/>
  <c r="T221" i="11"/>
  <c r="S221" i="11"/>
  <c r="Q221" i="11"/>
  <c r="O221" i="11"/>
  <c r="M221" i="11"/>
  <c r="K221" i="11"/>
  <c r="X220" i="11"/>
  <c r="W220" i="11"/>
  <c r="V220" i="11"/>
  <c r="U220" i="11"/>
  <c r="T220" i="11"/>
  <c r="S220" i="11"/>
  <c r="Q220" i="11"/>
  <c r="O220" i="11"/>
  <c r="M220" i="11"/>
  <c r="K220" i="11"/>
  <c r="X219" i="11"/>
  <c r="W219" i="11"/>
  <c r="V219" i="11"/>
  <c r="U219" i="11"/>
  <c r="T219" i="11"/>
  <c r="S219" i="11"/>
  <c r="Q219" i="11"/>
  <c r="O219" i="11"/>
  <c r="M219" i="11"/>
  <c r="K219" i="11"/>
  <c r="X218" i="11"/>
  <c r="W218" i="11"/>
  <c r="V218" i="11"/>
  <c r="U218" i="11"/>
  <c r="T218" i="11"/>
  <c r="S218" i="11"/>
  <c r="Q218" i="11"/>
  <c r="O218" i="11"/>
  <c r="M218" i="11"/>
  <c r="K218" i="11"/>
  <c r="X217" i="11"/>
  <c r="W217" i="11"/>
  <c r="V217" i="11"/>
  <c r="U217" i="11"/>
  <c r="T217" i="11"/>
  <c r="S217" i="11"/>
  <c r="Q217" i="11"/>
  <c r="O217" i="11"/>
  <c r="M217" i="11"/>
  <c r="K217" i="11"/>
  <c r="X216" i="11"/>
  <c r="W216" i="11"/>
  <c r="V216" i="11"/>
  <c r="U216" i="11"/>
  <c r="T216" i="11"/>
  <c r="S216" i="11"/>
  <c r="Q216" i="11"/>
  <c r="O216" i="11"/>
  <c r="M216" i="11"/>
  <c r="K216" i="11"/>
  <c r="X215" i="11"/>
  <c r="W215" i="11"/>
  <c r="V215" i="11"/>
  <c r="U215" i="11"/>
  <c r="T215" i="11"/>
  <c r="S215" i="11"/>
  <c r="Q215" i="11"/>
  <c r="O215" i="11"/>
  <c r="M215" i="11"/>
  <c r="K215" i="11"/>
  <c r="X214" i="11"/>
  <c r="W214" i="11"/>
  <c r="V214" i="11"/>
  <c r="U214" i="11"/>
  <c r="T214" i="11"/>
  <c r="S214" i="11"/>
  <c r="Q214" i="11"/>
  <c r="O214" i="11"/>
  <c r="M214" i="11"/>
  <c r="K214" i="11"/>
  <c r="X213" i="11"/>
  <c r="W213" i="11"/>
  <c r="V213" i="11"/>
  <c r="U213" i="11"/>
  <c r="T213" i="11"/>
  <c r="S213" i="11"/>
  <c r="Q213" i="11"/>
  <c r="O213" i="11"/>
  <c r="M213" i="11"/>
  <c r="K213" i="11"/>
  <c r="X212" i="11"/>
  <c r="W212" i="11"/>
  <c r="V212" i="11"/>
  <c r="U212" i="11"/>
  <c r="T212" i="11"/>
  <c r="S212" i="11"/>
  <c r="Q212" i="11"/>
  <c r="O212" i="11"/>
  <c r="M212" i="11"/>
  <c r="K212" i="11"/>
  <c r="X211" i="11"/>
  <c r="W211" i="11"/>
  <c r="V211" i="11"/>
  <c r="U211" i="11"/>
  <c r="T211" i="11"/>
  <c r="S211" i="11"/>
  <c r="Q211" i="11"/>
  <c r="O211" i="11"/>
  <c r="M211" i="11"/>
  <c r="K211" i="11"/>
  <c r="X210" i="11"/>
  <c r="W210" i="11"/>
  <c r="V210" i="11"/>
  <c r="U210" i="11"/>
  <c r="T210" i="11"/>
  <c r="S210" i="11"/>
  <c r="Q210" i="11"/>
  <c r="O210" i="11"/>
  <c r="M210" i="11"/>
  <c r="K210" i="11"/>
  <c r="X209" i="11"/>
  <c r="W209" i="11"/>
  <c r="V209" i="11"/>
  <c r="U209" i="11"/>
  <c r="T209" i="11"/>
  <c r="S209" i="11"/>
  <c r="Q209" i="11"/>
  <c r="O209" i="11"/>
  <c r="M209" i="11"/>
  <c r="K209" i="11"/>
  <c r="X208" i="11"/>
  <c r="W208" i="11"/>
  <c r="V208" i="11"/>
  <c r="U208" i="11"/>
  <c r="T208" i="11"/>
  <c r="S208" i="11"/>
  <c r="Q208" i="11"/>
  <c r="O208" i="11"/>
  <c r="M208" i="11"/>
  <c r="K208" i="11"/>
  <c r="X207" i="11"/>
  <c r="W207" i="11"/>
  <c r="V207" i="11"/>
  <c r="U207" i="11"/>
  <c r="T207" i="11"/>
  <c r="S207" i="11"/>
  <c r="Q207" i="11"/>
  <c r="O207" i="11"/>
  <c r="M207" i="11"/>
  <c r="K207" i="11"/>
  <c r="X206" i="11"/>
  <c r="W206" i="11"/>
  <c r="V206" i="11"/>
  <c r="U206" i="11"/>
  <c r="T206" i="11"/>
  <c r="S206" i="11"/>
  <c r="Q206" i="11"/>
  <c r="O206" i="11"/>
  <c r="M206" i="11"/>
  <c r="K206" i="11"/>
  <c r="X205" i="11"/>
  <c r="W205" i="11"/>
  <c r="V205" i="11"/>
  <c r="U205" i="11"/>
  <c r="T205" i="11"/>
  <c r="S205" i="11"/>
  <c r="Q205" i="11"/>
  <c r="O205" i="11"/>
  <c r="M205" i="11"/>
  <c r="K205" i="11"/>
  <c r="X204" i="11"/>
  <c r="W204" i="11"/>
  <c r="V204" i="11"/>
  <c r="U204" i="11"/>
  <c r="T204" i="11"/>
  <c r="S204" i="11"/>
  <c r="Q204" i="11"/>
  <c r="O204" i="11"/>
  <c r="M204" i="11"/>
  <c r="K204" i="11"/>
  <c r="X203" i="11"/>
  <c r="W203" i="11"/>
  <c r="V203" i="11"/>
  <c r="U203" i="11"/>
  <c r="T203" i="11"/>
  <c r="S203" i="11"/>
  <c r="Q203" i="11"/>
  <c r="O203" i="11"/>
  <c r="M203" i="11"/>
  <c r="K203" i="11"/>
  <c r="X202" i="11"/>
  <c r="W202" i="11"/>
  <c r="V202" i="11"/>
  <c r="U202" i="11"/>
  <c r="T202" i="11"/>
  <c r="S202" i="11"/>
  <c r="Q202" i="11"/>
  <c r="O202" i="11"/>
  <c r="M202" i="11"/>
  <c r="K202" i="11"/>
  <c r="X201" i="11"/>
  <c r="W201" i="11"/>
  <c r="V201" i="11"/>
  <c r="U201" i="11"/>
  <c r="T201" i="11"/>
  <c r="S201" i="11"/>
  <c r="Q201" i="11"/>
  <c r="O201" i="11"/>
  <c r="M201" i="11"/>
  <c r="K201" i="11"/>
  <c r="X200" i="11"/>
  <c r="W200" i="11"/>
  <c r="V200" i="11"/>
  <c r="U200" i="11"/>
  <c r="T200" i="11"/>
  <c r="S200" i="11"/>
  <c r="Q200" i="11"/>
  <c r="O200" i="11"/>
  <c r="M200" i="11"/>
  <c r="K200" i="11"/>
  <c r="X199" i="11"/>
  <c r="W199" i="11"/>
  <c r="V199" i="11"/>
  <c r="U199" i="11"/>
  <c r="T199" i="11"/>
  <c r="S199" i="11"/>
  <c r="Q199" i="11"/>
  <c r="O199" i="11"/>
  <c r="M199" i="11"/>
  <c r="K199" i="11"/>
  <c r="X198" i="11"/>
  <c r="W198" i="11"/>
  <c r="V198" i="11"/>
  <c r="U198" i="11"/>
  <c r="T198" i="11"/>
  <c r="S198" i="11"/>
  <c r="Q198" i="11"/>
  <c r="O198" i="11"/>
  <c r="M198" i="11"/>
  <c r="K198" i="11"/>
  <c r="X197" i="11"/>
  <c r="W197" i="11"/>
  <c r="V197" i="11"/>
  <c r="U197" i="11"/>
  <c r="T197" i="11"/>
  <c r="S197" i="11"/>
  <c r="Q197" i="11"/>
  <c r="O197" i="11"/>
  <c r="M197" i="11"/>
  <c r="K197" i="11"/>
  <c r="X196" i="11"/>
  <c r="W196" i="11"/>
  <c r="V196" i="11"/>
  <c r="U196" i="11"/>
  <c r="T196" i="11"/>
  <c r="S196" i="11"/>
  <c r="Q196" i="11"/>
  <c r="O196" i="11"/>
  <c r="M196" i="11"/>
  <c r="K196" i="11"/>
  <c r="X195" i="11"/>
  <c r="W195" i="11"/>
  <c r="V195" i="11"/>
  <c r="U195" i="11"/>
  <c r="T195" i="11"/>
  <c r="S195" i="11"/>
  <c r="Q195" i="11"/>
  <c r="O195" i="11"/>
  <c r="M195" i="11"/>
  <c r="K195" i="11"/>
  <c r="X194" i="11"/>
  <c r="W194" i="11"/>
  <c r="V194" i="11"/>
  <c r="U194" i="11"/>
  <c r="T194" i="11"/>
  <c r="S194" i="11"/>
  <c r="Q194" i="11"/>
  <c r="O194" i="11"/>
  <c r="M194" i="11"/>
  <c r="K194" i="11"/>
  <c r="X193" i="11"/>
  <c r="W193" i="11"/>
  <c r="V193" i="11"/>
  <c r="U193" i="11"/>
  <c r="T193" i="11"/>
  <c r="S193" i="11"/>
  <c r="Q193" i="11"/>
  <c r="O193" i="11"/>
  <c r="M193" i="11"/>
  <c r="K193" i="11"/>
  <c r="X192" i="11"/>
  <c r="W192" i="11"/>
  <c r="V192" i="11"/>
  <c r="U192" i="11"/>
  <c r="T192" i="11"/>
  <c r="S192" i="11"/>
  <c r="Q192" i="11"/>
  <c r="O192" i="11"/>
  <c r="M192" i="11"/>
  <c r="K192" i="11"/>
  <c r="X191" i="11"/>
  <c r="W191" i="11"/>
  <c r="V191" i="11"/>
  <c r="U191" i="11"/>
  <c r="T191" i="11"/>
  <c r="S191" i="11"/>
  <c r="Q191" i="11"/>
  <c r="O191" i="11"/>
  <c r="M191" i="11"/>
  <c r="K191" i="11"/>
  <c r="X190" i="11"/>
  <c r="W190" i="11"/>
  <c r="V190" i="11"/>
  <c r="U190" i="11"/>
  <c r="T190" i="11"/>
  <c r="S190" i="11"/>
  <c r="Q190" i="11"/>
  <c r="O190" i="11"/>
  <c r="M190" i="11"/>
  <c r="K190" i="11"/>
  <c r="X189" i="11"/>
  <c r="W189" i="11"/>
  <c r="V189" i="11"/>
  <c r="U189" i="11"/>
  <c r="T189" i="11"/>
  <c r="S189" i="11"/>
  <c r="Q189" i="11"/>
  <c r="O189" i="11"/>
  <c r="M189" i="11"/>
  <c r="K189" i="11"/>
  <c r="X188" i="11"/>
  <c r="W188" i="11"/>
  <c r="V188" i="11"/>
  <c r="U188" i="11"/>
  <c r="T188" i="11"/>
  <c r="S188" i="11"/>
  <c r="Q188" i="11"/>
  <c r="O188" i="11"/>
  <c r="M188" i="11"/>
  <c r="K188" i="11"/>
  <c r="X187" i="11"/>
  <c r="W187" i="11"/>
  <c r="V187" i="11"/>
  <c r="U187" i="11"/>
  <c r="T187" i="11"/>
  <c r="S187" i="11"/>
  <c r="Q187" i="11"/>
  <c r="O187" i="11"/>
  <c r="M187" i="11"/>
  <c r="K187" i="11"/>
  <c r="X186" i="11"/>
  <c r="W186" i="11"/>
  <c r="V186" i="11"/>
  <c r="U186" i="11"/>
  <c r="T186" i="11"/>
  <c r="S186" i="11"/>
  <c r="Q186" i="11"/>
  <c r="O186" i="11"/>
  <c r="M186" i="11"/>
  <c r="K186" i="11"/>
  <c r="X185" i="11"/>
  <c r="W185" i="11"/>
  <c r="V185" i="11"/>
  <c r="U185" i="11"/>
  <c r="T185" i="11"/>
  <c r="S185" i="11"/>
  <c r="Q185" i="11"/>
  <c r="O185" i="11"/>
  <c r="M185" i="11"/>
  <c r="K185" i="11"/>
  <c r="X184" i="11"/>
  <c r="W184" i="11"/>
  <c r="V184" i="11"/>
  <c r="U184" i="11"/>
  <c r="T184" i="11"/>
  <c r="S184" i="11"/>
  <c r="Q184" i="11"/>
  <c r="O184" i="11"/>
  <c r="M184" i="11"/>
  <c r="K184" i="11"/>
  <c r="X183" i="11"/>
  <c r="W183" i="11"/>
  <c r="V183" i="11"/>
  <c r="U183" i="11"/>
  <c r="T183" i="11"/>
  <c r="S183" i="11"/>
  <c r="Q183" i="11"/>
  <c r="O183" i="11"/>
  <c r="M183" i="11"/>
  <c r="K183" i="11"/>
  <c r="X182" i="11"/>
  <c r="W182" i="11"/>
  <c r="V182" i="11"/>
  <c r="U182" i="11"/>
  <c r="T182" i="11"/>
  <c r="S182" i="11"/>
  <c r="Q182" i="11"/>
  <c r="O182" i="11"/>
  <c r="M182" i="11"/>
  <c r="K182" i="11"/>
  <c r="X181" i="11"/>
  <c r="W181" i="11"/>
  <c r="V181" i="11"/>
  <c r="U181" i="11"/>
  <c r="T181" i="11"/>
  <c r="S181" i="11"/>
  <c r="Q181" i="11"/>
  <c r="O181" i="11"/>
  <c r="M181" i="11"/>
  <c r="K181" i="11"/>
  <c r="X180" i="11"/>
  <c r="W180" i="11"/>
  <c r="V180" i="11"/>
  <c r="U180" i="11"/>
  <c r="T180" i="11"/>
  <c r="S180" i="11"/>
  <c r="Q180" i="11"/>
  <c r="O180" i="11"/>
  <c r="M180" i="11"/>
  <c r="K180" i="11"/>
  <c r="X179" i="11"/>
  <c r="W179" i="11"/>
  <c r="V179" i="11"/>
  <c r="U179" i="11"/>
  <c r="T179" i="11"/>
  <c r="S179" i="11"/>
  <c r="Q179" i="11"/>
  <c r="O179" i="11"/>
  <c r="M179" i="11"/>
  <c r="K179" i="11"/>
  <c r="X178" i="11"/>
  <c r="W178" i="11"/>
  <c r="V178" i="11"/>
  <c r="U178" i="11"/>
  <c r="T178" i="11"/>
  <c r="S178" i="11"/>
  <c r="Q178" i="11"/>
  <c r="O178" i="11"/>
  <c r="M178" i="11"/>
  <c r="K178" i="11"/>
  <c r="X177" i="11"/>
  <c r="W177" i="11"/>
  <c r="V177" i="11"/>
  <c r="U177" i="11"/>
  <c r="T177" i="11"/>
  <c r="S177" i="11"/>
  <c r="Q177" i="11"/>
  <c r="O177" i="11"/>
  <c r="M177" i="11"/>
  <c r="K177" i="11"/>
  <c r="X176" i="11"/>
  <c r="W176" i="11"/>
  <c r="V176" i="11"/>
  <c r="U176" i="11"/>
  <c r="T176" i="11"/>
  <c r="S176" i="11"/>
  <c r="Q176" i="11"/>
  <c r="O176" i="11"/>
  <c r="M176" i="11"/>
  <c r="K176" i="11"/>
  <c r="X175" i="11"/>
  <c r="W175" i="11"/>
  <c r="V175" i="11"/>
  <c r="U175" i="11"/>
  <c r="T175" i="11"/>
  <c r="S175" i="11"/>
  <c r="Q175" i="11"/>
  <c r="O175" i="11"/>
  <c r="M175" i="11"/>
  <c r="K175" i="11"/>
  <c r="X174" i="11"/>
  <c r="W174" i="11"/>
  <c r="V174" i="11"/>
  <c r="U174" i="11"/>
  <c r="T174" i="11"/>
  <c r="S174" i="11"/>
  <c r="Q174" i="11"/>
  <c r="O174" i="11"/>
  <c r="M174" i="11"/>
  <c r="K174" i="11"/>
  <c r="X173" i="11"/>
  <c r="W173" i="11"/>
  <c r="V173" i="11"/>
  <c r="U173" i="11"/>
  <c r="T173" i="11"/>
  <c r="S173" i="11"/>
  <c r="Q173" i="11"/>
  <c r="O173" i="11"/>
  <c r="M173" i="11"/>
  <c r="K173" i="11"/>
  <c r="X172" i="11"/>
  <c r="W172" i="11"/>
  <c r="V172" i="11"/>
  <c r="U172" i="11"/>
  <c r="T172" i="11"/>
  <c r="S172" i="11"/>
  <c r="Q172" i="11"/>
  <c r="O172" i="11"/>
  <c r="M172" i="11"/>
  <c r="K172" i="11"/>
  <c r="X171" i="11"/>
  <c r="W171" i="11"/>
  <c r="V171" i="11"/>
  <c r="U171" i="11"/>
  <c r="T171" i="11"/>
  <c r="S171" i="11"/>
  <c r="Q171" i="11"/>
  <c r="O171" i="11"/>
  <c r="M171" i="11"/>
  <c r="K171" i="11"/>
  <c r="X170" i="11"/>
  <c r="W170" i="11"/>
  <c r="V170" i="11"/>
  <c r="U170" i="11"/>
  <c r="T170" i="11"/>
  <c r="S170" i="11"/>
  <c r="Q170" i="11"/>
  <c r="O170" i="11"/>
  <c r="M170" i="11"/>
  <c r="K170" i="11"/>
  <c r="X169" i="11"/>
  <c r="W169" i="11"/>
  <c r="V169" i="11"/>
  <c r="U169" i="11"/>
  <c r="T169" i="11"/>
  <c r="S169" i="11"/>
  <c r="Q169" i="11"/>
  <c r="O169" i="11"/>
  <c r="M169" i="11"/>
  <c r="K169" i="11"/>
  <c r="X168" i="11"/>
  <c r="W168" i="11"/>
  <c r="V168" i="11"/>
  <c r="U168" i="11"/>
  <c r="T168" i="11"/>
  <c r="S168" i="11"/>
  <c r="Q168" i="11"/>
  <c r="O168" i="11"/>
  <c r="M168" i="11"/>
  <c r="K168" i="11"/>
  <c r="X167" i="11"/>
  <c r="W167" i="11"/>
  <c r="V167" i="11"/>
  <c r="U167" i="11"/>
  <c r="T167" i="11"/>
  <c r="S167" i="11"/>
  <c r="Q167" i="11"/>
  <c r="O167" i="11"/>
  <c r="M167" i="11"/>
  <c r="K167" i="11"/>
  <c r="X166" i="11"/>
  <c r="W166" i="11"/>
  <c r="V166" i="11"/>
  <c r="U166" i="11"/>
  <c r="T166" i="11"/>
  <c r="S166" i="11"/>
  <c r="Q166" i="11"/>
  <c r="O166" i="11"/>
  <c r="M166" i="11"/>
  <c r="K166" i="11"/>
  <c r="X165" i="11"/>
  <c r="W165" i="11"/>
  <c r="V165" i="11"/>
  <c r="U165" i="11"/>
  <c r="T165" i="11"/>
  <c r="S165" i="11"/>
  <c r="Q165" i="11"/>
  <c r="O165" i="11"/>
  <c r="M165" i="11"/>
  <c r="K165" i="11"/>
  <c r="X164" i="11"/>
  <c r="W164" i="11"/>
  <c r="V164" i="11"/>
  <c r="U164" i="11"/>
  <c r="T164" i="11"/>
  <c r="S164" i="11"/>
  <c r="Q164" i="11"/>
  <c r="O164" i="11"/>
  <c r="M164" i="11"/>
  <c r="K164" i="11"/>
  <c r="X163" i="11"/>
  <c r="W163" i="11"/>
  <c r="V163" i="11"/>
  <c r="U163" i="11"/>
  <c r="T163" i="11"/>
  <c r="S163" i="11"/>
  <c r="Q163" i="11"/>
  <c r="O163" i="11"/>
  <c r="M163" i="11"/>
  <c r="K163" i="11"/>
  <c r="X162" i="11"/>
  <c r="W162" i="11"/>
  <c r="V162" i="11"/>
  <c r="U162" i="11"/>
  <c r="T162" i="11"/>
  <c r="S162" i="11"/>
  <c r="Q162" i="11"/>
  <c r="O162" i="11"/>
  <c r="M162" i="11"/>
  <c r="K162" i="11"/>
  <c r="X161" i="11"/>
  <c r="W161" i="11"/>
  <c r="V161" i="11"/>
  <c r="U161" i="11"/>
  <c r="T161" i="11"/>
  <c r="S161" i="11"/>
  <c r="Q161" i="11"/>
  <c r="O161" i="11"/>
  <c r="M161" i="11"/>
  <c r="K161" i="11"/>
  <c r="X160" i="11"/>
  <c r="W160" i="11"/>
  <c r="V160" i="11"/>
  <c r="U160" i="11"/>
  <c r="T160" i="11"/>
  <c r="S160" i="11"/>
  <c r="Q160" i="11"/>
  <c r="O160" i="11"/>
  <c r="M160" i="11"/>
  <c r="K160" i="11"/>
  <c r="X159" i="11"/>
  <c r="W159" i="11"/>
  <c r="V159" i="11"/>
  <c r="U159" i="11"/>
  <c r="T159" i="11"/>
  <c r="S159" i="11"/>
  <c r="Q159" i="11"/>
  <c r="O159" i="11"/>
  <c r="M159" i="11"/>
  <c r="K159" i="11"/>
  <c r="X158" i="11"/>
  <c r="W158" i="11"/>
  <c r="V158" i="11"/>
  <c r="U158" i="11"/>
  <c r="T158" i="11"/>
  <c r="S158" i="11"/>
  <c r="Q158" i="11"/>
  <c r="O158" i="11"/>
  <c r="M158" i="11"/>
  <c r="K158" i="11"/>
  <c r="X157" i="11"/>
  <c r="W157" i="11"/>
  <c r="V157" i="11"/>
  <c r="U157" i="11"/>
  <c r="T157" i="11"/>
  <c r="S157" i="11"/>
  <c r="Q157" i="11"/>
  <c r="O157" i="11"/>
  <c r="M157" i="11"/>
  <c r="K157" i="11"/>
  <c r="X156" i="11"/>
  <c r="W156" i="11"/>
  <c r="V156" i="11"/>
  <c r="U156" i="11"/>
  <c r="T156" i="11"/>
  <c r="S156" i="11"/>
  <c r="Q156" i="11"/>
  <c r="O156" i="11"/>
  <c r="M156" i="11"/>
  <c r="K156" i="11"/>
  <c r="X155" i="11"/>
  <c r="W155" i="11"/>
  <c r="V155" i="11"/>
  <c r="U155" i="11"/>
  <c r="T155" i="11"/>
  <c r="S155" i="11"/>
  <c r="Q155" i="11"/>
  <c r="O155" i="11"/>
  <c r="M155" i="11"/>
  <c r="K155" i="11"/>
  <c r="X154" i="11"/>
  <c r="W154" i="11"/>
  <c r="V154" i="11"/>
  <c r="U154" i="11"/>
  <c r="T154" i="11"/>
  <c r="S154" i="11"/>
  <c r="Q154" i="11"/>
  <c r="O154" i="11"/>
  <c r="M154" i="11"/>
  <c r="K154" i="11"/>
  <c r="X153" i="11"/>
  <c r="W153" i="11"/>
  <c r="V153" i="11"/>
  <c r="U153" i="11"/>
  <c r="T153" i="11"/>
  <c r="S153" i="11"/>
  <c r="Q153" i="11"/>
  <c r="O153" i="11"/>
  <c r="M153" i="11"/>
  <c r="K153" i="11"/>
  <c r="X152" i="11"/>
  <c r="W152" i="11"/>
  <c r="V152" i="11"/>
  <c r="U152" i="11"/>
  <c r="T152" i="11"/>
  <c r="S152" i="11"/>
  <c r="Q152" i="11"/>
  <c r="O152" i="11"/>
  <c r="M152" i="11"/>
  <c r="K152" i="11"/>
  <c r="X151" i="11"/>
  <c r="W151" i="11"/>
  <c r="V151" i="11"/>
  <c r="U151" i="11"/>
  <c r="T151" i="11"/>
  <c r="S151" i="11"/>
  <c r="Q151" i="11"/>
  <c r="O151" i="11"/>
  <c r="M151" i="11"/>
  <c r="K151" i="11"/>
  <c r="X150" i="11"/>
  <c r="W150" i="11"/>
  <c r="V150" i="11"/>
  <c r="U150" i="11"/>
  <c r="T150" i="11"/>
  <c r="S150" i="11"/>
  <c r="Q150" i="11"/>
  <c r="O150" i="11"/>
  <c r="M150" i="11"/>
  <c r="K150" i="11"/>
  <c r="X149" i="11"/>
  <c r="W149" i="11"/>
  <c r="V149" i="11"/>
  <c r="U149" i="11"/>
  <c r="T149" i="11"/>
  <c r="S149" i="11"/>
  <c r="Q149" i="11"/>
  <c r="O149" i="11"/>
  <c r="M149" i="11"/>
  <c r="K149" i="11"/>
  <c r="X148" i="11"/>
  <c r="W148" i="11"/>
  <c r="V148" i="11"/>
  <c r="U148" i="11"/>
  <c r="T148" i="11"/>
  <c r="S148" i="11"/>
  <c r="Q148" i="11"/>
  <c r="O148" i="11"/>
  <c r="M148" i="11"/>
  <c r="K148" i="11"/>
  <c r="X147" i="11"/>
  <c r="W147" i="11"/>
  <c r="V147" i="11"/>
  <c r="U147" i="11"/>
  <c r="T147" i="11"/>
  <c r="S147" i="11"/>
  <c r="Q147" i="11"/>
  <c r="O147" i="11"/>
  <c r="M147" i="11"/>
  <c r="K147" i="11"/>
  <c r="X146" i="11"/>
  <c r="W146" i="11"/>
  <c r="V146" i="11"/>
  <c r="U146" i="11"/>
  <c r="T146" i="11"/>
  <c r="S146" i="11"/>
  <c r="Q146" i="11"/>
  <c r="O146" i="11"/>
  <c r="M146" i="11"/>
  <c r="K146" i="11"/>
  <c r="X145" i="11"/>
  <c r="W145" i="11"/>
  <c r="V145" i="11"/>
  <c r="U145" i="11"/>
  <c r="T145" i="11"/>
  <c r="S145" i="11"/>
  <c r="Q145" i="11"/>
  <c r="O145" i="11"/>
  <c r="M145" i="11"/>
  <c r="K145" i="11"/>
  <c r="X144" i="11"/>
  <c r="W144" i="11"/>
  <c r="V144" i="11"/>
  <c r="U144" i="11"/>
  <c r="T144" i="11"/>
  <c r="S144" i="11"/>
  <c r="Q144" i="11"/>
  <c r="O144" i="11"/>
  <c r="M144" i="11"/>
  <c r="K144" i="11"/>
  <c r="X143" i="11"/>
  <c r="W143" i="11"/>
  <c r="V143" i="11"/>
  <c r="U143" i="11"/>
  <c r="T143" i="11"/>
  <c r="S143" i="11"/>
  <c r="Q143" i="11"/>
  <c r="O143" i="11"/>
  <c r="M143" i="11"/>
  <c r="K143" i="11"/>
  <c r="X142" i="11"/>
  <c r="W142" i="11"/>
  <c r="V142" i="11"/>
  <c r="U142" i="11"/>
  <c r="T142" i="11"/>
  <c r="S142" i="11"/>
  <c r="Q142" i="11"/>
  <c r="O142" i="11"/>
  <c r="M142" i="11"/>
  <c r="K142" i="11"/>
  <c r="X141" i="11"/>
  <c r="W141" i="11"/>
  <c r="V141" i="11"/>
  <c r="U141" i="11"/>
  <c r="T141" i="11"/>
  <c r="S141" i="11"/>
  <c r="Q141" i="11"/>
  <c r="O141" i="11"/>
  <c r="M141" i="11"/>
  <c r="K141" i="11"/>
  <c r="X140" i="11"/>
  <c r="W140" i="11"/>
  <c r="V140" i="11"/>
  <c r="U140" i="11"/>
  <c r="T140" i="11"/>
  <c r="S140" i="11"/>
  <c r="Q140" i="11"/>
  <c r="O140" i="11"/>
  <c r="M140" i="11"/>
  <c r="K140" i="11"/>
  <c r="X139" i="11"/>
  <c r="W139" i="11"/>
  <c r="V139" i="11"/>
  <c r="U139" i="11"/>
  <c r="T139" i="11"/>
  <c r="S139" i="11"/>
  <c r="Q139" i="11"/>
  <c r="O139" i="11"/>
  <c r="M139" i="11"/>
  <c r="K139" i="11"/>
  <c r="X138" i="11"/>
  <c r="W138" i="11"/>
  <c r="V138" i="11"/>
  <c r="U138" i="11"/>
  <c r="T138" i="11"/>
  <c r="S138" i="11"/>
  <c r="Q138" i="11"/>
  <c r="O138" i="11"/>
  <c r="M138" i="11"/>
  <c r="K138" i="11"/>
  <c r="X137" i="11"/>
  <c r="W137" i="11"/>
  <c r="V137" i="11"/>
  <c r="U137" i="11"/>
  <c r="T137" i="11"/>
  <c r="S137" i="11"/>
  <c r="Q137" i="11"/>
  <c r="O137" i="11"/>
  <c r="M137" i="11"/>
  <c r="K137" i="11"/>
  <c r="X136" i="11"/>
  <c r="W136" i="11"/>
  <c r="V136" i="11"/>
  <c r="U136" i="11"/>
  <c r="T136" i="11"/>
  <c r="S136" i="11"/>
  <c r="Q136" i="11"/>
  <c r="O136" i="11"/>
  <c r="M136" i="11"/>
  <c r="K136" i="11"/>
  <c r="X135" i="11"/>
  <c r="W135" i="11"/>
  <c r="V135" i="11"/>
  <c r="U135" i="11"/>
  <c r="T135" i="11"/>
  <c r="S135" i="11"/>
  <c r="Q135" i="11"/>
  <c r="O135" i="11"/>
  <c r="M135" i="11"/>
  <c r="K135" i="11"/>
  <c r="X134" i="11"/>
  <c r="W134" i="11"/>
  <c r="V134" i="11"/>
  <c r="U134" i="11"/>
  <c r="T134" i="11"/>
  <c r="S134" i="11"/>
  <c r="Q134" i="11"/>
  <c r="O134" i="11"/>
  <c r="M134" i="11"/>
  <c r="K134" i="11"/>
  <c r="X133" i="11"/>
  <c r="W133" i="11"/>
  <c r="V133" i="11"/>
  <c r="U133" i="11"/>
  <c r="T133" i="11"/>
  <c r="S133" i="11"/>
  <c r="Q133" i="11"/>
  <c r="O133" i="11"/>
  <c r="M133" i="11"/>
  <c r="K133" i="11"/>
  <c r="X132" i="11"/>
  <c r="W132" i="11"/>
  <c r="V132" i="11"/>
  <c r="U132" i="11"/>
  <c r="T132" i="11"/>
  <c r="S132" i="11"/>
  <c r="Q132" i="11"/>
  <c r="O132" i="11"/>
  <c r="M132" i="11"/>
  <c r="K132" i="11"/>
  <c r="X131" i="11"/>
  <c r="W131" i="11"/>
  <c r="V131" i="11"/>
  <c r="U131" i="11"/>
  <c r="T131" i="11"/>
  <c r="S131" i="11"/>
  <c r="Q131" i="11"/>
  <c r="O131" i="11"/>
  <c r="M131" i="11"/>
  <c r="K131" i="11"/>
  <c r="X130" i="11"/>
  <c r="W130" i="11"/>
  <c r="V130" i="11"/>
  <c r="U130" i="11"/>
  <c r="T130" i="11"/>
  <c r="S130" i="11"/>
  <c r="Q130" i="11"/>
  <c r="O130" i="11"/>
  <c r="M130" i="11"/>
  <c r="K130" i="11"/>
  <c r="X129" i="11"/>
  <c r="W129" i="11"/>
  <c r="V129" i="11"/>
  <c r="U129" i="11"/>
  <c r="T129" i="11"/>
  <c r="S129" i="11"/>
  <c r="Q129" i="11"/>
  <c r="O129" i="11"/>
  <c r="M129" i="11"/>
  <c r="K129" i="11"/>
  <c r="X128" i="11"/>
  <c r="W128" i="11"/>
  <c r="V128" i="11"/>
  <c r="U128" i="11"/>
  <c r="T128" i="11"/>
  <c r="S128" i="11"/>
  <c r="Q128" i="11"/>
  <c r="O128" i="11"/>
  <c r="M128" i="11"/>
  <c r="K128" i="11"/>
  <c r="X127" i="11"/>
  <c r="W127" i="11"/>
  <c r="V127" i="11"/>
  <c r="U127" i="11"/>
  <c r="T127" i="11"/>
  <c r="S127" i="11"/>
  <c r="Q127" i="11"/>
  <c r="O127" i="11"/>
  <c r="M127" i="11"/>
  <c r="K127" i="11"/>
  <c r="X126" i="11"/>
  <c r="W126" i="11"/>
  <c r="V126" i="11"/>
  <c r="U126" i="11"/>
  <c r="T126" i="11"/>
  <c r="S126" i="11"/>
  <c r="Q126" i="11"/>
  <c r="O126" i="11"/>
  <c r="M126" i="11"/>
  <c r="K126" i="11"/>
  <c r="X125" i="11"/>
  <c r="W125" i="11"/>
  <c r="V125" i="11"/>
  <c r="U125" i="11"/>
  <c r="T125" i="11"/>
  <c r="S125" i="11"/>
  <c r="Q125" i="11"/>
  <c r="O125" i="11"/>
  <c r="M125" i="11"/>
  <c r="K125" i="11"/>
  <c r="X124" i="11"/>
  <c r="W124" i="11"/>
  <c r="V124" i="11"/>
  <c r="U124" i="11"/>
  <c r="T124" i="11"/>
  <c r="S124" i="11"/>
  <c r="Q124" i="11"/>
  <c r="O124" i="11"/>
  <c r="M124" i="11"/>
  <c r="K124" i="11"/>
  <c r="X123" i="11"/>
  <c r="W123" i="11"/>
  <c r="V123" i="11"/>
  <c r="U123" i="11"/>
  <c r="T123" i="11"/>
  <c r="S123" i="11"/>
  <c r="Q123" i="11"/>
  <c r="O123" i="11"/>
  <c r="M123" i="11"/>
  <c r="K123" i="11"/>
  <c r="X122" i="11"/>
  <c r="W122" i="11"/>
  <c r="V122" i="11"/>
  <c r="U122" i="11"/>
  <c r="T122" i="11"/>
  <c r="S122" i="11"/>
  <c r="Q122" i="11"/>
  <c r="O122" i="11"/>
  <c r="M122" i="11"/>
  <c r="K122" i="11"/>
  <c r="X121" i="11"/>
  <c r="W121" i="11"/>
  <c r="V121" i="11"/>
  <c r="U121" i="11"/>
  <c r="T121" i="11"/>
  <c r="S121" i="11"/>
  <c r="Q121" i="11"/>
  <c r="O121" i="11"/>
  <c r="M121" i="11"/>
  <c r="K121" i="11"/>
  <c r="X120" i="11"/>
  <c r="W120" i="11"/>
  <c r="V120" i="11"/>
  <c r="U120" i="11"/>
  <c r="T120" i="11"/>
  <c r="S120" i="11"/>
  <c r="Q120" i="11"/>
  <c r="O120" i="11"/>
  <c r="M120" i="11"/>
  <c r="K120" i="11"/>
  <c r="X119" i="11"/>
  <c r="W119" i="11"/>
  <c r="V119" i="11"/>
  <c r="U119" i="11"/>
  <c r="T119" i="11"/>
  <c r="S119" i="11"/>
  <c r="Q119" i="11"/>
  <c r="O119" i="11"/>
  <c r="M119" i="11"/>
  <c r="K119" i="11"/>
  <c r="X118" i="11"/>
  <c r="W118" i="11"/>
  <c r="V118" i="11"/>
  <c r="U118" i="11"/>
  <c r="T118" i="11"/>
  <c r="S118" i="11"/>
  <c r="Q118" i="11"/>
  <c r="O118" i="11"/>
  <c r="M118" i="11"/>
  <c r="K118" i="11"/>
  <c r="X117" i="11"/>
  <c r="W117" i="11"/>
  <c r="V117" i="11"/>
  <c r="U117" i="11"/>
  <c r="T117" i="11"/>
  <c r="S117" i="11"/>
  <c r="Q117" i="11"/>
  <c r="O117" i="11"/>
  <c r="M117" i="11"/>
  <c r="K117" i="11"/>
  <c r="X116" i="11"/>
  <c r="W116" i="11"/>
  <c r="V116" i="11"/>
  <c r="U116" i="11"/>
  <c r="T116" i="11"/>
  <c r="S116" i="11"/>
  <c r="Q116" i="11"/>
  <c r="O116" i="11"/>
  <c r="M116" i="11"/>
  <c r="K116" i="11"/>
  <c r="X115" i="11"/>
  <c r="W115" i="11"/>
  <c r="V115" i="11"/>
  <c r="U115" i="11"/>
  <c r="T115" i="11"/>
  <c r="S115" i="11"/>
  <c r="Q115" i="11"/>
  <c r="O115" i="11"/>
  <c r="M115" i="11"/>
  <c r="K115" i="11"/>
  <c r="X114" i="11"/>
  <c r="W114" i="11"/>
  <c r="V114" i="11"/>
  <c r="U114" i="11"/>
  <c r="T114" i="11"/>
  <c r="S114" i="11"/>
  <c r="Q114" i="11"/>
  <c r="O114" i="11"/>
  <c r="M114" i="11"/>
  <c r="K114" i="11"/>
  <c r="X113" i="11"/>
  <c r="W113" i="11"/>
  <c r="V113" i="11"/>
  <c r="U113" i="11"/>
  <c r="T113" i="11"/>
  <c r="S113" i="11"/>
  <c r="Q113" i="11"/>
  <c r="O113" i="11"/>
  <c r="M113" i="11"/>
  <c r="K113" i="11"/>
  <c r="X112" i="11"/>
  <c r="W112" i="11"/>
  <c r="V112" i="11"/>
  <c r="U112" i="11"/>
  <c r="T112" i="11"/>
  <c r="S112" i="11"/>
  <c r="Q112" i="11"/>
  <c r="O112" i="11"/>
  <c r="M112" i="11"/>
  <c r="K112" i="11"/>
  <c r="X111" i="11"/>
  <c r="W111" i="11"/>
  <c r="V111" i="11"/>
  <c r="U111" i="11"/>
  <c r="T111" i="11"/>
  <c r="S111" i="11"/>
  <c r="Q111" i="11"/>
  <c r="O111" i="11"/>
  <c r="M111" i="11"/>
  <c r="K111" i="11"/>
  <c r="X110" i="11"/>
  <c r="W110" i="11"/>
  <c r="V110" i="11"/>
  <c r="U110" i="11"/>
  <c r="T110" i="11"/>
  <c r="S110" i="11"/>
  <c r="Q110" i="11"/>
  <c r="O110" i="11"/>
  <c r="M110" i="11"/>
  <c r="K110" i="11"/>
  <c r="X109" i="11"/>
  <c r="W109" i="11"/>
  <c r="V109" i="11"/>
  <c r="U109" i="11"/>
  <c r="T109" i="11"/>
  <c r="S109" i="11"/>
  <c r="Q109" i="11"/>
  <c r="O109" i="11"/>
  <c r="M109" i="11"/>
  <c r="K109" i="11"/>
  <c r="X108" i="11"/>
  <c r="W108" i="11"/>
  <c r="V108" i="11"/>
  <c r="U108" i="11"/>
  <c r="T108" i="11"/>
  <c r="S108" i="11"/>
  <c r="Q108" i="11"/>
  <c r="O108" i="11"/>
  <c r="M108" i="11"/>
  <c r="K108" i="11"/>
  <c r="X107" i="11"/>
  <c r="W107" i="11"/>
  <c r="V107" i="11"/>
  <c r="U107" i="11"/>
  <c r="T107" i="11"/>
  <c r="S107" i="11"/>
  <c r="Q107" i="11"/>
  <c r="O107" i="11"/>
  <c r="M107" i="11"/>
  <c r="K107" i="11"/>
  <c r="X106" i="11"/>
  <c r="W106" i="11"/>
  <c r="V106" i="11"/>
  <c r="U106" i="11"/>
  <c r="T106" i="11"/>
  <c r="S106" i="11"/>
  <c r="Q106" i="11"/>
  <c r="O106" i="11"/>
  <c r="M106" i="11"/>
  <c r="K106" i="11"/>
  <c r="X105" i="11"/>
  <c r="W105" i="11"/>
  <c r="V105" i="11"/>
  <c r="U105" i="11"/>
  <c r="T105" i="11"/>
  <c r="S105" i="11"/>
  <c r="Q105" i="11"/>
  <c r="O105" i="11"/>
  <c r="M105" i="11"/>
  <c r="K105" i="11"/>
  <c r="X104" i="11"/>
  <c r="W104" i="11"/>
  <c r="V104" i="11"/>
  <c r="U104" i="11"/>
  <c r="T104" i="11"/>
  <c r="S104" i="11"/>
  <c r="Q104" i="11"/>
  <c r="O104" i="11"/>
  <c r="M104" i="11"/>
  <c r="K104" i="11"/>
  <c r="X103" i="11"/>
  <c r="W103" i="11"/>
  <c r="V103" i="11"/>
  <c r="U103" i="11"/>
  <c r="T103" i="11"/>
  <c r="S103" i="11"/>
  <c r="Q103" i="11"/>
  <c r="O103" i="11"/>
  <c r="M103" i="11"/>
  <c r="K103" i="11"/>
  <c r="X102" i="11"/>
  <c r="W102" i="11"/>
  <c r="V102" i="11"/>
  <c r="U102" i="11"/>
  <c r="T102" i="11"/>
  <c r="S102" i="11"/>
  <c r="Q102" i="11"/>
  <c r="O102" i="11"/>
  <c r="M102" i="11"/>
  <c r="K102" i="11"/>
  <c r="X101" i="11"/>
  <c r="W101" i="11"/>
  <c r="V101" i="11"/>
  <c r="U101" i="11"/>
  <c r="T101" i="11"/>
  <c r="S101" i="11"/>
  <c r="Q101" i="11"/>
  <c r="O101" i="11"/>
  <c r="M101" i="11"/>
  <c r="K101" i="11"/>
  <c r="X100" i="11"/>
  <c r="W100" i="11"/>
  <c r="V100" i="11"/>
  <c r="U100" i="11"/>
  <c r="T100" i="11"/>
  <c r="S100" i="11"/>
  <c r="Q100" i="11"/>
  <c r="O100" i="11"/>
  <c r="M100" i="11"/>
  <c r="K100" i="11"/>
  <c r="X99" i="11"/>
  <c r="W99" i="11"/>
  <c r="V99" i="11"/>
  <c r="U99" i="11"/>
  <c r="T99" i="11"/>
  <c r="S99" i="11"/>
  <c r="Q99" i="11"/>
  <c r="O99" i="11"/>
  <c r="M99" i="11"/>
  <c r="K99" i="11"/>
  <c r="X98" i="11"/>
  <c r="W98" i="11"/>
  <c r="V98" i="11"/>
  <c r="U98" i="11"/>
  <c r="T98" i="11"/>
  <c r="S98" i="11"/>
  <c r="Q98" i="11"/>
  <c r="O98" i="11"/>
  <c r="M98" i="11"/>
  <c r="K98" i="11"/>
  <c r="X97" i="11"/>
  <c r="W97" i="11"/>
  <c r="V97" i="11"/>
  <c r="U97" i="11"/>
  <c r="T97" i="11"/>
  <c r="S97" i="11"/>
  <c r="Q97" i="11"/>
  <c r="O97" i="11"/>
  <c r="M97" i="11"/>
  <c r="K97" i="11"/>
  <c r="X96" i="11"/>
  <c r="W96" i="11"/>
  <c r="V96" i="11"/>
  <c r="U96" i="11"/>
  <c r="T96" i="11"/>
  <c r="S96" i="11"/>
  <c r="Q96" i="11"/>
  <c r="O96" i="11"/>
  <c r="M96" i="11"/>
  <c r="K96" i="11"/>
  <c r="X95" i="11"/>
  <c r="W95" i="11"/>
  <c r="V95" i="11"/>
  <c r="U95" i="11"/>
  <c r="T95" i="11"/>
  <c r="S95" i="11"/>
  <c r="Q95" i="11"/>
  <c r="O95" i="11"/>
  <c r="M95" i="11"/>
  <c r="K95" i="11"/>
  <c r="X94" i="11"/>
  <c r="W94" i="11"/>
  <c r="V94" i="11"/>
  <c r="U94" i="11"/>
  <c r="T94" i="11"/>
  <c r="S94" i="11"/>
  <c r="Q94" i="11"/>
  <c r="O94" i="11"/>
  <c r="M94" i="11"/>
  <c r="K94" i="11"/>
  <c r="X93" i="11"/>
  <c r="W93" i="11"/>
  <c r="V93" i="11"/>
  <c r="U93" i="11"/>
  <c r="T93" i="11"/>
  <c r="S93" i="11"/>
  <c r="Q93" i="11"/>
  <c r="O93" i="11"/>
  <c r="M93" i="11"/>
  <c r="K93" i="11"/>
  <c r="X92" i="11"/>
  <c r="W92" i="11"/>
  <c r="V92" i="11"/>
  <c r="U92" i="11"/>
  <c r="T92" i="11"/>
  <c r="S92" i="11"/>
  <c r="Q92" i="11"/>
  <c r="O92" i="11"/>
  <c r="M92" i="11"/>
  <c r="K92" i="11"/>
  <c r="X91" i="11"/>
  <c r="W91" i="11"/>
  <c r="V91" i="11"/>
  <c r="U91" i="11"/>
  <c r="T91" i="11"/>
  <c r="S91" i="11"/>
  <c r="Q91" i="11"/>
  <c r="O91" i="11"/>
  <c r="M91" i="11"/>
  <c r="K91" i="11"/>
  <c r="X90" i="11"/>
  <c r="W90" i="11"/>
  <c r="V90" i="11"/>
  <c r="U90" i="11"/>
  <c r="T90" i="11"/>
  <c r="S90" i="11"/>
  <c r="Q90" i="11"/>
  <c r="O90" i="11"/>
  <c r="M90" i="11"/>
  <c r="K90" i="11"/>
  <c r="X89" i="11"/>
  <c r="W89" i="11"/>
  <c r="V89" i="11"/>
  <c r="U89" i="11"/>
  <c r="T89" i="11"/>
  <c r="S89" i="11"/>
  <c r="Q89" i="11"/>
  <c r="O89" i="11"/>
  <c r="M89" i="11"/>
  <c r="K89" i="11"/>
  <c r="X88" i="11"/>
  <c r="W88" i="11"/>
  <c r="V88" i="11"/>
  <c r="U88" i="11"/>
  <c r="T88" i="11"/>
  <c r="S88" i="11"/>
  <c r="Q88" i="11"/>
  <c r="O88" i="11"/>
  <c r="M88" i="11"/>
  <c r="K88" i="11"/>
  <c r="X87" i="11"/>
  <c r="W87" i="11"/>
  <c r="V87" i="11"/>
  <c r="U87" i="11"/>
  <c r="T87" i="11"/>
  <c r="S87" i="11"/>
  <c r="Q87" i="11"/>
  <c r="O87" i="11"/>
  <c r="M87" i="11"/>
  <c r="K87" i="11"/>
  <c r="X86" i="11"/>
  <c r="W86" i="11"/>
  <c r="V86" i="11"/>
  <c r="U86" i="11"/>
  <c r="T86" i="11"/>
  <c r="S86" i="11"/>
  <c r="Q86" i="11"/>
  <c r="O86" i="11"/>
  <c r="M86" i="11"/>
  <c r="K86" i="11"/>
  <c r="X85" i="11"/>
  <c r="W85" i="11"/>
  <c r="V85" i="11"/>
  <c r="U85" i="11"/>
  <c r="T85" i="11"/>
  <c r="S85" i="11"/>
  <c r="Q85" i="11"/>
  <c r="O85" i="11"/>
  <c r="M85" i="11"/>
  <c r="K85" i="11"/>
  <c r="X84" i="11"/>
  <c r="W84" i="11"/>
  <c r="V84" i="11"/>
  <c r="U84" i="11"/>
  <c r="T84" i="11"/>
  <c r="S84" i="11"/>
  <c r="Q84" i="11"/>
  <c r="O84" i="11"/>
  <c r="M84" i="11"/>
  <c r="K84" i="11"/>
  <c r="X83" i="11"/>
  <c r="W83" i="11"/>
  <c r="V83" i="11"/>
  <c r="U83" i="11"/>
  <c r="T83" i="11"/>
  <c r="S83" i="11"/>
  <c r="Q83" i="11"/>
  <c r="O83" i="11"/>
  <c r="M83" i="11"/>
  <c r="K83" i="11"/>
  <c r="X82" i="11"/>
  <c r="W82" i="11"/>
  <c r="V82" i="11"/>
  <c r="U82" i="11"/>
  <c r="T82" i="11"/>
  <c r="S82" i="11"/>
  <c r="Q82" i="11"/>
  <c r="O82" i="11"/>
  <c r="M82" i="11"/>
  <c r="K82" i="11"/>
  <c r="X81" i="11"/>
  <c r="W81" i="11"/>
  <c r="V81" i="11"/>
  <c r="U81" i="11"/>
  <c r="T81" i="11"/>
  <c r="S81" i="11"/>
  <c r="Q81" i="11"/>
  <c r="O81" i="11"/>
  <c r="M81" i="11"/>
  <c r="K81" i="11"/>
  <c r="X80" i="11"/>
  <c r="W80" i="11"/>
  <c r="V80" i="11"/>
  <c r="U80" i="11"/>
  <c r="T80" i="11"/>
  <c r="S80" i="11"/>
  <c r="Q80" i="11"/>
  <c r="O80" i="11"/>
  <c r="M80" i="11"/>
  <c r="K80" i="11"/>
  <c r="X79" i="11"/>
  <c r="W79" i="11"/>
  <c r="V79" i="11"/>
  <c r="U79" i="11"/>
  <c r="T79" i="11"/>
  <c r="S79" i="11"/>
  <c r="Q79" i="11"/>
  <c r="O79" i="11"/>
  <c r="M79" i="11"/>
  <c r="K79" i="11"/>
  <c r="X78" i="11"/>
  <c r="W78" i="11"/>
  <c r="V78" i="11"/>
  <c r="U78" i="11"/>
  <c r="T78" i="11"/>
  <c r="S78" i="11"/>
  <c r="Q78" i="11"/>
  <c r="O78" i="11"/>
  <c r="M78" i="11"/>
  <c r="K78" i="11"/>
  <c r="X77" i="11"/>
  <c r="W77" i="11"/>
  <c r="V77" i="11"/>
  <c r="U77" i="11"/>
  <c r="T77" i="11"/>
  <c r="S77" i="11"/>
  <c r="Q77" i="11"/>
  <c r="O77" i="11"/>
  <c r="M77" i="11"/>
  <c r="K77" i="11"/>
  <c r="X76" i="11"/>
  <c r="W76" i="11"/>
  <c r="V76" i="11"/>
  <c r="U76" i="11"/>
  <c r="T76" i="11"/>
  <c r="S76" i="11"/>
  <c r="Q76" i="11"/>
  <c r="O76" i="11"/>
  <c r="M76" i="11"/>
  <c r="K76" i="11"/>
  <c r="X75" i="11"/>
  <c r="W75" i="11"/>
  <c r="V75" i="11"/>
  <c r="U75" i="11"/>
  <c r="T75" i="11"/>
  <c r="S75" i="11"/>
  <c r="Q75" i="11"/>
  <c r="O75" i="11"/>
  <c r="M75" i="11"/>
  <c r="K75" i="11"/>
  <c r="X74" i="11"/>
  <c r="W74" i="11"/>
  <c r="V74" i="11"/>
  <c r="U74" i="11"/>
  <c r="T74" i="11"/>
  <c r="S74" i="11"/>
  <c r="Q74" i="11"/>
  <c r="O74" i="11"/>
  <c r="M74" i="11"/>
  <c r="K74" i="11"/>
  <c r="X73" i="11"/>
  <c r="W73" i="11"/>
  <c r="V73" i="11"/>
  <c r="U73" i="11"/>
  <c r="T73" i="11"/>
  <c r="S73" i="11"/>
  <c r="Q73" i="11"/>
  <c r="O73" i="11"/>
  <c r="M73" i="11"/>
  <c r="K73" i="11"/>
  <c r="X72" i="11"/>
  <c r="W72" i="11"/>
  <c r="V72" i="11"/>
  <c r="U72" i="11"/>
  <c r="T72" i="11"/>
  <c r="S72" i="11"/>
  <c r="Q72" i="11"/>
  <c r="O72" i="11"/>
  <c r="M72" i="11"/>
  <c r="K72" i="11"/>
  <c r="X71" i="11"/>
  <c r="W71" i="11"/>
  <c r="V71" i="11"/>
  <c r="U71" i="11"/>
  <c r="T71" i="11"/>
  <c r="S71" i="11"/>
  <c r="Q71" i="11"/>
  <c r="O71" i="11"/>
  <c r="M71" i="11"/>
  <c r="K71" i="11"/>
  <c r="X70" i="11"/>
  <c r="W70" i="11"/>
  <c r="V70" i="11"/>
  <c r="U70" i="11"/>
  <c r="T70" i="11"/>
  <c r="S70" i="11"/>
  <c r="Q70" i="11"/>
  <c r="O70" i="11"/>
  <c r="M70" i="11"/>
  <c r="K70" i="11"/>
  <c r="X69" i="11"/>
  <c r="W69" i="11"/>
  <c r="V69" i="11"/>
  <c r="U69" i="11"/>
  <c r="T69" i="11"/>
  <c r="S69" i="11"/>
  <c r="Q69" i="11"/>
  <c r="O69" i="11"/>
  <c r="M69" i="11"/>
  <c r="K69" i="11"/>
  <c r="X68" i="11"/>
  <c r="W68" i="11"/>
  <c r="V68" i="11"/>
  <c r="U68" i="11"/>
  <c r="T68" i="11"/>
  <c r="S68" i="11"/>
  <c r="Q68" i="11"/>
  <c r="O68" i="11"/>
  <c r="M68" i="11"/>
  <c r="K68" i="11"/>
  <c r="X67" i="11"/>
  <c r="W67" i="11"/>
  <c r="V67" i="11"/>
  <c r="U67" i="11"/>
  <c r="T67" i="11"/>
  <c r="S67" i="11"/>
  <c r="Q67" i="11"/>
  <c r="O67" i="11"/>
  <c r="M67" i="11"/>
  <c r="K67" i="11"/>
  <c r="X66" i="11"/>
  <c r="W66" i="11"/>
  <c r="V66" i="11"/>
  <c r="U66" i="11"/>
  <c r="T66" i="11"/>
  <c r="S66" i="11"/>
  <c r="Q66" i="11"/>
  <c r="O66" i="11"/>
  <c r="M66" i="11"/>
  <c r="K66" i="11"/>
  <c r="X65" i="11"/>
  <c r="W65" i="11"/>
  <c r="V65" i="11"/>
  <c r="U65" i="11"/>
  <c r="T65" i="11"/>
  <c r="S65" i="11"/>
  <c r="Q65" i="11"/>
  <c r="O65" i="11"/>
  <c r="M65" i="11"/>
  <c r="K65" i="11"/>
  <c r="X64" i="11"/>
  <c r="W64" i="11"/>
  <c r="V64" i="11"/>
  <c r="U64" i="11"/>
  <c r="T64" i="11"/>
  <c r="S64" i="11"/>
  <c r="Q64" i="11"/>
  <c r="O64" i="11"/>
  <c r="M64" i="11"/>
  <c r="K64" i="11"/>
  <c r="X63" i="11"/>
  <c r="W63" i="11"/>
  <c r="V63" i="11"/>
  <c r="U63" i="11"/>
  <c r="T63" i="11"/>
  <c r="S63" i="11"/>
  <c r="Q63" i="11"/>
  <c r="O63" i="11"/>
  <c r="M63" i="11"/>
  <c r="K63" i="11"/>
  <c r="X62" i="11"/>
  <c r="W62" i="11"/>
  <c r="V62" i="11"/>
  <c r="U62" i="11"/>
  <c r="T62" i="11"/>
  <c r="S62" i="11"/>
  <c r="Q62" i="11"/>
  <c r="O62" i="11"/>
  <c r="M62" i="11"/>
  <c r="K62" i="11"/>
  <c r="X61" i="11"/>
  <c r="W61" i="11"/>
  <c r="V61" i="11"/>
  <c r="U61" i="11"/>
  <c r="T61" i="11"/>
  <c r="S61" i="11"/>
  <c r="Q61" i="11"/>
  <c r="O61" i="11"/>
  <c r="M61" i="11"/>
  <c r="K61" i="11"/>
  <c r="X60" i="11"/>
  <c r="W60" i="11"/>
  <c r="V60" i="11"/>
  <c r="U60" i="11"/>
  <c r="T60" i="11"/>
  <c r="S60" i="11"/>
  <c r="Q60" i="11"/>
  <c r="O60" i="11"/>
  <c r="M60" i="11"/>
  <c r="K60" i="11"/>
  <c r="X59" i="11"/>
  <c r="W59" i="11"/>
  <c r="V59" i="11"/>
  <c r="U59" i="11"/>
  <c r="T59" i="11"/>
  <c r="S59" i="11"/>
  <c r="Q59" i="11"/>
  <c r="O59" i="11"/>
  <c r="M59" i="11"/>
  <c r="K59" i="11"/>
  <c r="X58" i="11"/>
  <c r="W58" i="11"/>
  <c r="V58" i="11"/>
  <c r="U58" i="11"/>
  <c r="T58" i="11"/>
  <c r="S58" i="11"/>
  <c r="Q58" i="11"/>
  <c r="O58" i="11"/>
  <c r="M58" i="11"/>
  <c r="K58" i="11"/>
  <c r="X57" i="11"/>
  <c r="W57" i="11"/>
  <c r="V57" i="11"/>
  <c r="U57" i="11"/>
  <c r="T57" i="11"/>
  <c r="S57" i="11"/>
  <c r="Q57" i="11"/>
  <c r="O57" i="11"/>
  <c r="M57" i="11"/>
  <c r="K57" i="11"/>
  <c r="X56" i="11"/>
  <c r="W56" i="11"/>
  <c r="V56" i="11"/>
  <c r="U56" i="11"/>
  <c r="T56" i="11"/>
  <c r="S56" i="11"/>
  <c r="Q56" i="11"/>
  <c r="O56" i="11"/>
  <c r="M56" i="11"/>
  <c r="K56" i="11"/>
  <c r="X55" i="11"/>
  <c r="W55" i="11"/>
  <c r="V55" i="11"/>
  <c r="U55" i="11"/>
  <c r="T55" i="11"/>
  <c r="S55" i="11"/>
  <c r="Q55" i="11"/>
  <c r="O55" i="11"/>
  <c r="M55" i="11"/>
  <c r="K55" i="11"/>
  <c r="X54" i="11"/>
  <c r="W54" i="11"/>
  <c r="V54" i="11"/>
  <c r="U54" i="11"/>
  <c r="T54" i="11"/>
  <c r="S54" i="11"/>
  <c r="Q54" i="11"/>
  <c r="O54" i="11"/>
  <c r="M54" i="11"/>
  <c r="K54" i="11"/>
  <c r="X53" i="11"/>
  <c r="W53" i="11"/>
  <c r="V53" i="11"/>
  <c r="U53" i="11"/>
  <c r="T53" i="11"/>
  <c r="S53" i="11"/>
  <c r="Q53" i="11"/>
  <c r="O53" i="11"/>
  <c r="M53" i="11"/>
  <c r="K53" i="11"/>
  <c r="X52" i="11"/>
  <c r="W52" i="11"/>
  <c r="V52" i="11"/>
  <c r="U52" i="11"/>
  <c r="T52" i="11"/>
  <c r="S52" i="11"/>
  <c r="Q52" i="11"/>
  <c r="O52" i="11"/>
  <c r="M52" i="11"/>
  <c r="K52" i="11"/>
  <c r="X51" i="11"/>
  <c r="W51" i="11"/>
  <c r="V51" i="11"/>
  <c r="U51" i="11"/>
  <c r="T51" i="11"/>
  <c r="S51" i="11"/>
  <c r="Q51" i="11"/>
  <c r="O51" i="11"/>
  <c r="M51" i="11"/>
  <c r="K51" i="11"/>
  <c r="X50" i="11"/>
  <c r="W50" i="11"/>
  <c r="V50" i="11"/>
  <c r="U50" i="11"/>
  <c r="T50" i="11"/>
  <c r="S50" i="11"/>
  <c r="Q50" i="11"/>
  <c r="O50" i="11"/>
  <c r="M50" i="11"/>
  <c r="K50" i="11"/>
  <c r="X49" i="11"/>
  <c r="W49" i="11"/>
  <c r="V49" i="11"/>
  <c r="U49" i="11"/>
  <c r="T49" i="11"/>
  <c r="S49" i="11"/>
  <c r="Q49" i="11"/>
  <c r="O49" i="11"/>
  <c r="M49" i="11"/>
  <c r="K49" i="11"/>
  <c r="X48" i="11"/>
  <c r="W48" i="11"/>
  <c r="V48" i="11"/>
  <c r="U48" i="11"/>
  <c r="T48" i="11"/>
  <c r="S48" i="11"/>
  <c r="Q48" i="11"/>
  <c r="O48" i="11"/>
  <c r="M48" i="11"/>
  <c r="K48" i="11"/>
  <c r="X47" i="11"/>
  <c r="W47" i="11"/>
  <c r="V47" i="11"/>
  <c r="U47" i="11"/>
  <c r="T47" i="11"/>
  <c r="S47" i="11"/>
  <c r="Q47" i="11"/>
  <c r="O47" i="11"/>
  <c r="M47" i="11"/>
  <c r="K47" i="11"/>
  <c r="X46" i="11"/>
  <c r="W46" i="11"/>
  <c r="V46" i="11"/>
  <c r="U46" i="11"/>
  <c r="T46" i="11"/>
  <c r="S46" i="11"/>
  <c r="Q46" i="11"/>
  <c r="O46" i="11"/>
  <c r="M46" i="11"/>
  <c r="K46" i="11"/>
  <c r="X45" i="11"/>
  <c r="W45" i="11"/>
  <c r="V45" i="11"/>
  <c r="U45" i="11"/>
  <c r="T45" i="11"/>
  <c r="S45" i="11"/>
  <c r="Q45" i="11"/>
  <c r="O45" i="11"/>
  <c r="M45" i="11"/>
  <c r="K45" i="11"/>
  <c r="X44" i="11"/>
  <c r="W44" i="11"/>
  <c r="V44" i="11"/>
  <c r="U44" i="11"/>
  <c r="T44" i="11"/>
  <c r="S44" i="11"/>
  <c r="Q44" i="11"/>
  <c r="O44" i="11"/>
  <c r="M44" i="11"/>
  <c r="K44" i="11"/>
  <c r="X43" i="11"/>
  <c r="W43" i="11"/>
  <c r="V43" i="11"/>
  <c r="U43" i="11"/>
  <c r="T43" i="11"/>
  <c r="S43" i="11"/>
  <c r="Q43" i="11"/>
  <c r="O43" i="11"/>
  <c r="M43" i="11"/>
  <c r="K43" i="11"/>
  <c r="X42" i="11"/>
  <c r="W42" i="11"/>
  <c r="V42" i="11"/>
  <c r="U42" i="11"/>
  <c r="T42" i="11"/>
  <c r="S42" i="11"/>
  <c r="Q42" i="11"/>
  <c r="O42" i="11"/>
  <c r="M42" i="11"/>
  <c r="K42" i="11"/>
  <c r="X41" i="11"/>
  <c r="W41" i="11"/>
  <c r="V41" i="11"/>
  <c r="U41" i="11"/>
  <c r="T41" i="11"/>
  <c r="S41" i="11"/>
  <c r="Q41" i="11"/>
  <c r="O41" i="11"/>
  <c r="M41" i="11"/>
  <c r="K41" i="11"/>
  <c r="X40" i="11"/>
  <c r="W40" i="11"/>
  <c r="V40" i="11"/>
  <c r="U40" i="11"/>
  <c r="T40" i="11"/>
  <c r="S40" i="11"/>
  <c r="Q40" i="11"/>
  <c r="O40" i="11"/>
  <c r="M40" i="11"/>
  <c r="K40" i="11"/>
  <c r="X39" i="11"/>
  <c r="W39" i="11"/>
  <c r="V39" i="11"/>
  <c r="U39" i="11"/>
  <c r="T39" i="11"/>
  <c r="S39" i="11"/>
  <c r="Q39" i="11"/>
  <c r="O39" i="11"/>
  <c r="M39" i="11"/>
  <c r="K39" i="11"/>
  <c r="X38" i="11"/>
  <c r="W38" i="11"/>
  <c r="V38" i="11"/>
  <c r="U38" i="11"/>
  <c r="T38" i="11"/>
  <c r="S38" i="11"/>
  <c r="Q38" i="11"/>
  <c r="O38" i="11"/>
  <c r="M38" i="11"/>
  <c r="K38" i="11"/>
  <c r="X37" i="11"/>
  <c r="W37" i="11"/>
  <c r="V37" i="11"/>
  <c r="U37" i="11"/>
  <c r="T37" i="11"/>
  <c r="S37" i="11"/>
  <c r="Q37" i="11"/>
  <c r="O37" i="11"/>
  <c r="M37" i="11"/>
  <c r="K37" i="11"/>
  <c r="X36" i="11"/>
  <c r="W36" i="11"/>
  <c r="V36" i="11"/>
  <c r="U36" i="11"/>
  <c r="T36" i="11"/>
  <c r="S36" i="11"/>
  <c r="Q36" i="11"/>
  <c r="O36" i="11"/>
  <c r="M36" i="11"/>
  <c r="K36" i="11"/>
  <c r="X35" i="11"/>
  <c r="W35" i="11"/>
  <c r="V35" i="11"/>
  <c r="U35" i="11"/>
  <c r="T35" i="11"/>
  <c r="S35" i="11"/>
  <c r="Q35" i="11"/>
  <c r="O35" i="11"/>
  <c r="M35" i="11"/>
  <c r="K35" i="11"/>
  <c r="X34" i="11"/>
  <c r="W34" i="11"/>
  <c r="V34" i="11"/>
  <c r="U34" i="11"/>
  <c r="T34" i="11"/>
  <c r="S34" i="11"/>
  <c r="Q34" i="11"/>
  <c r="O34" i="11"/>
  <c r="M34" i="11"/>
  <c r="K34" i="11"/>
  <c r="X33" i="11"/>
  <c r="W33" i="11"/>
  <c r="V33" i="11"/>
  <c r="U33" i="11"/>
  <c r="T33" i="11"/>
  <c r="S33" i="11"/>
  <c r="Q33" i="11"/>
  <c r="O33" i="11"/>
  <c r="M33" i="11"/>
  <c r="K33" i="11"/>
  <c r="X32" i="11"/>
  <c r="W32" i="11"/>
  <c r="V32" i="11"/>
  <c r="U32" i="11"/>
  <c r="T32" i="11"/>
  <c r="S32" i="11"/>
  <c r="Q32" i="11"/>
  <c r="O32" i="11"/>
  <c r="M32" i="11"/>
  <c r="K32" i="11"/>
  <c r="X31" i="11"/>
  <c r="W31" i="11"/>
  <c r="V31" i="11"/>
  <c r="U31" i="11"/>
  <c r="T31" i="11"/>
  <c r="S31" i="11"/>
  <c r="Q31" i="11"/>
  <c r="O31" i="11"/>
  <c r="M31" i="11"/>
  <c r="K31" i="11"/>
  <c r="X30" i="11"/>
  <c r="W30" i="11"/>
  <c r="V30" i="11"/>
  <c r="U30" i="11"/>
  <c r="T30" i="11"/>
  <c r="S30" i="11"/>
  <c r="Q30" i="11"/>
  <c r="O30" i="11"/>
  <c r="M30" i="11"/>
  <c r="K30" i="11"/>
  <c r="X29" i="11"/>
  <c r="W29" i="11"/>
  <c r="V29" i="11"/>
  <c r="U29" i="11"/>
  <c r="T29" i="11"/>
  <c r="S29" i="11"/>
  <c r="Q29" i="11"/>
  <c r="O29" i="11"/>
  <c r="M29" i="11"/>
  <c r="K29" i="11"/>
  <c r="X28" i="11"/>
  <c r="W28" i="11"/>
  <c r="V28" i="11"/>
  <c r="U28" i="11"/>
  <c r="T28" i="11"/>
  <c r="S28" i="11"/>
  <c r="Q28" i="11"/>
  <c r="O28" i="11"/>
  <c r="M28" i="11"/>
  <c r="K28" i="11"/>
  <c r="X27" i="11"/>
  <c r="W27" i="11"/>
  <c r="V27" i="11"/>
  <c r="U27" i="11"/>
  <c r="T27" i="11"/>
  <c r="S27" i="11"/>
  <c r="Q27" i="11"/>
  <c r="O27" i="11"/>
  <c r="M27" i="11"/>
  <c r="K27" i="11"/>
  <c r="X26" i="11"/>
  <c r="W26" i="11"/>
  <c r="V26" i="11"/>
  <c r="U26" i="11"/>
  <c r="T26" i="11"/>
  <c r="S26" i="11"/>
  <c r="Q26" i="11"/>
  <c r="O26" i="11"/>
  <c r="M26" i="11"/>
  <c r="K26" i="11"/>
  <c r="X25" i="11"/>
  <c r="W25" i="11"/>
  <c r="V25" i="11"/>
  <c r="U25" i="11"/>
  <c r="T25" i="11"/>
  <c r="S25" i="11"/>
  <c r="Q25" i="11"/>
  <c r="O25" i="11"/>
  <c r="M25" i="11"/>
  <c r="K25" i="11"/>
  <c r="X24" i="11"/>
  <c r="W24" i="11"/>
  <c r="V24" i="11"/>
  <c r="U24" i="11"/>
  <c r="T24" i="11"/>
  <c r="S24" i="11"/>
  <c r="Q24" i="11"/>
  <c r="O24" i="11"/>
  <c r="M24" i="11"/>
  <c r="K24" i="11"/>
  <c r="X23" i="11"/>
  <c r="W23" i="11"/>
  <c r="V23" i="11"/>
  <c r="U23" i="11"/>
  <c r="T23" i="11"/>
  <c r="S23" i="11"/>
  <c r="Q23" i="11"/>
  <c r="O23" i="11"/>
  <c r="M23" i="11"/>
  <c r="K23" i="11"/>
  <c r="X22" i="11"/>
  <c r="W22" i="11"/>
  <c r="V22" i="11"/>
  <c r="U22" i="11"/>
  <c r="T22" i="11"/>
  <c r="S22" i="11"/>
  <c r="Q22" i="11"/>
  <c r="O22" i="11"/>
  <c r="M22" i="11"/>
  <c r="K22" i="11"/>
  <c r="X21" i="11"/>
  <c r="W21" i="11"/>
  <c r="V21" i="11"/>
  <c r="U21" i="11"/>
  <c r="T21" i="11"/>
  <c r="S21" i="11"/>
  <c r="Q21" i="11"/>
  <c r="O21" i="11"/>
  <c r="M21" i="11"/>
  <c r="K21" i="11"/>
  <c r="X20" i="11"/>
  <c r="W20" i="11"/>
  <c r="V20" i="11"/>
  <c r="U20" i="11"/>
  <c r="T20" i="11"/>
  <c r="S20" i="11"/>
  <c r="Q20" i="11"/>
  <c r="O20" i="11"/>
  <c r="M20" i="11"/>
  <c r="K20" i="11"/>
  <c r="X19" i="11"/>
  <c r="W19" i="11"/>
  <c r="V19" i="11"/>
  <c r="U19" i="11"/>
  <c r="T19" i="11"/>
  <c r="S19" i="11"/>
  <c r="Q19" i="11"/>
  <c r="O19" i="11"/>
  <c r="M19" i="11"/>
  <c r="K19" i="11"/>
  <c r="X18" i="11"/>
  <c r="W18" i="11"/>
  <c r="V18" i="11"/>
  <c r="U18" i="11"/>
  <c r="T18" i="11"/>
  <c r="S18" i="11"/>
  <c r="Q18" i="11"/>
  <c r="O18" i="11"/>
  <c r="M18" i="11"/>
  <c r="K18" i="11"/>
  <c r="X17" i="11"/>
  <c r="W17" i="11"/>
  <c r="V17" i="11"/>
  <c r="U17" i="11"/>
  <c r="T17" i="11"/>
  <c r="S17" i="11"/>
  <c r="Q17" i="11"/>
  <c r="O17" i="11"/>
  <c r="M17" i="11"/>
  <c r="K17" i="11"/>
  <c r="X16" i="11"/>
  <c r="W16" i="11"/>
  <c r="V16" i="11"/>
  <c r="U16" i="11"/>
  <c r="T16" i="11"/>
  <c r="S16" i="11"/>
  <c r="Q16" i="11"/>
  <c r="O16" i="11"/>
  <c r="M16" i="11"/>
  <c r="K16" i="11"/>
  <c r="X15" i="11"/>
  <c r="W15" i="11"/>
  <c r="V15" i="11"/>
  <c r="U15" i="11"/>
  <c r="T15" i="11"/>
  <c r="S15" i="11"/>
  <c r="Q15" i="11"/>
  <c r="O15" i="11"/>
  <c r="M15" i="11"/>
  <c r="K15" i="11"/>
  <c r="X14" i="11"/>
  <c r="W14" i="11"/>
  <c r="V14" i="11"/>
  <c r="U14" i="11"/>
  <c r="T14" i="11"/>
  <c r="S14" i="11"/>
  <c r="Q14" i="11"/>
  <c r="O14" i="11"/>
  <c r="M14" i="11"/>
  <c r="K14" i="11"/>
  <c r="X13" i="11"/>
  <c r="W13" i="11"/>
  <c r="V13" i="11"/>
  <c r="U13" i="11"/>
  <c r="T13" i="11"/>
  <c r="S13" i="11"/>
  <c r="Q13" i="11"/>
  <c r="O13" i="11"/>
  <c r="M13" i="11"/>
  <c r="K13" i="11"/>
  <c r="X12" i="11"/>
  <c r="W12" i="11"/>
  <c r="V12" i="11"/>
  <c r="U12" i="11"/>
  <c r="T12" i="11"/>
  <c r="S12" i="11"/>
  <c r="Q12" i="11"/>
  <c r="O12" i="11"/>
  <c r="M12" i="11"/>
  <c r="K12" i="11"/>
  <c r="X11" i="11"/>
  <c r="W11" i="11"/>
  <c r="V11" i="11"/>
  <c r="U11" i="11"/>
  <c r="T11" i="11"/>
  <c r="S11" i="11"/>
  <c r="Q11" i="11"/>
  <c r="O11" i="11"/>
  <c r="M11" i="11"/>
  <c r="K11" i="11"/>
  <c r="X10" i="11"/>
  <c r="W10" i="11"/>
  <c r="V10" i="11"/>
  <c r="U10" i="11"/>
  <c r="T10" i="11"/>
  <c r="S10" i="11"/>
  <c r="Q10" i="11"/>
  <c r="O10" i="11"/>
  <c r="M10" i="11"/>
  <c r="K10" i="11"/>
  <c r="X9" i="11"/>
  <c r="W9" i="11"/>
  <c r="V9" i="11"/>
  <c r="U9" i="11"/>
  <c r="T9" i="11"/>
  <c r="S9" i="11"/>
  <c r="Q9" i="11"/>
  <c r="O9" i="11"/>
  <c r="M9" i="11"/>
  <c r="K9" i="11"/>
  <c r="X8" i="11"/>
  <c r="W8" i="11"/>
  <c r="V8" i="11"/>
  <c r="U8" i="11"/>
  <c r="T8" i="11"/>
  <c r="S8" i="11"/>
  <c r="Q8" i="11"/>
  <c r="O8" i="11"/>
  <c r="M8" i="11"/>
  <c r="K8" i="11"/>
  <c r="X7" i="11"/>
  <c r="W7" i="11"/>
  <c r="V7" i="11"/>
  <c r="U7" i="11"/>
  <c r="T7" i="11"/>
  <c r="S7" i="11"/>
  <c r="Q7" i="11"/>
  <c r="O7" i="11"/>
  <c r="M7" i="11"/>
  <c r="K7" i="11"/>
  <c r="X251" i="10" l="1"/>
  <c r="W251" i="10"/>
  <c r="V251" i="10"/>
  <c r="U251" i="10"/>
  <c r="T251" i="10"/>
  <c r="S251" i="10"/>
  <c r="Q251" i="10"/>
  <c r="O251" i="10"/>
  <c r="M251" i="10"/>
  <c r="K251" i="10"/>
  <c r="X250" i="10"/>
  <c r="W250" i="10"/>
  <c r="V250" i="10"/>
  <c r="U250" i="10"/>
  <c r="T250" i="10"/>
  <c r="S250" i="10"/>
  <c r="Q250" i="10"/>
  <c r="O250" i="10"/>
  <c r="M250" i="10"/>
  <c r="K250" i="10"/>
  <c r="X249" i="10"/>
  <c r="W249" i="10"/>
  <c r="V249" i="10"/>
  <c r="U249" i="10"/>
  <c r="T249" i="10"/>
  <c r="S249" i="10"/>
  <c r="Q249" i="10"/>
  <c r="O249" i="10"/>
  <c r="M249" i="10"/>
  <c r="K249" i="10"/>
  <c r="X248" i="10"/>
  <c r="W248" i="10"/>
  <c r="V248" i="10"/>
  <c r="U248" i="10"/>
  <c r="T248" i="10"/>
  <c r="S248" i="10"/>
  <c r="Q248" i="10"/>
  <c r="O248" i="10"/>
  <c r="M248" i="10"/>
  <c r="K248" i="10"/>
  <c r="X247" i="10"/>
  <c r="W247" i="10"/>
  <c r="V247" i="10"/>
  <c r="U247" i="10"/>
  <c r="T247" i="10"/>
  <c r="S247" i="10"/>
  <c r="Q247" i="10"/>
  <c r="O247" i="10"/>
  <c r="M247" i="10"/>
  <c r="K247" i="10"/>
  <c r="X246" i="10"/>
  <c r="W246" i="10"/>
  <c r="V246" i="10"/>
  <c r="U246" i="10"/>
  <c r="T246" i="10"/>
  <c r="S246" i="10"/>
  <c r="Q246" i="10"/>
  <c r="O246" i="10"/>
  <c r="M246" i="10"/>
  <c r="K246" i="10"/>
  <c r="X245" i="10"/>
  <c r="W245" i="10"/>
  <c r="V245" i="10"/>
  <c r="U245" i="10"/>
  <c r="T245" i="10"/>
  <c r="S245" i="10"/>
  <c r="Q245" i="10"/>
  <c r="O245" i="10"/>
  <c r="M245" i="10"/>
  <c r="K245" i="10"/>
  <c r="X244" i="10"/>
  <c r="W244" i="10"/>
  <c r="V244" i="10"/>
  <c r="U244" i="10"/>
  <c r="T244" i="10"/>
  <c r="S244" i="10"/>
  <c r="Q244" i="10"/>
  <c r="O244" i="10"/>
  <c r="M244" i="10"/>
  <c r="K244" i="10"/>
  <c r="X243" i="10"/>
  <c r="W243" i="10"/>
  <c r="V243" i="10"/>
  <c r="U243" i="10"/>
  <c r="T243" i="10"/>
  <c r="S243" i="10"/>
  <c r="Q243" i="10"/>
  <c r="O243" i="10"/>
  <c r="M243" i="10"/>
  <c r="K243" i="10"/>
  <c r="X242" i="10"/>
  <c r="W242" i="10"/>
  <c r="V242" i="10"/>
  <c r="U242" i="10"/>
  <c r="T242" i="10"/>
  <c r="S242" i="10"/>
  <c r="Q242" i="10"/>
  <c r="O242" i="10"/>
  <c r="M242" i="10"/>
  <c r="K242" i="10"/>
  <c r="X241" i="10"/>
  <c r="W241" i="10"/>
  <c r="V241" i="10"/>
  <c r="U241" i="10"/>
  <c r="T241" i="10"/>
  <c r="S241" i="10"/>
  <c r="Q241" i="10"/>
  <c r="O241" i="10"/>
  <c r="M241" i="10"/>
  <c r="K241" i="10"/>
  <c r="X240" i="10"/>
  <c r="W240" i="10"/>
  <c r="V240" i="10"/>
  <c r="U240" i="10"/>
  <c r="T240" i="10"/>
  <c r="S240" i="10"/>
  <c r="Q240" i="10"/>
  <c r="O240" i="10"/>
  <c r="M240" i="10"/>
  <c r="K240" i="10"/>
  <c r="X239" i="10"/>
  <c r="W239" i="10"/>
  <c r="V239" i="10"/>
  <c r="U239" i="10"/>
  <c r="T239" i="10"/>
  <c r="S239" i="10"/>
  <c r="Q239" i="10"/>
  <c r="O239" i="10"/>
  <c r="M239" i="10"/>
  <c r="K239" i="10"/>
  <c r="X238" i="10"/>
  <c r="W238" i="10"/>
  <c r="V238" i="10"/>
  <c r="U238" i="10"/>
  <c r="T238" i="10"/>
  <c r="S238" i="10"/>
  <c r="Q238" i="10"/>
  <c r="O238" i="10"/>
  <c r="M238" i="10"/>
  <c r="K238" i="10"/>
  <c r="X237" i="10"/>
  <c r="W237" i="10"/>
  <c r="V237" i="10"/>
  <c r="U237" i="10"/>
  <c r="T237" i="10"/>
  <c r="S237" i="10"/>
  <c r="Q237" i="10"/>
  <c r="O237" i="10"/>
  <c r="M237" i="10"/>
  <c r="K237" i="10"/>
  <c r="X236" i="10"/>
  <c r="W236" i="10"/>
  <c r="V236" i="10"/>
  <c r="U236" i="10"/>
  <c r="T236" i="10"/>
  <c r="S236" i="10"/>
  <c r="Q236" i="10"/>
  <c r="O236" i="10"/>
  <c r="M236" i="10"/>
  <c r="K236" i="10"/>
  <c r="X235" i="10"/>
  <c r="W235" i="10"/>
  <c r="V235" i="10"/>
  <c r="U235" i="10"/>
  <c r="T235" i="10"/>
  <c r="S235" i="10"/>
  <c r="Q235" i="10"/>
  <c r="O235" i="10"/>
  <c r="M235" i="10"/>
  <c r="K235" i="10"/>
  <c r="X234" i="10"/>
  <c r="W234" i="10"/>
  <c r="V234" i="10"/>
  <c r="U234" i="10"/>
  <c r="T234" i="10"/>
  <c r="S234" i="10"/>
  <c r="Q234" i="10"/>
  <c r="O234" i="10"/>
  <c r="M234" i="10"/>
  <c r="K234" i="10"/>
  <c r="X233" i="10"/>
  <c r="W233" i="10"/>
  <c r="V233" i="10"/>
  <c r="U233" i="10"/>
  <c r="T233" i="10"/>
  <c r="S233" i="10"/>
  <c r="Q233" i="10"/>
  <c r="O233" i="10"/>
  <c r="M233" i="10"/>
  <c r="K233" i="10"/>
  <c r="X232" i="10"/>
  <c r="W232" i="10"/>
  <c r="V232" i="10"/>
  <c r="U232" i="10"/>
  <c r="T232" i="10"/>
  <c r="S232" i="10"/>
  <c r="Q232" i="10"/>
  <c r="O232" i="10"/>
  <c r="M232" i="10"/>
  <c r="K232" i="10"/>
  <c r="X231" i="10"/>
  <c r="W231" i="10"/>
  <c r="V231" i="10"/>
  <c r="U231" i="10"/>
  <c r="T231" i="10"/>
  <c r="S231" i="10"/>
  <c r="Q231" i="10"/>
  <c r="O231" i="10"/>
  <c r="M231" i="10"/>
  <c r="K231" i="10"/>
  <c r="X230" i="10"/>
  <c r="W230" i="10"/>
  <c r="V230" i="10"/>
  <c r="U230" i="10"/>
  <c r="T230" i="10"/>
  <c r="S230" i="10"/>
  <c r="Q230" i="10"/>
  <c r="O230" i="10"/>
  <c r="M230" i="10"/>
  <c r="K230" i="10"/>
  <c r="X229" i="10"/>
  <c r="W229" i="10"/>
  <c r="V229" i="10"/>
  <c r="U229" i="10"/>
  <c r="T229" i="10"/>
  <c r="S229" i="10"/>
  <c r="Q229" i="10"/>
  <c r="O229" i="10"/>
  <c r="M229" i="10"/>
  <c r="K229" i="10"/>
  <c r="X228" i="10"/>
  <c r="W228" i="10"/>
  <c r="V228" i="10"/>
  <c r="U228" i="10"/>
  <c r="T228" i="10"/>
  <c r="S228" i="10"/>
  <c r="Q228" i="10"/>
  <c r="O228" i="10"/>
  <c r="M228" i="10"/>
  <c r="K228" i="10"/>
  <c r="X227" i="10"/>
  <c r="W227" i="10"/>
  <c r="V227" i="10"/>
  <c r="U227" i="10"/>
  <c r="T227" i="10"/>
  <c r="S227" i="10"/>
  <c r="Q227" i="10"/>
  <c r="O227" i="10"/>
  <c r="M227" i="10"/>
  <c r="K227" i="10"/>
  <c r="X226" i="10"/>
  <c r="W226" i="10"/>
  <c r="V226" i="10"/>
  <c r="U226" i="10"/>
  <c r="T226" i="10"/>
  <c r="S226" i="10"/>
  <c r="Q226" i="10"/>
  <c r="O226" i="10"/>
  <c r="M226" i="10"/>
  <c r="K226" i="10"/>
  <c r="X225" i="10"/>
  <c r="W225" i="10"/>
  <c r="V225" i="10"/>
  <c r="U225" i="10"/>
  <c r="T225" i="10"/>
  <c r="S225" i="10"/>
  <c r="Q225" i="10"/>
  <c r="O225" i="10"/>
  <c r="M225" i="10"/>
  <c r="K225" i="10"/>
  <c r="X224" i="10"/>
  <c r="W224" i="10"/>
  <c r="V224" i="10"/>
  <c r="U224" i="10"/>
  <c r="T224" i="10"/>
  <c r="S224" i="10"/>
  <c r="Q224" i="10"/>
  <c r="O224" i="10"/>
  <c r="M224" i="10"/>
  <c r="K224" i="10"/>
  <c r="X223" i="10"/>
  <c r="W223" i="10"/>
  <c r="V223" i="10"/>
  <c r="U223" i="10"/>
  <c r="T223" i="10"/>
  <c r="S223" i="10"/>
  <c r="Q223" i="10"/>
  <c r="O223" i="10"/>
  <c r="M223" i="10"/>
  <c r="K223" i="10"/>
  <c r="X222" i="10"/>
  <c r="W222" i="10"/>
  <c r="V222" i="10"/>
  <c r="U222" i="10"/>
  <c r="T222" i="10"/>
  <c r="S222" i="10"/>
  <c r="Q222" i="10"/>
  <c r="O222" i="10"/>
  <c r="M222" i="10"/>
  <c r="K222" i="10"/>
  <c r="X221" i="10"/>
  <c r="W221" i="10"/>
  <c r="V221" i="10"/>
  <c r="U221" i="10"/>
  <c r="T221" i="10"/>
  <c r="S221" i="10"/>
  <c r="Q221" i="10"/>
  <c r="O221" i="10"/>
  <c r="M221" i="10"/>
  <c r="K221" i="10"/>
  <c r="X220" i="10"/>
  <c r="W220" i="10"/>
  <c r="V220" i="10"/>
  <c r="U220" i="10"/>
  <c r="T220" i="10"/>
  <c r="S220" i="10"/>
  <c r="Q220" i="10"/>
  <c r="O220" i="10"/>
  <c r="M220" i="10"/>
  <c r="K220" i="10"/>
  <c r="X219" i="10"/>
  <c r="W219" i="10"/>
  <c r="V219" i="10"/>
  <c r="U219" i="10"/>
  <c r="T219" i="10"/>
  <c r="S219" i="10"/>
  <c r="Q219" i="10"/>
  <c r="O219" i="10"/>
  <c r="M219" i="10"/>
  <c r="K219" i="10"/>
  <c r="X218" i="10"/>
  <c r="W218" i="10"/>
  <c r="V218" i="10"/>
  <c r="U218" i="10"/>
  <c r="T218" i="10"/>
  <c r="S218" i="10"/>
  <c r="Q218" i="10"/>
  <c r="O218" i="10"/>
  <c r="M218" i="10"/>
  <c r="K218" i="10"/>
  <c r="X217" i="10"/>
  <c r="W217" i="10"/>
  <c r="V217" i="10"/>
  <c r="U217" i="10"/>
  <c r="T217" i="10"/>
  <c r="S217" i="10"/>
  <c r="Q217" i="10"/>
  <c r="O217" i="10"/>
  <c r="M217" i="10"/>
  <c r="K217" i="10"/>
  <c r="X216" i="10"/>
  <c r="W216" i="10"/>
  <c r="V216" i="10"/>
  <c r="U216" i="10"/>
  <c r="T216" i="10"/>
  <c r="S216" i="10"/>
  <c r="Q216" i="10"/>
  <c r="O216" i="10"/>
  <c r="M216" i="10"/>
  <c r="K216" i="10"/>
  <c r="X215" i="10"/>
  <c r="W215" i="10"/>
  <c r="V215" i="10"/>
  <c r="U215" i="10"/>
  <c r="T215" i="10"/>
  <c r="S215" i="10"/>
  <c r="Q215" i="10"/>
  <c r="O215" i="10"/>
  <c r="M215" i="10"/>
  <c r="K215" i="10"/>
  <c r="X214" i="10"/>
  <c r="W214" i="10"/>
  <c r="V214" i="10"/>
  <c r="U214" i="10"/>
  <c r="T214" i="10"/>
  <c r="S214" i="10"/>
  <c r="Q214" i="10"/>
  <c r="O214" i="10"/>
  <c r="M214" i="10"/>
  <c r="K214" i="10"/>
  <c r="X213" i="10"/>
  <c r="W213" i="10"/>
  <c r="V213" i="10"/>
  <c r="U213" i="10"/>
  <c r="T213" i="10"/>
  <c r="S213" i="10"/>
  <c r="Q213" i="10"/>
  <c r="O213" i="10"/>
  <c r="M213" i="10"/>
  <c r="K213" i="10"/>
  <c r="X212" i="10"/>
  <c r="W212" i="10"/>
  <c r="V212" i="10"/>
  <c r="U212" i="10"/>
  <c r="T212" i="10"/>
  <c r="S212" i="10"/>
  <c r="Q212" i="10"/>
  <c r="O212" i="10"/>
  <c r="M212" i="10"/>
  <c r="K212" i="10"/>
  <c r="X211" i="10"/>
  <c r="W211" i="10"/>
  <c r="V211" i="10"/>
  <c r="U211" i="10"/>
  <c r="T211" i="10"/>
  <c r="S211" i="10"/>
  <c r="Q211" i="10"/>
  <c r="O211" i="10"/>
  <c r="M211" i="10"/>
  <c r="K211" i="10"/>
  <c r="X210" i="10"/>
  <c r="W210" i="10"/>
  <c r="V210" i="10"/>
  <c r="U210" i="10"/>
  <c r="T210" i="10"/>
  <c r="S210" i="10"/>
  <c r="Q210" i="10"/>
  <c r="O210" i="10"/>
  <c r="M210" i="10"/>
  <c r="K210" i="10"/>
  <c r="X209" i="10"/>
  <c r="W209" i="10"/>
  <c r="V209" i="10"/>
  <c r="U209" i="10"/>
  <c r="T209" i="10"/>
  <c r="S209" i="10"/>
  <c r="Q209" i="10"/>
  <c r="O209" i="10"/>
  <c r="M209" i="10"/>
  <c r="K209" i="10"/>
  <c r="X208" i="10"/>
  <c r="W208" i="10"/>
  <c r="V208" i="10"/>
  <c r="U208" i="10"/>
  <c r="T208" i="10"/>
  <c r="S208" i="10"/>
  <c r="Q208" i="10"/>
  <c r="O208" i="10"/>
  <c r="M208" i="10"/>
  <c r="K208" i="10"/>
  <c r="X207" i="10"/>
  <c r="W207" i="10"/>
  <c r="V207" i="10"/>
  <c r="U207" i="10"/>
  <c r="T207" i="10"/>
  <c r="S207" i="10"/>
  <c r="Q207" i="10"/>
  <c r="O207" i="10"/>
  <c r="M207" i="10"/>
  <c r="K207" i="10"/>
  <c r="X206" i="10"/>
  <c r="W206" i="10"/>
  <c r="V206" i="10"/>
  <c r="U206" i="10"/>
  <c r="T206" i="10"/>
  <c r="S206" i="10"/>
  <c r="Q206" i="10"/>
  <c r="O206" i="10"/>
  <c r="M206" i="10"/>
  <c r="K206" i="10"/>
  <c r="X205" i="10"/>
  <c r="W205" i="10"/>
  <c r="V205" i="10"/>
  <c r="U205" i="10"/>
  <c r="T205" i="10"/>
  <c r="S205" i="10"/>
  <c r="Q205" i="10"/>
  <c r="O205" i="10"/>
  <c r="M205" i="10"/>
  <c r="K205" i="10"/>
  <c r="X204" i="10"/>
  <c r="W204" i="10"/>
  <c r="V204" i="10"/>
  <c r="U204" i="10"/>
  <c r="T204" i="10"/>
  <c r="S204" i="10"/>
  <c r="Q204" i="10"/>
  <c r="O204" i="10"/>
  <c r="M204" i="10"/>
  <c r="K204" i="10"/>
  <c r="X203" i="10"/>
  <c r="W203" i="10"/>
  <c r="V203" i="10"/>
  <c r="U203" i="10"/>
  <c r="T203" i="10"/>
  <c r="S203" i="10"/>
  <c r="Q203" i="10"/>
  <c r="O203" i="10"/>
  <c r="M203" i="10"/>
  <c r="K203" i="10"/>
  <c r="X202" i="10"/>
  <c r="W202" i="10"/>
  <c r="V202" i="10"/>
  <c r="U202" i="10"/>
  <c r="T202" i="10"/>
  <c r="S202" i="10"/>
  <c r="Q202" i="10"/>
  <c r="O202" i="10"/>
  <c r="M202" i="10"/>
  <c r="K202" i="10"/>
  <c r="X201" i="10"/>
  <c r="W201" i="10"/>
  <c r="V201" i="10"/>
  <c r="U201" i="10"/>
  <c r="T201" i="10"/>
  <c r="S201" i="10"/>
  <c r="Q201" i="10"/>
  <c r="O201" i="10"/>
  <c r="M201" i="10"/>
  <c r="K201" i="10"/>
  <c r="X200" i="10"/>
  <c r="W200" i="10"/>
  <c r="V200" i="10"/>
  <c r="U200" i="10"/>
  <c r="T200" i="10"/>
  <c r="S200" i="10"/>
  <c r="Q200" i="10"/>
  <c r="O200" i="10"/>
  <c r="M200" i="10"/>
  <c r="K200" i="10"/>
  <c r="X199" i="10"/>
  <c r="W199" i="10"/>
  <c r="V199" i="10"/>
  <c r="U199" i="10"/>
  <c r="T199" i="10"/>
  <c r="S199" i="10"/>
  <c r="Q199" i="10"/>
  <c r="O199" i="10"/>
  <c r="M199" i="10"/>
  <c r="K199" i="10"/>
  <c r="X198" i="10"/>
  <c r="W198" i="10"/>
  <c r="V198" i="10"/>
  <c r="U198" i="10"/>
  <c r="T198" i="10"/>
  <c r="S198" i="10"/>
  <c r="Q198" i="10"/>
  <c r="O198" i="10"/>
  <c r="M198" i="10"/>
  <c r="K198" i="10"/>
  <c r="X197" i="10"/>
  <c r="W197" i="10"/>
  <c r="V197" i="10"/>
  <c r="U197" i="10"/>
  <c r="T197" i="10"/>
  <c r="S197" i="10"/>
  <c r="Q197" i="10"/>
  <c r="O197" i="10"/>
  <c r="M197" i="10"/>
  <c r="K197" i="10"/>
  <c r="X196" i="10"/>
  <c r="W196" i="10"/>
  <c r="V196" i="10"/>
  <c r="U196" i="10"/>
  <c r="T196" i="10"/>
  <c r="S196" i="10"/>
  <c r="Q196" i="10"/>
  <c r="O196" i="10"/>
  <c r="M196" i="10"/>
  <c r="K196" i="10"/>
  <c r="X195" i="10"/>
  <c r="W195" i="10"/>
  <c r="V195" i="10"/>
  <c r="U195" i="10"/>
  <c r="T195" i="10"/>
  <c r="S195" i="10"/>
  <c r="Q195" i="10"/>
  <c r="O195" i="10"/>
  <c r="M195" i="10"/>
  <c r="K195" i="10"/>
  <c r="X194" i="10"/>
  <c r="W194" i="10"/>
  <c r="V194" i="10"/>
  <c r="U194" i="10"/>
  <c r="T194" i="10"/>
  <c r="S194" i="10"/>
  <c r="Q194" i="10"/>
  <c r="O194" i="10"/>
  <c r="M194" i="10"/>
  <c r="K194" i="10"/>
  <c r="X193" i="10"/>
  <c r="W193" i="10"/>
  <c r="V193" i="10"/>
  <c r="U193" i="10"/>
  <c r="T193" i="10"/>
  <c r="S193" i="10"/>
  <c r="Q193" i="10"/>
  <c r="O193" i="10"/>
  <c r="M193" i="10"/>
  <c r="K193" i="10"/>
  <c r="X192" i="10"/>
  <c r="W192" i="10"/>
  <c r="V192" i="10"/>
  <c r="U192" i="10"/>
  <c r="T192" i="10"/>
  <c r="S192" i="10"/>
  <c r="Q192" i="10"/>
  <c r="O192" i="10"/>
  <c r="M192" i="10"/>
  <c r="K192" i="10"/>
  <c r="X191" i="10"/>
  <c r="W191" i="10"/>
  <c r="V191" i="10"/>
  <c r="U191" i="10"/>
  <c r="T191" i="10"/>
  <c r="S191" i="10"/>
  <c r="Q191" i="10"/>
  <c r="O191" i="10"/>
  <c r="M191" i="10"/>
  <c r="K191" i="10"/>
  <c r="X190" i="10"/>
  <c r="W190" i="10"/>
  <c r="V190" i="10"/>
  <c r="U190" i="10"/>
  <c r="T190" i="10"/>
  <c r="S190" i="10"/>
  <c r="Q190" i="10"/>
  <c r="O190" i="10"/>
  <c r="M190" i="10"/>
  <c r="K190" i="10"/>
  <c r="X189" i="10"/>
  <c r="W189" i="10"/>
  <c r="V189" i="10"/>
  <c r="U189" i="10"/>
  <c r="T189" i="10"/>
  <c r="S189" i="10"/>
  <c r="Q189" i="10"/>
  <c r="O189" i="10"/>
  <c r="M189" i="10"/>
  <c r="K189" i="10"/>
  <c r="X188" i="10"/>
  <c r="W188" i="10"/>
  <c r="V188" i="10"/>
  <c r="U188" i="10"/>
  <c r="T188" i="10"/>
  <c r="S188" i="10"/>
  <c r="Q188" i="10"/>
  <c r="O188" i="10"/>
  <c r="M188" i="10"/>
  <c r="K188" i="10"/>
  <c r="X187" i="10"/>
  <c r="W187" i="10"/>
  <c r="V187" i="10"/>
  <c r="U187" i="10"/>
  <c r="T187" i="10"/>
  <c r="S187" i="10"/>
  <c r="Q187" i="10"/>
  <c r="O187" i="10"/>
  <c r="M187" i="10"/>
  <c r="K187" i="10"/>
  <c r="X186" i="10"/>
  <c r="W186" i="10"/>
  <c r="V186" i="10"/>
  <c r="U186" i="10"/>
  <c r="T186" i="10"/>
  <c r="S186" i="10"/>
  <c r="Q186" i="10"/>
  <c r="O186" i="10"/>
  <c r="M186" i="10"/>
  <c r="K186" i="10"/>
  <c r="X185" i="10"/>
  <c r="W185" i="10"/>
  <c r="V185" i="10"/>
  <c r="U185" i="10"/>
  <c r="T185" i="10"/>
  <c r="S185" i="10"/>
  <c r="Q185" i="10"/>
  <c r="O185" i="10"/>
  <c r="M185" i="10"/>
  <c r="K185" i="10"/>
  <c r="X184" i="10"/>
  <c r="W184" i="10"/>
  <c r="V184" i="10"/>
  <c r="U184" i="10"/>
  <c r="T184" i="10"/>
  <c r="S184" i="10"/>
  <c r="Q184" i="10"/>
  <c r="O184" i="10"/>
  <c r="M184" i="10"/>
  <c r="K184" i="10"/>
  <c r="X183" i="10"/>
  <c r="W183" i="10"/>
  <c r="V183" i="10"/>
  <c r="U183" i="10"/>
  <c r="T183" i="10"/>
  <c r="S183" i="10"/>
  <c r="Q183" i="10"/>
  <c r="O183" i="10"/>
  <c r="M183" i="10"/>
  <c r="K183" i="10"/>
  <c r="X182" i="10"/>
  <c r="W182" i="10"/>
  <c r="V182" i="10"/>
  <c r="U182" i="10"/>
  <c r="T182" i="10"/>
  <c r="S182" i="10"/>
  <c r="Q182" i="10"/>
  <c r="O182" i="10"/>
  <c r="M182" i="10"/>
  <c r="K182" i="10"/>
  <c r="X181" i="10"/>
  <c r="W181" i="10"/>
  <c r="V181" i="10"/>
  <c r="U181" i="10"/>
  <c r="T181" i="10"/>
  <c r="S181" i="10"/>
  <c r="Q181" i="10"/>
  <c r="O181" i="10"/>
  <c r="M181" i="10"/>
  <c r="K181" i="10"/>
  <c r="X180" i="10"/>
  <c r="W180" i="10"/>
  <c r="V180" i="10"/>
  <c r="U180" i="10"/>
  <c r="T180" i="10"/>
  <c r="S180" i="10"/>
  <c r="Q180" i="10"/>
  <c r="O180" i="10"/>
  <c r="M180" i="10"/>
  <c r="K180" i="10"/>
  <c r="X179" i="10"/>
  <c r="W179" i="10"/>
  <c r="V179" i="10"/>
  <c r="U179" i="10"/>
  <c r="T179" i="10"/>
  <c r="S179" i="10"/>
  <c r="Q179" i="10"/>
  <c r="O179" i="10"/>
  <c r="M179" i="10"/>
  <c r="K179" i="10"/>
  <c r="X178" i="10"/>
  <c r="W178" i="10"/>
  <c r="V178" i="10"/>
  <c r="U178" i="10"/>
  <c r="T178" i="10"/>
  <c r="S178" i="10"/>
  <c r="Q178" i="10"/>
  <c r="O178" i="10"/>
  <c r="M178" i="10"/>
  <c r="K178" i="10"/>
  <c r="X177" i="10"/>
  <c r="W177" i="10"/>
  <c r="V177" i="10"/>
  <c r="U177" i="10"/>
  <c r="T177" i="10"/>
  <c r="S177" i="10"/>
  <c r="Q177" i="10"/>
  <c r="O177" i="10"/>
  <c r="M177" i="10"/>
  <c r="K177" i="10"/>
  <c r="X176" i="10"/>
  <c r="W176" i="10"/>
  <c r="V176" i="10"/>
  <c r="U176" i="10"/>
  <c r="T176" i="10"/>
  <c r="S176" i="10"/>
  <c r="Q176" i="10"/>
  <c r="O176" i="10"/>
  <c r="M176" i="10"/>
  <c r="K176" i="10"/>
  <c r="X175" i="10"/>
  <c r="W175" i="10"/>
  <c r="V175" i="10"/>
  <c r="U175" i="10"/>
  <c r="T175" i="10"/>
  <c r="S175" i="10"/>
  <c r="Q175" i="10"/>
  <c r="O175" i="10"/>
  <c r="M175" i="10"/>
  <c r="K175" i="10"/>
  <c r="X174" i="10"/>
  <c r="W174" i="10"/>
  <c r="V174" i="10"/>
  <c r="U174" i="10"/>
  <c r="T174" i="10"/>
  <c r="S174" i="10"/>
  <c r="Q174" i="10"/>
  <c r="O174" i="10"/>
  <c r="M174" i="10"/>
  <c r="K174" i="10"/>
  <c r="X173" i="10"/>
  <c r="W173" i="10"/>
  <c r="V173" i="10"/>
  <c r="U173" i="10"/>
  <c r="T173" i="10"/>
  <c r="S173" i="10"/>
  <c r="Q173" i="10"/>
  <c r="O173" i="10"/>
  <c r="M173" i="10"/>
  <c r="K173" i="10"/>
  <c r="X172" i="10"/>
  <c r="W172" i="10"/>
  <c r="V172" i="10"/>
  <c r="U172" i="10"/>
  <c r="T172" i="10"/>
  <c r="S172" i="10"/>
  <c r="Q172" i="10"/>
  <c r="O172" i="10"/>
  <c r="M172" i="10"/>
  <c r="K172" i="10"/>
  <c r="X171" i="10"/>
  <c r="W171" i="10"/>
  <c r="V171" i="10"/>
  <c r="U171" i="10"/>
  <c r="T171" i="10"/>
  <c r="S171" i="10"/>
  <c r="Q171" i="10"/>
  <c r="O171" i="10"/>
  <c r="M171" i="10"/>
  <c r="K171" i="10"/>
  <c r="X170" i="10"/>
  <c r="W170" i="10"/>
  <c r="V170" i="10"/>
  <c r="U170" i="10"/>
  <c r="T170" i="10"/>
  <c r="S170" i="10"/>
  <c r="Q170" i="10"/>
  <c r="O170" i="10"/>
  <c r="M170" i="10"/>
  <c r="K170" i="10"/>
  <c r="X169" i="10"/>
  <c r="W169" i="10"/>
  <c r="V169" i="10"/>
  <c r="U169" i="10"/>
  <c r="T169" i="10"/>
  <c r="S169" i="10"/>
  <c r="Q169" i="10"/>
  <c r="O169" i="10"/>
  <c r="M169" i="10"/>
  <c r="K169" i="10"/>
  <c r="X168" i="10"/>
  <c r="W168" i="10"/>
  <c r="V168" i="10"/>
  <c r="U168" i="10"/>
  <c r="T168" i="10"/>
  <c r="S168" i="10"/>
  <c r="Q168" i="10"/>
  <c r="O168" i="10"/>
  <c r="M168" i="10"/>
  <c r="K168" i="10"/>
  <c r="X167" i="10"/>
  <c r="W167" i="10"/>
  <c r="V167" i="10"/>
  <c r="U167" i="10"/>
  <c r="T167" i="10"/>
  <c r="S167" i="10"/>
  <c r="Q167" i="10"/>
  <c r="O167" i="10"/>
  <c r="M167" i="10"/>
  <c r="K167" i="10"/>
  <c r="X166" i="10"/>
  <c r="W166" i="10"/>
  <c r="V166" i="10"/>
  <c r="U166" i="10"/>
  <c r="T166" i="10"/>
  <c r="S166" i="10"/>
  <c r="Q166" i="10"/>
  <c r="O166" i="10"/>
  <c r="M166" i="10"/>
  <c r="K166" i="10"/>
  <c r="X165" i="10"/>
  <c r="W165" i="10"/>
  <c r="V165" i="10"/>
  <c r="U165" i="10"/>
  <c r="T165" i="10"/>
  <c r="S165" i="10"/>
  <c r="Q165" i="10"/>
  <c r="O165" i="10"/>
  <c r="M165" i="10"/>
  <c r="K165" i="10"/>
  <c r="X164" i="10"/>
  <c r="W164" i="10"/>
  <c r="V164" i="10"/>
  <c r="U164" i="10"/>
  <c r="T164" i="10"/>
  <c r="S164" i="10"/>
  <c r="Q164" i="10"/>
  <c r="O164" i="10"/>
  <c r="M164" i="10"/>
  <c r="K164" i="10"/>
  <c r="X163" i="10"/>
  <c r="W163" i="10"/>
  <c r="V163" i="10"/>
  <c r="U163" i="10"/>
  <c r="T163" i="10"/>
  <c r="S163" i="10"/>
  <c r="Q163" i="10"/>
  <c r="O163" i="10"/>
  <c r="M163" i="10"/>
  <c r="K163" i="10"/>
  <c r="X162" i="10"/>
  <c r="W162" i="10"/>
  <c r="V162" i="10"/>
  <c r="U162" i="10"/>
  <c r="T162" i="10"/>
  <c r="S162" i="10"/>
  <c r="Q162" i="10"/>
  <c r="O162" i="10"/>
  <c r="M162" i="10"/>
  <c r="K162" i="10"/>
  <c r="X161" i="10"/>
  <c r="W161" i="10"/>
  <c r="V161" i="10"/>
  <c r="U161" i="10"/>
  <c r="T161" i="10"/>
  <c r="S161" i="10"/>
  <c r="Q161" i="10"/>
  <c r="O161" i="10"/>
  <c r="M161" i="10"/>
  <c r="K161" i="10"/>
  <c r="X160" i="10"/>
  <c r="W160" i="10"/>
  <c r="V160" i="10"/>
  <c r="U160" i="10"/>
  <c r="T160" i="10"/>
  <c r="S160" i="10"/>
  <c r="Q160" i="10"/>
  <c r="O160" i="10"/>
  <c r="M160" i="10"/>
  <c r="K160" i="10"/>
  <c r="X159" i="10"/>
  <c r="W159" i="10"/>
  <c r="V159" i="10"/>
  <c r="U159" i="10"/>
  <c r="T159" i="10"/>
  <c r="S159" i="10"/>
  <c r="Q159" i="10"/>
  <c r="O159" i="10"/>
  <c r="M159" i="10"/>
  <c r="K159" i="10"/>
  <c r="X158" i="10"/>
  <c r="W158" i="10"/>
  <c r="V158" i="10"/>
  <c r="U158" i="10"/>
  <c r="T158" i="10"/>
  <c r="S158" i="10"/>
  <c r="Q158" i="10"/>
  <c r="O158" i="10"/>
  <c r="M158" i="10"/>
  <c r="K158" i="10"/>
  <c r="X157" i="10"/>
  <c r="W157" i="10"/>
  <c r="V157" i="10"/>
  <c r="U157" i="10"/>
  <c r="T157" i="10"/>
  <c r="S157" i="10"/>
  <c r="Q157" i="10"/>
  <c r="O157" i="10"/>
  <c r="M157" i="10"/>
  <c r="K157" i="10"/>
  <c r="X156" i="10"/>
  <c r="W156" i="10"/>
  <c r="V156" i="10"/>
  <c r="U156" i="10"/>
  <c r="T156" i="10"/>
  <c r="S156" i="10"/>
  <c r="Q156" i="10"/>
  <c r="O156" i="10"/>
  <c r="M156" i="10"/>
  <c r="K156" i="10"/>
  <c r="X155" i="10"/>
  <c r="W155" i="10"/>
  <c r="V155" i="10"/>
  <c r="U155" i="10"/>
  <c r="T155" i="10"/>
  <c r="S155" i="10"/>
  <c r="Q155" i="10"/>
  <c r="O155" i="10"/>
  <c r="M155" i="10"/>
  <c r="K155" i="10"/>
  <c r="X154" i="10"/>
  <c r="W154" i="10"/>
  <c r="V154" i="10"/>
  <c r="U154" i="10"/>
  <c r="T154" i="10"/>
  <c r="S154" i="10"/>
  <c r="Q154" i="10"/>
  <c r="O154" i="10"/>
  <c r="M154" i="10"/>
  <c r="K154" i="10"/>
  <c r="X153" i="10"/>
  <c r="W153" i="10"/>
  <c r="V153" i="10"/>
  <c r="U153" i="10"/>
  <c r="T153" i="10"/>
  <c r="S153" i="10"/>
  <c r="Q153" i="10"/>
  <c r="O153" i="10"/>
  <c r="M153" i="10"/>
  <c r="K153" i="10"/>
  <c r="X152" i="10"/>
  <c r="W152" i="10"/>
  <c r="V152" i="10"/>
  <c r="U152" i="10"/>
  <c r="T152" i="10"/>
  <c r="S152" i="10"/>
  <c r="Q152" i="10"/>
  <c r="O152" i="10"/>
  <c r="M152" i="10"/>
  <c r="K152" i="10"/>
  <c r="X151" i="10"/>
  <c r="W151" i="10"/>
  <c r="V151" i="10"/>
  <c r="U151" i="10"/>
  <c r="T151" i="10"/>
  <c r="S151" i="10"/>
  <c r="Q151" i="10"/>
  <c r="O151" i="10"/>
  <c r="M151" i="10"/>
  <c r="K151" i="10"/>
  <c r="X150" i="10"/>
  <c r="W150" i="10"/>
  <c r="V150" i="10"/>
  <c r="U150" i="10"/>
  <c r="T150" i="10"/>
  <c r="S150" i="10"/>
  <c r="Q150" i="10"/>
  <c r="O150" i="10"/>
  <c r="M150" i="10"/>
  <c r="K150" i="10"/>
  <c r="X149" i="10"/>
  <c r="W149" i="10"/>
  <c r="V149" i="10"/>
  <c r="U149" i="10"/>
  <c r="T149" i="10"/>
  <c r="S149" i="10"/>
  <c r="Q149" i="10"/>
  <c r="O149" i="10"/>
  <c r="M149" i="10"/>
  <c r="K149" i="10"/>
  <c r="X148" i="10"/>
  <c r="W148" i="10"/>
  <c r="V148" i="10"/>
  <c r="U148" i="10"/>
  <c r="T148" i="10"/>
  <c r="S148" i="10"/>
  <c r="Q148" i="10"/>
  <c r="O148" i="10"/>
  <c r="M148" i="10"/>
  <c r="K148" i="10"/>
  <c r="X147" i="10"/>
  <c r="W147" i="10"/>
  <c r="V147" i="10"/>
  <c r="U147" i="10"/>
  <c r="T147" i="10"/>
  <c r="S147" i="10"/>
  <c r="Q147" i="10"/>
  <c r="O147" i="10"/>
  <c r="M147" i="10"/>
  <c r="K147" i="10"/>
  <c r="X146" i="10"/>
  <c r="W146" i="10"/>
  <c r="V146" i="10"/>
  <c r="U146" i="10"/>
  <c r="T146" i="10"/>
  <c r="S146" i="10"/>
  <c r="Q146" i="10"/>
  <c r="O146" i="10"/>
  <c r="M146" i="10"/>
  <c r="K146" i="10"/>
  <c r="X145" i="10"/>
  <c r="W145" i="10"/>
  <c r="V145" i="10"/>
  <c r="U145" i="10"/>
  <c r="T145" i="10"/>
  <c r="S145" i="10"/>
  <c r="Q145" i="10"/>
  <c r="O145" i="10"/>
  <c r="M145" i="10"/>
  <c r="K145" i="10"/>
  <c r="X144" i="10"/>
  <c r="W144" i="10"/>
  <c r="V144" i="10"/>
  <c r="U144" i="10"/>
  <c r="T144" i="10"/>
  <c r="S144" i="10"/>
  <c r="Q144" i="10"/>
  <c r="O144" i="10"/>
  <c r="M144" i="10"/>
  <c r="K144" i="10"/>
  <c r="X143" i="10"/>
  <c r="W143" i="10"/>
  <c r="V143" i="10"/>
  <c r="U143" i="10"/>
  <c r="T143" i="10"/>
  <c r="S143" i="10"/>
  <c r="Q143" i="10"/>
  <c r="O143" i="10"/>
  <c r="M143" i="10"/>
  <c r="K143" i="10"/>
  <c r="X142" i="10"/>
  <c r="W142" i="10"/>
  <c r="V142" i="10"/>
  <c r="U142" i="10"/>
  <c r="T142" i="10"/>
  <c r="S142" i="10"/>
  <c r="Q142" i="10"/>
  <c r="O142" i="10"/>
  <c r="M142" i="10"/>
  <c r="K142" i="10"/>
  <c r="X141" i="10"/>
  <c r="W141" i="10"/>
  <c r="V141" i="10"/>
  <c r="U141" i="10"/>
  <c r="T141" i="10"/>
  <c r="S141" i="10"/>
  <c r="Q141" i="10"/>
  <c r="O141" i="10"/>
  <c r="M141" i="10"/>
  <c r="K141" i="10"/>
  <c r="X140" i="10"/>
  <c r="W140" i="10"/>
  <c r="V140" i="10"/>
  <c r="U140" i="10"/>
  <c r="T140" i="10"/>
  <c r="S140" i="10"/>
  <c r="Q140" i="10"/>
  <c r="O140" i="10"/>
  <c r="M140" i="10"/>
  <c r="K140" i="10"/>
  <c r="X139" i="10"/>
  <c r="W139" i="10"/>
  <c r="V139" i="10"/>
  <c r="U139" i="10"/>
  <c r="T139" i="10"/>
  <c r="S139" i="10"/>
  <c r="Q139" i="10"/>
  <c r="O139" i="10"/>
  <c r="M139" i="10"/>
  <c r="K139" i="10"/>
  <c r="X138" i="10"/>
  <c r="W138" i="10"/>
  <c r="V138" i="10"/>
  <c r="U138" i="10"/>
  <c r="T138" i="10"/>
  <c r="S138" i="10"/>
  <c r="Q138" i="10"/>
  <c r="O138" i="10"/>
  <c r="M138" i="10"/>
  <c r="K138" i="10"/>
  <c r="X137" i="10"/>
  <c r="W137" i="10"/>
  <c r="V137" i="10"/>
  <c r="U137" i="10"/>
  <c r="T137" i="10"/>
  <c r="S137" i="10"/>
  <c r="Q137" i="10"/>
  <c r="O137" i="10"/>
  <c r="M137" i="10"/>
  <c r="K137" i="10"/>
  <c r="X136" i="10"/>
  <c r="W136" i="10"/>
  <c r="V136" i="10"/>
  <c r="U136" i="10"/>
  <c r="T136" i="10"/>
  <c r="S136" i="10"/>
  <c r="Q136" i="10"/>
  <c r="O136" i="10"/>
  <c r="M136" i="10"/>
  <c r="K136" i="10"/>
  <c r="X135" i="10"/>
  <c r="W135" i="10"/>
  <c r="V135" i="10"/>
  <c r="U135" i="10"/>
  <c r="T135" i="10"/>
  <c r="S135" i="10"/>
  <c r="Q135" i="10"/>
  <c r="O135" i="10"/>
  <c r="M135" i="10"/>
  <c r="K135" i="10"/>
  <c r="X134" i="10"/>
  <c r="W134" i="10"/>
  <c r="V134" i="10"/>
  <c r="U134" i="10"/>
  <c r="T134" i="10"/>
  <c r="S134" i="10"/>
  <c r="Q134" i="10"/>
  <c r="O134" i="10"/>
  <c r="M134" i="10"/>
  <c r="K134" i="10"/>
  <c r="X133" i="10"/>
  <c r="W133" i="10"/>
  <c r="V133" i="10"/>
  <c r="U133" i="10"/>
  <c r="T133" i="10"/>
  <c r="S133" i="10"/>
  <c r="Q133" i="10"/>
  <c r="O133" i="10"/>
  <c r="M133" i="10"/>
  <c r="K133" i="10"/>
  <c r="X132" i="10"/>
  <c r="W132" i="10"/>
  <c r="V132" i="10"/>
  <c r="U132" i="10"/>
  <c r="T132" i="10"/>
  <c r="S132" i="10"/>
  <c r="Q132" i="10"/>
  <c r="O132" i="10"/>
  <c r="M132" i="10"/>
  <c r="K132" i="10"/>
  <c r="X131" i="10"/>
  <c r="W131" i="10"/>
  <c r="V131" i="10"/>
  <c r="U131" i="10"/>
  <c r="T131" i="10"/>
  <c r="S131" i="10"/>
  <c r="Q131" i="10"/>
  <c r="O131" i="10"/>
  <c r="M131" i="10"/>
  <c r="K131" i="10"/>
  <c r="X130" i="10"/>
  <c r="W130" i="10"/>
  <c r="V130" i="10"/>
  <c r="U130" i="10"/>
  <c r="T130" i="10"/>
  <c r="S130" i="10"/>
  <c r="Q130" i="10"/>
  <c r="O130" i="10"/>
  <c r="M130" i="10"/>
  <c r="K130" i="10"/>
  <c r="X129" i="10"/>
  <c r="W129" i="10"/>
  <c r="V129" i="10"/>
  <c r="U129" i="10"/>
  <c r="T129" i="10"/>
  <c r="S129" i="10"/>
  <c r="Q129" i="10"/>
  <c r="O129" i="10"/>
  <c r="M129" i="10"/>
  <c r="K129" i="10"/>
  <c r="X128" i="10"/>
  <c r="W128" i="10"/>
  <c r="V128" i="10"/>
  <c r="U128" i="10"/>
  <c r="T128" i="10"/>
  <c r="S128" i="10"/>
  <c r="Q128" i="10"/>
  <c r="O128" i="10"/>
  <c r="M128" i="10"/>
  <c r="K128" i="10"/>
  <c r="X127" i="10"/>
  <c r="W127" i="10"/>
  <c r="V127" i="10"/>
  <c r="U127" i="10"/>
  <c r="T127" i="10"/>
  <c r="S127" i="10"/>
  <c r="Q127" i="10"/>
  <c r="O127" i="10"/>
  <c r="M127" i="10"/>
  <c r="K127" i="10"/>
  <c r="X126" i="10"/>
  <c r="W126" i="10"/>
  <c r="V126" i="10"/>
  <c r="U126" i="10"/>
  <c r="T126" i="10"/>
  <c r="S126" i="10"/>
  <c r="Q126" i="10"/>
  <c r="O126" i="10"/>
  <c r="M126" i="10"/>
  <c r="K126" i="10"/>
  <c r="X125" i="10"/>
  <c r="W125" i="10"/>
  <c r="V125" i="10"/>
  <c r="U125" i="10"/>
  <c r="T125" i="10"/>
  <c r="S125" i="10"/>
  <c r="Q125" i="10"/>
  <c r="O125" i="10"/>
  <c r="M125" i="10"/>
  <c r="K125" i="10"/>
  <c r="X124" i="10"/>
  <c r="W124" i="10"/>
  <c r="V124" i="10"/>
  <c r="U124" i="10"/>
  <c r="T124" i="10"/>
  <c r="S124" i="10"/>
  <c r="Q124" i="10"/>
  <c r="O124" i="10"/>
  <c r="M124" i="10"/>
  <c r="K124" i="10"/>
  <c r="X123" i="10"/>
  <c r="W123" i="10"/>
  <c r="V123" i="10"/>
  <c r="U123" i="10"/>
  <c r="T123" i="10"/>
  <c r="S123" i="10"/>
  <c r="Q123" i="10"/>
  <c r="O123" i="10"/>
  <c r="M123" i="10"/>
  <c r="K123" i="10"/>
  <c r="X122" i="10"/>
  <c r="W122" i="10"/>
  <c r="V122" i="10"/>
  <c r="U122" i="10"/>
  <c r="T122" i="10"/>
  <c r="S122" i="10"/>
  <c r="Q122" i="10"/>
  <c r="O122" i="10"/>
  <c r="M122" i="10"/>
  <c r="K122" i="10"/>
  <c r="X121" i="10"/>
  <c r="W121" i="10"/>
  <c r="V121" i="10"/>
  <c r="U121" i="10"/>
  <c r="T121" i="10"/>
  <c r="S121" i="10"/>
  <c r="Q121" i="10"/>
  <c r="O121" i="10"/>
  <c r="M121" i="10"/>
  <c r="K121" i="10"/>
  <c r="X120" i="10"/>
  <c r="W120" i="10"/>
  <c r="V120" i="10"/>
  <c r="U120" i="10"/>
  <c r="T120" i="10"/>
  <c r="S120" i="10"/>
  <c r="Q120" i="10"/>
  <c r="O120" i="10"/>
  <c r="M120" i="10"/>
  <c r="K120" i="10"/>
  <c r="X119" i="10"/>
  <c r="W119" i="10"/>
  <c r="V119" i="10"/>
  <c r="U119" i="10"/>
  <c r="T119" i="10"/>
  <c r="S119" i="10"/>
  <c r="Q119" i="10"/>
  <c r="O119" i="10"/>
  <c r="M119" i="10"/>
  <c r="K119" i="10"/>
  <c r="X118" i="10"/>
  <c r="W118" i="10"/>
  <c r="V118" i="10"/>
  <c r="U118" i="10"/>
  <c r="T118" i="10"/>
  <c r="S118" i="10"/>
  <c r="Q118" i="10"/>
  <c r="O118" i="10"/>
  <c r="M118" i="10"/>
  <c r="K118" i="10"/>
  <c r="X117" i="10"/>
  <c r="W117" i="10"/>
  <c r="V117" i="10"/>
  <c r="U117" i="10"/>
  <c r="T117" i="10"/>
  <c r="S117" i="10"/>
  <c r="Q117" i="10"/>
  <c r="O117" i="10"/>
  <c r="M117" i="10"/>
  <c r="K117" i="10"/>
  <c r="X116" i="10"/>
  <c r="W116" i="10"/>
  <c r="V116" i="10"/>
  <c r="U116" i="10"/>
  <c r="T116" i="10"/>
  <c r="S116" i="10"/>
  <c r="Q116" i="10"/>
  <c r="O116" i="10"/>
  <c r="M116" i="10"/>
  <c r="K116" i="10"/>
  <c r="X115" i="10"/>
  <c r="W115" i="10"/>
  <c r="V115" i="10"/>
  <c r="U115" i="10"/>
  <c r="T115" i="10"/>
  <c r="S115" i="10"/>
  <c r="Q115" i="10"/>
  <c r="O115" i="10"/>
  <c r="M115" i="10"/>
  <c r="K115" i="10"/>
  <c r="X114" i="10"/>
  <c r="W114" i="10"/>
  <c r="V114" i="10"/>
  <c r="U114" i="10"/>
  <c r="T114" i="10"/>
  <c r="S114" i="10"/>
  <c r="Q114" i="10"/>
  <c r="O114" i="10"/>
  <c r="M114" i="10"/>
  <c r="K114" i="10"/>
  <c r="X113" i="10"/>
  <c r="W113" i="10"/>
  <c r="V113" i="10"/>
  <c r="U113" i="10"/>
  <c r="T113" i="10"/>
  <c r="S113" i="10"/>
  <c r="Q113" i="10"/>
  <c r="O113" i="10"/>
  <c r="M113" i="10"/>
  <c r="K113" i="10"/>
  <c r="X112" i="10"/>
  <c r="W112" i="10"/>
  <c r="V112" i="10"/>
  <c r="U112" i="10"/>
  <c r="T112" i="10"/>
  <c r="S112" i="10"/>
  <c r="Q112" i="10"/>
  <c r="O112" i="10"/>
  <c r="M112" i="10"/>
  <c r="K112" i="10"/>
  <c r="X111" i="10"/>
  <c r="W111" i="10"/>
  <c r="V111" i="10"/>
  <c r="U111" i="10"/>
  <c r="T111" i="10"/>
  <c r="S111" i="10"/>
  <c r="Q111" i="10"/>
  <c r="O111" i="10"/>
  <c r="M111" i="10"/>
  <c r="K111" i="10"/>
  <c r="X110" i="10"/>
  <c r="W110" i="10"/>
  <c r="V110" i="10"/>
  <c r="U110" i="10"/>
  <c r="T110" i="10"/>
  <c r="S110" i="10"/>
  <c r="Q110" i="10"/>
  <c r="O110" i="10"/>
  <c r="M110" i="10"/>
  <c r="K110" i="10"/>
  <c r="X109" i="10"/>
  <c r="W109" i="10"/>
  <c r="V109" i="10"/>
  <c r="U109" i="10"/>
  <c r="T109" i="10"/>
  <c r="S109" i="10"/>
  <c r="Q109" i="10"/>
  <c r="O109" i="10"/>
  <c r="M109" i="10"/>
  <c r="K109" i="10"/>
  <c r="X108" i="10"/>
  <c r="W108" i="10"/>
  <c r="V108" i="10"/>
  <c r="U108" i="10"/>
  <c r="T108" i="10"/>
  <c r="S108" i="10"/>
  <c r="Q108" i="10"/>
  <c r="O108" i="10"/>
  <c r="M108" i="10"/>
  <c r="K108" i="10"/>
  <c r="X107" i="10"/>
  <c r="W107" i="10"/>
  <c r="V107" i="10"/>
  <c r="U107" i="10"/>
  <c r="T107" i="10"/>
  <c r="S107" i="10"/>
  <c r="Q107" i="10"/>
  <c r="O107" i="10"/>
  <c r="M107" i="10"/>
  <c r="K107" i="10"/>
  <c r="X106" i="10"/>
  <c r="W106" i="10"/>
  <c r="V106" i="10"/>
  <c r="U106" i="10"/>
  <c r="T106" i="10"/>
  <c r="S106" i="10"/>
  <c r="Q106" i="10"/>
  <c r="O106" i="10"/>
  <c r="M106" i="10"/>
  <c r="K106" i="10"/>
  <c r="X105" i="10"/>
  <c r="W105" i="10"/>
  <c r="V105" i="10"/>
  <c r="U105" i="10"/>
  <c r="T105" i="10"/>
  <c r="S105" i="10"/>
  <c r="Q105" i="10"/>
  <c r="O105" i="10"/>
  <c r="M105" i="10"/>
  <c r="K105" i="10"/>
  <c r="X104" i="10"/>
  <c r="W104" i="10"/>
  <c r="V104" i="10"/>
  <c r="U104" i="10"/>
  <c r="T104" i="10"/>
  <c r="S104" i="10"/>
  <c r="Q104" i="10"/>
  <c r="O104" i="10"/>
  <c r="M104" i="10"/>
  <c r="K104" i="10"/>
  <c r="X103" i="10"/>
  <c r="W103" i="10"/>
  <c r="V103" i="10"/>
  <c r="U103" i="10"/>
  <c r="T103" i="10"/>
  <c r="S103" i="10"/>
  <c r="Q103" i="10"/>
  <c r="O103" i="10"/>
  <c r="M103" i="10"/>
  <c r="K103" i="10"/>
  <c r="X102" i="10"/>
  <c r="W102" i="10"/>
  <c r="V102" i="10"/>
  <c r="U102" i="10"/>
  <c r="T102" i="10"/>
  <c r="S102" i="10"/>
  <c r="Q102" i="10"/>
  <c r="O102" i="10"/>
  <c r="M102" i="10"/>
  <c r="K102" i="10"/>
  <c r="X101" i="10"/>
  <c r="W101" i="10"/>
  <c r="V101" i="10"/>
  <c r="U101" i="10"/>
  <c r="T101" i="10"/>
  <c r="S101" i="10"/>
  <c r="Q101" i="10"/>
  <c r="O101" i="10"/>
  <c r="M101" i="10"/>
  <c r="K101" i="10"/>
  <c r="X100" i="10"/>
  <c r="W100" i="10"/>
  <c r="V100" i="10"/>
  <c r="U100" i="10"/>
  <c r="T100" i="10"/>
  <c r="S100" i="10"/>
  <c r="Q100" i="10"/>
  <c r="O100" i="10"/>
  <c r="M100" i="10"/>
  <c r="K100" i="10"/>
  <c r="X99" i="10"/>
  <c r="W99" i="10"/>
  <c r="V99" i="10"/>
  <c r="U99" i="10"/>
  <c r="T99" i="10"/>
  <c r="S99" i="10"/>
  <c r="Q99" i="10"/>
  <c r="O99" i="10"/>
  <c r="M99" i="10"/>
  <c r="K99" i="10"/>
  <c r="X98" i="10"/>
  <c r="W98" i="10"/>
  <c r="V98" i="10"/>
  <c r="U98" i="10"/>
  <c r="T98" i="10"/>
  <c r="S98" i="10"/>
  <c r="Q98" i="10"/>
  <c r="O98" i="10"/>
  <c r="M98" i="10"/>
  <c r="K98" i="10"/>
  <c r="X97" i="10"/>
  <c r="W97" i="10"/>
  <c r="V97" i="10"/>
  <c r="U97" i="10"/>
  <c r="T97" i="10"/>
  <c r="S97" i="10"/>
  <c r="Q97" i="10"/>
  <c r="O97" i="10"/>
  <c r="M97" i="10"/>
  <c r="K97" i="10"/>
  <c r="X96" i="10"/>
  <c r="W96" i="10"/>
  <c r="V96" i="10"/>
  <c r="U96" i="10"/>
  <c r="T96" i="10"/>
  <c r="S96" i="10"/>
  <c r="Q96" i="10"/>
  <c r="O96" i="10"/>
  <c r="M96" i="10"/>
  <c r="K96" i="10"/>
  <c r="X95" i="10"/>
  <c r="W95" i="10"/>
  <c r="V95" i="10"/>
  <c r="U95" i="10"/>
  <c r="T95" i="10"/>
  <c r="S95" i="10"/>
  <c r="Q95" i="10"/>
  <c r="O95" i="10"/>
  <c r="M95" i="10"/>
  <c r="K95" i="10"/>
  <c r="X94" i="10"/>
  <c r="W94" i="10"/>
  <c r="V94" i="10"/>
  <c r="U94" i="10"/>
  <c r="T94" i="10"/>
  <c r="S94" i="10"/>
  <c r="Q94" i="10"/>
  <c r="O94" i="10"/>
  <c r="M94" i="10"/>
  <c r="K94" i="10"/>
  <c r="X93" i="10"/>
  <c r="W93" i="10"/>
  <c r="V93" i="10"/>
  <c r="U93" i="10"/>
  <c r="T93" i="10"/>
  <c r="S93" i="10"/>
  <c r="Q93" i="10"/>
  <c r="O93" i="10"/>
  <c r="M93" i="10"/>
  <c r="K93" i="10"/>
  <c r="X92" i="10"/>
  <c r="W92" i="10"/>
  <c r="V92" i="10"/>
  <c r="U92" i="10"/>
  <c r="T92" i="10"/>
  <c r="S92" i="10"/>
  <c r="Q92" i="10"/>
  <c r="O92" i="10"/>
  <c r="M92" i="10"/>
  <c r="K92" i="10"/>
  <c r="X91" i="10"/>
  <c r="W91" i="10"/>
  <c r="V91" i="10"/>
  <c r="U91" i="10"/>
  <c r="T91" i="10"/>
  <c r="S91" i="10"/>
  <c r="Q91" i="10"/>
  <c r="O91" i="10"/>
  <c r="M91" i="10"/>
  <c r="K91" i="10"/>
  <c r="X90" i="10"/>
  <c r="W90" i="10"/>
  <c r="V90" i="10"/>
  <c r="U90" i="10"/>
  <c r="T90" i="10"/>
  <c r="S90" i="10"/>
  <c r="Q90" i="10"/>
  <c r="O90" i="10"/>
  <c r="M90" i="10"/>
  <c r="K90" i="10"/>
  <c r="X89" i="10"/>
  <c r="W89" i="10"/>
  <c r="V89" i="10"/>
  <c r="U89" i="10"/>
  <c r="T89" i="10"/>
  <c r="S89" i="10"/>
  <c r="Q89" i="10"/>
  <c r="O89" i="10"/>
  <c r="M89" i="10"/>
  <c r="K89" i="10"/>
  <c r="X88" i="10"/>
  <c r="W88" i="10"/>
  <c r="V88" i="10"/>
  <c r="U88" i="10"/>
  <c r="T88" i="10"/>
  <c r="S88" i="10"/>
  <c r="Q88" i="10"/>
  <c r="O88" i="10"/>
  <c r="M88" i="10"/>
  <c r="K88" i="10"/>
  <c r="X87" i="10"/>
  <c r="W87" i="10"/>
  <c r="V87" i="10"/>
  <c r="U87" i="10"/>
  <c r="T87" i="10"/>
  <c r="S87" i="10"/>
  <c r="Q87" i="10"/>
  <c r="O87" i="10"/>
  <c r="M87" i="10"/>
  <c r="K87" i="10"/>
  <c r="X86" i="10"/>
  <c r="W86" i="10"/>
  <c r="V86" i="10"/>
  <c r="U86" i="10"/>
  <c r="T86" i="10"/>
  <c r="S86" i="10"/>
  <c r="Q86" i="10"/>
  <c r="O86" i="10"/>
  <c r="M86" i="10"/>
  <c r="K86" i="10"/>
  <c r="X85" i="10"/>
  <c r="W85" i="10"/>
  <c r="V85" i="10"/>
  <c r="U85" i="10"/>
  <c r="T85" i="10"/>
  <c r="S85" i="10"/>
  <c r="Q85" i="10"/>
  <c r="O85" i="10"/>
  <c r="M85" i="10"/>
  <c r="K85" i="10"/>
  <c r="X84" i="10"/>
  <c r="W84" i="10"/>
  <c r="V84" i="10"/>
  <c r="U84" i="10"/>
  <c r="T84" i="10"/>
  <c r="S84" i="10"/>
  <c r="Q84" i="10"/>
  <c r="O84" i="10"/>
  <c r="M84" i="10"/>
  <c r="K84" i="10"/>
  <c r="X83" i="10"/>
  <c r="W83" i="10"/>
  <c r="V83" i="10"/>
  <c r="U83" i="10"/>
  <c r="T83" i="10"/>
  <c r="S83" i="10"/>
  <c r="Q83" i="10"/>
  <c r="O83" i="10"/>
  <c r="M83" i="10"/>
  <c r="K83" i="10"/>
  <c r="X82" i="10"/>
  <c r="W82" i="10"/>
  <c r="V82" i="10"/>
  <c r="U82" i="10"/>
  <c r="T82" i="10"/>
  <c r="S82" i="10"/>
  <c r="Q82" i="10"/>
  <c r="O82" i="10"/>
  <c r="M82" i="10"/>
  <c r="K82" i="10"/>
  <c r="X81" i="10"/>
  <c r="W81" i="10"/>
  <c r="V81" i="10"/>
  <c r="U81" i="10"/>
  <c r="T81" i="10"/>
  <c r="S81" i="10"/>
  <c r="Q81" i="10"/>
  <c r="O81" i="10"/>
  <c r="M81" i="10"/>
  <c r="K81" i="10"/>
  <c r="X80" i="10"/>
  <c r="W80" i="10"/>
  <c r="V80" i="10"/>
  <c r="U80" i="10"/>
  <c r="T80" i="10"/>
  <c r="S80" i="10"/>
  <c r="Q80" i="10"/>
  <c r="O80" i="10"/>
  <c r="M80" i="10"/>
  <c r="K80" i="10"/>
  <c r="X79" i="10"/>
  <c r="W79" i="10"/>
  <c r="V79" i="10"/>
  <c r="U79" i="10"/>
  <c r="T79" i="10"/>
  <c r="S79" i="10"/>
  <c r="Q79" i="10"/>
  <c r="O79" i="10"/>
  <c r="M79" i="10"/>
  <c r="K79" i="10"/>
  <c r="X78" i="10"/>
  <c r="W78" i="10"/>
  <c r="V78" i="10"/>
  <c r="U78" i="10"/>
  <c r="T78" i="10"/>
  <c r="S78" i="10"/>
  <c r="Q78" i="10"/>
  <c r="O78" i="10"/>
  <c r="M78" i="10"/>
  <c r="K78" i="10"/>
  <c r="X77" i="10"/>
  <c r="W77" i="10"/>
  <c r="V77" i="10"/>
  <c r="U77" i="10"/>
  <c r="T77" i="10"/>
  <c r="S77" i="10"/>
  <c r="Q77" i="10"/>
  <c r="O77" i="10"/>
  <c r="M77" i="10"/>
  <c r="K77" i="10"/>
  <c r="X76" i="10"/>
  <c r="W76" i="10"/>
  <c r="V76" i="10"/>
  <c r="U76" i="10"/>
  <c r="T76" i="10"/>
  <c r="S76" i="10"/>
  <c r="Q76" i="10"/>
  <c r="O76" i="10"/>
  <c r="M76" i="10"/>
  <c r="K76" i="10"/>
  <c r="X75" i="10"/>
  <c r="W75" i="10"/>
  <c r="V75" i="10"/>
  <c r="U75" i="10"/>
  <c r="T75" i="10"/>
  <c r="S75" i="10"/>
  <c r="Q75" i="10"/>
  <c r="O75" i="10"/>
  <c r="M75" i="10"/>
  <c r="K75" i="10"/>
  <c r="X74" i="10"/>
  <c r="W74" i="10"/>
  <c r="V74" i="10"/>
  <c r="U74" i="10"/>
  <c r="T74" i="10"/>
  <c r="S74" i="10"/>
  <c r="Q74" i="10"/>
  <c r="O74" i="10"/>
  <c r="M74" i="10"/>
  <c r="K74" i="10"/>
  <c r="X73" i="10"/>
  <c r="W73" i="10"/>
  <c r="V73" i="10"/>
  <c r="U73" i="10"/>
  <c r="T73" i="10"/>
  <c r="S73" i="10"/>
  <c r="Q73" i="10"/>
  <c r="O73" i="10"/>
  <c r="M73" i="10"/>
  <c r="K73" i="10"/>
  <c r="X72" i="10"/>
  <c r="W72" i="10"/>
  <c r="V72" i="10"/>
  <c r="U72" i="10"/>
  <c r="T72" i="10"/>
  <c r="S72" i="10"/>
  <c r="Q72" i="10"/>
  <c r="O72" i="10"/>
  <c r="M72" i="10"/>
  <c r="K72" i="10"/>
  <c r="X71" i="10"/>
  <c r="W71" i="10"/>
  <c r="V71" i="10"/>
  <c r="U71" i="10"/>
  <c r="T71" i="10"/>
  <c r="S71" i="10"/>
  <c r="Q71" i="10"/>
  <c r="O71" i="10"/>
  <c r="M71" i="10"/>
  <c r="K71" i="10"/>
  <c r="X70" i="10"/>
  <c r="W70" i="10"/>
  <c r="V70" i="10"/>
  <c r="U70" i="10"/>
  <c r="T70" i="10"/>
  <c r="S70" i="10"/>
  <c r="Q70" i="10"/>
  <c r="O70" i="10"/>
  <c r="M70" i="10"/>
  <c r="K70" i="10"/>
  <c r="X69" i="10"/>
  <c r="W69" i="10"/>
  <c r="V69" i="10"/>
  <c r="U69" i="10"/>
  <c r="T69" i="10"/>
  <c r="S69" i="10"/>
  <c r="Q69" i="10"/>
  <c r="O69" i="10"/>
  <c r="M69" i="10"/>
  <c r="K69" i="10"/>
  <c r="X68" i="10"/>
  <c r="W68" i="10"/>
  <c r="V68" i="10"/>
  <c r="U68" i="10"/>
  <c r="T68" i="10"/>
  <c r="S68" i="10"/>
  <c r="Q68" i="10"/>
  <c r="O68" i="10"/>
  <c r="M68" i="10"/>
  <c r="K68" i="10"/>
  <c r="X67" i="10"/>
  <c r="W67" i="10"/>
  <c r="V67" i="10"/>
  <c r="U67" i="10"/>
  <c r="T67" i="10"/>
  <c r="S67" i="10"/>
  <c r="Q67" i="10"/>
  <c r="O67" i="10"/>
  <c r="M67" i="10"/>
  <c r="K67" i="10"/>
  <c r="X66" i="10"/>
  <c r="W66" i="10"/>
  <c r="V66" i="10"/>
  <c r="U66" i="10"/>
  <c r="T66" i="10"/>
  <c r="S66" i="10"/>
  <c r="Q66" i="10"/>
  <c r="O66" i="10"/>
  <c r="M66" i="10"/>
  <c r="K66" i="10"/>
  <c r="X65" i="10"/>
  <c r="W65" i="10"/>
  <c r="V65" i="10"/>
  <c r="U65" i="10"/>
  <c r="T65" i="10"/>
  <c r="S65" i="10"/>
  <c r="Q65" i="10"/>
  <c r="O65" i="10"/>
  <c r="M65" i="10"/>
  <c r="K65" i="10"/>
  <c r="X64" i="10"/>
  <c r="W64" i="10"/>
  <c r="V64" i="10"/>
  <c r="U64" i="10"/>
  <c r="T64" i="10"/>
  <c r="S64" i="10"/>
  <c r="Q64" i="10"/>
  <c r="O64" i="10"/>
  <c r="M64" i="10"/>
  <c r="K64" i="10"/>
  <c r="X63" i="10"/>
  <c r="W63" i="10"/>
  <c r="V63" i="10"/>
  <c r="U63" i="10"/>
  <c r="T63" i="10"/>
  <c r="S63" i="10"/>
  <c r="Q63" i="10"/>
  <c r="O63" i="10"/>
  <c r="M63" i="10"/>
  <c r="K63" i="10"/>
  <c r="X62" i="10"/>
  <c r="W62" i="10"/>
  <c r="V62" i="10"/>
  <c r="U62" i="10"/>
  <c r="T62" i="10"/>
  <c r="S62" i="10"/>
  <c r="Q62" i="10"/>
  <c r="O62" i="10"/>
  <c r="M62" i="10"/>
  <c r="K62" i="10"/>
  <c r="X61" i="10"/>
  <c r="W61" i="10"/>
  <c r="V61" i="10"/>
  <c r="U61" i="10"/>
  <c r="T61" i="10"/>
  <c r="S61" i="10"/>
  <c r="Q61" i="10"/>
  <c r="O61" i="10"/>
  <c r="M61" i="10"/>
  <c r="K61" i="10"/>
  <c r="X60" i="10"/>
  <c r="W60" i="10"/>
  <c r="V60" i="10"/>
  <c r="U60" i="10"/>
  <c r="T60" i="10"/>
  <c r="S60" i="10"/>
  <c r="Q60" i="10"/>
  <c r="O60" i="10"/>
  <c r="M60" i="10"/>
  <c r="K60" i="10"/>
  <c r="X59" i="10"/>
  <c r="W59" i="10"/>
  <c r="V59" i="10"/>
  <c r="U59" i="10"/>
  <c r="T59" i="10"/>
  <c r="S59" i="10"/>
  <c r="Q59" i="10"/>
  <c r="O59" i="10"/>
  <c r="M59" i="10"/>
  <c r="K59" i="10"/>
  <c r="X58" i="10"/>
  <c r="W58" i="10"/>
  <c r="V58" i="10"/>
  <c r="U58" i="10"/>
  <c r="T58" i="10"/>
  <c r="S58" i="10"/>
  <c r="Q58" i="10"/>
  <c r="O58" i="10"/>
  <c r="M58" i="10"/>
  <c r="K58" i="10"/>
  <c r="X57" i="10"/>
  <c r="W57" i="10"/>
  <c r="V57" i="10"/>
  <c r="U57" i="10"/>
  <c r="T57" i="10"/>
  <c r="S57" i="10"/>
  <c r="Q57" i="10"/>
  <c r="O57" i="10"/>
  <c r="M57" i="10"/>
  <c r="K57" i="10"/>
  <c r="X56" i="10"/>
  <c r="W56" i="10"/>
  <c r="V56" i="10"/>
  <c r="U56" i="10"/>
  <c r="T56" i="10"/>
  <c r="S56" i="10"/>
  <c r="Q56" i="10"/>
  <c r="O56" i="10"/>
  <c r="M56" i="10"/>
  <c r="K56" i="10"/>
  <c r="X55" i="10"/>
  <c r="W55" i="10"/>
  <c r="V55" i="10"/>
  <c r="U55" i="10"/>
  <c r="T55" i="10"/>
  <c r="S55" i="10"/>
  <c r="Q55" i="10"/>
  <c r="O55" i="10"/>
  <c r="M55" i="10"/>
  <c r="K55" i="10"/>
  <c r="X54" i="10"/>
  <c r="W54" i="10"/>
  <c r="V54" i="10"/>
  <c r="U54" i="10"/>
  <c r="T54" i="10"/>
  <c r="S54" i="10"/>
  <c r="Q54" i="10"/>
  <c r="O54" i="10"/>
  <c r="M54" i="10"/>
  <c r="K54" i="10"/>
  <c r="X53" i="10"/>
  <c r="W53" i="10"/>
  <c r="V53" i="10"/>
  <c r="U53" i="10"/>
  <c r="T53" i="10"/>
  <c r="S53" i="10"/>
  <c r="Q53" i="10"/>
  <c r="O53" i="10"/>
  <c r="M53" i="10"/>
  <c r="K53" i="10"/>
  <c r="X52" i="10"/>
  <c r="W52" i="10"/>
  <c r="V52" i="10"/>
  <c r="U52" i="10"/>
  <c r="T52" i="10"/>
  <c r="S52" i="10"/>
  <c r="Q52" i="10"/>
  <c r="O52" i="10"/>
  <c r="M52" i="10"/>
  <c r="K52" i="10"/>
  <c r="X51" i="10"/>
  <c r="W51" i="10"/>
  <c r="V51" i="10"/>
  <c r="U51" i="10"/>
  <c r="T51" i="10"/>
  <c r="S51" i="10"/>
  <c r="Q51" i="10"/>
  <c r="O51" i="10"/>
  <c r="M51" i="10"/>
  <c r="K51" i="10"/>
  <c r="X50" i="10"/>
  <c r="W50" i="10"/>
  <c r="V50" i="10"/>
  <c r="U50" i="10"/>
  <c r="T50" i="10"/>
  <c r="S50" i="10"/>
  <c r="Q50" i="10"/>
  <c r="O50" i="10"/>
  <c r="M50" i="10"/>
  <c r="K50" i="10"/>
  <c r="X49" i="10"/>
  <c r="W49" i="10"/>
  <c r="V49" i="10"/>
  <c r="U49" i="10"/>
  <c r="T49" i="10"/>
  <c r="S49" i="10"/>
  <c r="Q49" i="10"/>
  <c r="O49" i="10"/>
  <c r="M49" i="10"/>
  <c r="K49" i="10"/>
  <c r="X48" i="10"/>
  <c r="W48" i="10"/>
  <c r="V48" i="10"/>
  <c r="U48" i="10"/>
  <c r="T48" i="10"/>
  <c r="S48" i="10"/>
  <c r="Q48" i="10"/>
  <c r="O48" i="10"/>
  <c r="M48" i="10"/>
  <c r="K48" i="10"/>
  <c r="X47" i="10"/>
  <c r="W47" i="10"/>
  <c r="V47" i="10"/>
  <c r="U47" i="10"/>
  <c r="T47" i="10"/>
  <c r="S47" i="10"/>
  <c r="Q47" i="10"/>
  <c r="O47" i="10"/>
  <c r="M47" i="10"/>
  <c r="K47" i="10"/>
  <c r="X46" i="10"/>
  <c r="W46" i="10"/>
  <c r="V46" i="10"/>
  <c r="U46" i="10"/>
  <c r="T46" i="10"/>
  <c r="S46" i="10"/>
  <c r="Q46" i="10"/>
  <c r="O46" i="10"/>
  <c r="M46" i="10"/>
  <c r="K46" i="10"/>
  <c r="X45" i="10"/>
  <c r="W45" i="10"/>
  <c r="V45" i="10"/>
  <c r="U45" i="10"/>
  <c r="T45" i="10"/>
  <c r="S45" i="10"/>
  <c r="Q45" i="10"/>
  <c r="O45" i="10"/>
  <c r="M45" i="10"/>
  <c r="K45" i="10"/>
  <c r="X44" i="10"/>
  <c r="W44" i="10"/>
  <c r="V44" i="10"/>
  <c r="U44" i="10"/>
  <c r="T44" i="10"/>
  <c r="S44" i="10"/>
  <c r="Q44" i="10"/>
  <c r="O44" i="10"/>
  <c r="M44" i="10"/>
  <c r="K44" i="10"/>
  <c r="X43" i="10"/>
  <c r="W43" i="10"/>
  <c r="V43" i="10"/>
  <c r="U43" i="10"/>
  <c r="T43" i="10"/>
  <c r="S43" i="10"/>
  <c r="Q43" i="10"/>
  <c r="O43" i="10"/>
  <c r="M43" i="10"/>
  <c r="K43" i="10"/>
  <c r="X42" i="10"/>
  <c r="W42" i="10"/>
  <c r="V42" i="10"/>
  <c r="U42" i="10"/>
  <c r="T42" i="10"/>
  <c r="S42" i="10"/>
  <c r="Q42" i="10"/>
  <c r="O42" i="10"/>
  <c r="M42" i="10"/>
  <c r="K42" i="10"/>
  <c r="X41" i="10"/>
  <c r="W41" i="10"/>
  <c r="V41" i="10"/>
  <c r="U41" i="10"/>
  <c r="T41" i="10"/>
  <c r="S41" i="10"/>
  <c r="Q41" i="10"/>
  <c r="O41" i="10"/>
  <c r="M41" i="10"/>
  <c r="K41" i="10"/>
  <c r="X40" i="10"/>
  <c r="W40" i="10"/>
  <c r="V40" i="10"/>
  <c r="U40" i="10"/>
  <c r="T40" i="10"/>
  <c r="S40" i="10"/>
  <c r="Q40" i="10"/>
  <c r="O40" i="10"/>
  <c r="M40" i="10"/>
  <c r="K40" i="10"/>
  <c r="X39" i="10"/>
  <c r="W39" i="10"/>
  <c r="V39" i="10"/>
  <c r="U39" i="10"/>
  <c r="T39" i="10"/>
  <c r="S39" i="10"/>
  <c r="Q39" i="10"/>
  <c r="O39" i="10"/>
  <c r="M39" i="10"/>
  <c r="K39" i="10"/>
  <c r="X38" i="10"/>
  <c r="W38" i="10"/>
  <c r="V38" i="10"/>
  <c r="U38" i="10"/>
  <c r="T38" i="10"/>
  <c r="S38" i="10"/>
  <c r="Q38" i="10"/>
  <c r="O38" i="10"/>
  <c r="M38" i="10"/>
  <c r="K38" i="10"/>
  <c r="X37" i="10"/>
  <c r="W37" i="10"/>
  <c r="V37" i="10"/>
  <c r="U37" i="10"/>
  <c r="T37" i="10"/>
  <c r="S37" i="10"/>
  <c r="Q37" i="10"/>
  <c r="O37" i="10"/>
  <c r="M37" i="10"/>
  <c r="K37" i="10"/>
  <c r="X36" i="10"/>
  <c r="W36" i="10"/>
  <c r="V36" i="10"/>
  <c r="U36" i="10"/>
  <c r="T36" i="10"/>
  <c r="S36" i="10"/>
  <c r="Q36" i="10"/>
  <c r="O36" i="10"/>
  <c r="M36" i="10"/>
  <c r="K36" i="10"/>
  <c r="X35" i="10"/>
  <c r="W35" i="10"/>
  <c r="V35" i="10"/>
  <c r="U35" i="10"/>
  <c r="T35" i="10"/>
  <c r="S35" i="10"/>
  <c r="Q35" i="10"/>
  <c r="O35" i="10"/>
  <c r="M35" i="10"/>
  <c r="K35" i="10"/>
  <c r="X34" i="10"/>
  <c r="W34" i="10"/>
  <c r="V34" i="10"/>
  <c r="U34" i="10"/>
  <c r="T34" i="10"/>
  <c r="S34" i="10"/>
  <c r="Q34" i="10"/>
  <c r="O34" i="10"/>
  <c r="M34" i="10"/>
  <c r="K34" i="10"/>
  <c r="X33" i="10"/>
  <c r="W33" i="10"/>
  <c r="V33" i="10"/>
  <c r="U33" i="10"/>
  <c r="T33" i="10"/>
  <c r="S33" i="10"/>
  <c r="Q33" i="10"/>
  <c r="O33" i="10"/>
  <c r="M33" i="10"/>
  <c r="K33" i="10"/>
  <c r="X32" i="10"/>
  <c r="W32" i="10"/>
  <c r="V32" i="10"/>
  <c r="U32" i="10"/>
  <c r="T32" i="10"/>
  <c r="S32" i="10"/>
  <c r="Q32" i="10"/>
  <c r="O32" i="10"/>
  <c r="M32" i="10"/>
  <c r="K32" i="10"/>
  <c r="X31" i="10"/>
  <c r="W31" i="10"/>
  <c r="V31" i="10"/>
  <c r="U31" i="10"/>
  <c r="T31" i="10"/>
  <c r="S31" i="10"/>
  <c r="Q31" i="10"/>
  <c r="O31" i="10"/>
  <c r="M31" i="10"/>
  <c r="K31" i="10"/>
  <c r="X30" i="10"/>
  <c r="W30" i="10"/>
  <c r="V30" i="10"/>
  <c r="U30" i="10"/>
  <c r="T30" i="10"/>
  <c r="S30" i="10"/>
  <c r="Q30" i="10"/>
  <c r="O30" i="10"/>
  <c r="M30" i="10"/>
  <c r="K30" i="10"/>
  <c r="X29" i="10"/>
  <c r="W29" i="10"/>
  <c r="V29" i="10"/>
  <c r="U29" i="10"/>
  <c r="T29" i="10"/>
  <c r="S29" i="10"/>
  <c r="Q29" i="10"/>
  <c r="O29" i="10"/>
  <c r="M29" i="10"/>
  <c r="K29" i="10"/>
  <c r="X28" i="10"/>
  <c r="W28" i="10"/>
  <c r="V28" i="10"/>
  <c r="U28" i="10"/>
  <c r="T28" i="10"/>
  <c r="S28" i="10"/>
  <c r="Q28" i="10"/>
  <c r="O28" i="10"/>
  <c r="M28" i="10"/>
  <c r="K28" i="10"/>
  <c r="X27" i="10"/>
  <c r="W27" i="10"/>
  <c r="V27" i="10"/>
  <c r="U27" i="10"/>
  <c r="T27" i="10"/>
  <c r="S27" i="10"/>
  <c r="Q27" i="10"/>
  <c r="O27" i="10"/>
  <c r="M27" i="10"/>
  <c r="K27" i="10"/>
  <c r="X26" i="10"/>
  <c r="W26" i="10"/>
  <c r="V26" i="10"/>
  <c r="U26" i="10"/>
  <c r="T26" i="10"/>
  <c r="S26" i="10"/>
  <c r="Q26" i="10"/>
  <c r="O26" i="10"/>
  <c r="M26" i="10"/>
  <c r="K26" i="10"/>
  <c r="X25" i="10"/>
  <c r="W25" i="10"/>
  <c r="V25" i="10"/>
  <c r="U25" i="10"/>
  <c r="T25" i="10"/>
  <c r="S25" i="10"/>
  <c r="Q25" i="10"/>
  <c r="O25" i="10"/>
  <c r="M25" i="10"/>
  <c r="K25" i="10"/>
  <c r="X24" i="10"/>
  <c r="W24" i="10"/>
  <c r="V24" i="10"/>
  <c r="U24" i="10"/>
  <c r="T24" i="10"/>
  <c r="S24" i="10"/>
  <c r="Q24" i="10"/>
  <c r="O24" i="10"/>
  <c r="M24" i="10"/>
  <c r="K24" i="10"/>
  <c r="X23" i="10"/>
  <c r="W23" i="10"/>
  <c r="V23" i="10"/>
  <c r="U23" i="10"/>
  <c r="T23" i="10"/>
  <c r="S23" i="10"/>
  <c r="Q23" i="10"/>
  <c r="O23" i="10"/>
  <c r="M23" i="10"/>
  <c r="K23" i="10"/>
  <c r="X22" i="10"/>
  <c r="W22" i="10"/>
  <c r="V22" i="10"/>
  <c r="U22" i="10"/>
  <c r="T22" i="10"/>
  <c r="S22" i="10"/>
  <c r="Q22" i="10"/>
  <c r="O22" i="10"/>
  <c r="M22" i="10"/>
  <c r="K22" i="10"/>
  <c r="X21" i="10"/>
  <c r="W21" i="10"/>
  <c r="V21" i="10"/>
  <c r="U21" i="10"/>
  <c r="T21" i="10"/>
  <c r="S21" i="10"/>
  <c r="Q21" i="10"/>
  <c r="O21" i="10"/>
  <c r="M21" i="10"/>
  <c r="K21" i="10"/>
  <c r="X20" i="10"/>
  <c r="W20" i="10"/>
  <c r="V20" i="10"/>
  <c r="U20" i="10"/>
  <c r="T20" i="10"/>
  <c r="S20" i="10"/>
  <c r="Q20" i="10"/>
  <c r="O20" i="10"/>
  <c r="M20" i="10"/>
  <c r="K20" i="10"/>
  <c r="X19" i="10"/>
  <c r="W19" i="10"/>
  <c r="V19" i="10"/>
  <c r="U19" i="10"/>
  <c r="T19" i="10"/>
  <c r="S19" i="10"/>
  <c r="Q19" i="10"/>
  <c r="O19" i="10"/>
  <c r="M19" i="10"/>
  <c r="K19" i="10"/>
  <c r="X18" i="10"/>
  <c r="W18" i="10"/>
  <c r="V18" i="10"/>
  <c r="U18" i="10"/>
  <c r="T18" i="10"/>
  <c r="S18" i="10"/>
  <c r="Q18" i="10"/>
  <c r="O18" i="10"/>
  <c r="M18" i="10"/>
  <c r="K18" i="10"/>
  <c r="X17" i="10"/>
  <c r="W17" i="10"/>
  <c r="V17" i="10"/>
  <c r="U17" i="10"/>
  <c r="T17" i="10"/>
  <c r="S17" i="10"/>
  <c r="Q17" i="10"/>
  <c r="O17" i="10"/>
  <c r="M17" i="10"/>
  <c r="K17" i="10"/>
  <c r="X16" i="10"/>
  <c r="W16" i="10"/>
  <c r="V16" i="10"/>
  <c r="U16" i="10"/>
  <c r="T16" i="10"/>
  <c r="S16" i="10"/>
  <c r="Q16" i="10"/>
  <c r="O16" i="10"/>
  <c r="M16" i="10"/>
  <c r="K16" i="10"/>
  <c r="X15" i="10"/>
  <c r="W15" i="10"/>
  <c r="V15" i="10"/>
  <c r="U15" i="10"/>
  <c r="T15" i="10"/>
  <c r="S15" i="10"/>
  <c r="Q15" i="10"/>
  <c r="O15" i="10"/>
  <c r="M15" i="10"/>
  <c r="K15" i="10"/>
  <c r="X14" i="10"/>
  <c r="W14" i="10"/>
  <c r="V14" i="10"/>
  <c r="U14" i="10"/>
  <c r="T14" i="10"/>
  <c r="S14" i="10"/>
  <c r="Q14" i="10"/>
  <c r="O14" i="10"/>
  <c r="M14" i="10"/>
  <c r="K14" i="10"/>
  <c r="X13" i="10"/>
  <c r="W13" i="10"/>
  <c r="V13" i="10"/>
  <c r="U13" i="10"/>
  <c r="T13" i="10"/>
  <c r="S13" i="10"/>
  <c r="Q13" i="10"/>
  <c r="O13" i="10"/>
  <c r="M13" i="10"/>
  <c r="K13" i="10"/>
  <c r="X12" i="10"/>
  <c r="W12" i="10"/>
  <c r="V12" i="10"/>
  <c r="U12" i="10"/>
  <c r="T12" i="10"/>
  <c r="S12" i="10"/>
  <c r="Q12" i="10"/>
  <c r="O12" i="10"/>
  <c r="M12" i="10"/>
  <c r="K12" i="10"/>
  <c r="X11" i="10"/>
  <c r="W11" i="10"/>
  <c r="V11" i="10"/>
  <c r="U11" i="10"/>
  <c r="T11" i="10"/>
  <c r="S11" i="10"/>
  <c r="Q11" i="10"/>
  <c r="O11" i="10"/>
  <c r="M11" i="10"/>
  <c r="K11" i="10"/>
  <c r="X10" i="10"/>
  <c r="W10" i="10"/>
  <c r="V10" i="10"/>
  <c r="U10" i="10"/>
  <c r="T10" i="10"/>
  <c r="S10" i="10"/>
  <c r="Q10" i="10"/>
  <c r="O10" i="10"/>
  <c r="M10" i="10"/>
  <c r="K10" i="10"/>
  <c r="X9" i="10"/>
  <c r="W9" i="10"/>
  <c r="V9" i="10"/>
  <c r="U9" i="10"/>
  <c r="T9" i="10"/>
  <c r="S9" i="10"/>
  <c r="Q9" i="10"/>
  <c r="O9" i="10"/>
  <c r="M9" i="10"/>
  <c r="K9" i="10"/>
  <c r="X8" i="10"/>
  <c r="W8" i="10"/>
  <c r="V8" i="10"/>
  <c r="U8" i="10"/>
  <c r="T8" i="10"/>
  <c r="S8" i="10"/>
  <c r="Q8" i="10"/>
  <c r="O8" i="10"/>
  <c r="M8" i="10"/>
  <c r="K8" i="10"/>
  <c r="X7" i="10"/>
  <c r="W7" i="10"/>
  <c r="V7" i="10"/>
  <c r="U7" i="10"/>
  <c r="T7" i="10"/>
  <c r="S7" i="10"/>
  <c r="Q7" i="10"/>
  <c r="O7" i="10"/>
  <c r="M7" i="10"/>
  <c r="K7" i="10"/>
  <c r="X252" i="9" l="1"/>
  <c r="W252" i="9"/>
  <c r="V252" i="9"/>
  <c r="U252" i="9"/>
  <c r="T252" i="9"/>
  <c r="S252" i="9"/>
  <c r="Q252" i="9"/>
  <c r="O252" i="9"/>
  <c r="M252" i="9"/>
  <c r="K252" i="9"/>
  <c r="X251" i="9"/>
  <c r="W251" i="9"/>
  <c r="V251" i="9"/>
  <c r="U251" i="9"/>
  <c r="T251" i="9"/>
  <c r="S251" i="9"/>
  <c r="Q251" i="9"/>
  <c r="O251" i="9"/>
  <c r="M251" i="9"/>
  <c r="K251" i="9"/>
  <c r="X250" i="9"/>
  <c r="W250" i="9"/>
  <c r="V250" i="9"/>
  <c r="U250" i="9"/>
  <c r="T250" i="9"/>
  <c r="S250" i="9"/>
  <c r="Q250" i="9"/>
  <c r="O250" i="9"/>
  <c r="M250" i="9"/>
  <c r="K250" i="9"/>
  <c r="X249" i="9"/>
  <c r="W249" i="9"/>
  <c r="V249" i="9"/>
  <c r="U249" i="9"/>
  <c r="T249" i="9"/>
  <c r="S249" i="9"/>
  <c r="Q249" i="9"/>
  <c r="O249" i="9"/>
  <c r="M249" i="9"/>
  <c r="K249" i="9"/>
  <c r="X248" i="9"/>
  <c r="W248" i="9"/>
  <c r="V248" i="9"/>
  <c r="U248" i="9"/>
  <c r="T248" i="9"/>
  <c r="S248" i="9"/>
  <c r="Q248" i="9"/>
  <c r="O248" i="9"/>
  <c r="M248" i="9"/>
  <c r="K248" i="9"/>
  <c r="X247" i="9"/>
  <c r="W247" i="9"/>
  <c r="V247" i="9"/>
  <c r="U247" i="9"/>
  <c r="T247" i="9"/>
  <c r="S247" i="9"/>
  <c r="Q247" i="9"/>
  <c r="O247" i="9"/>
  <c r="M247" i="9"/>
  <c r="K247" i="9"/>
  <c r="X246" i="9"/>
  <c r="W246" i="9"/>
  <c r="V246" i="9"/>
  <c r="U246" i="9"/>
  <c r="T246" i="9"/>
  <c r="S246" i="9"/>
  <c r="Q246" i="9"/>
  <c r="O246" i="9"/>
  <c r="M246" i="9"/>
  <c r="K246" i="9"/>
  <c r="X245" i="9"/>
  <c r="W245" i="9"/>
  <c r="V245" i="9"/>
  <c r="U245" i="9"/>
  <c r="T245" i="9"/>
  <c r="S245" i="9"/>
  <c r="Q245" i="9"/>
  <c r="O245" i="9"/>
  <c r="M245" i="9"/>
  <c r="K245" i="9"/>
  <c r="X244" i="9"/>
  <c r="W244" i="9"/>
  <c r="V244" i="9"/>
  <c r="U244" i="9"/>
  <c r="T244" i="9"/>
  <c r="S244" i="9"/>
  <c r="Q244" i="9"/>
  <c r="O244" i="9"/>
  <c r="M244" i="9"/>
  <c r="K244" i="9"/>
  <c r="X243" i="9"/>
  <c r="W243" i="9"/>
  <c r="V243" i="9"/>
  <c r="U243" i="9"/>
  <c r="T243" i="9"/>
  <c r="S243" i="9"/>
  <c r="Q243" i="9"/>
  <c r="O243" i="9"/>
  <c r="M243" i="9"/>
  <c r="K243" i="9"/>
  <c r="X242" i="9"/>
  <c r="W242" i="9"/>
  <c r="V242" i="9"/>
  <c r="U242" i="9"/>
  <c r="T242" i="9"/>
  <c r="S242" i="9"/>
  <c r="Q242" i="9"/>
  <c r="O242" i="9"/>
  <c r="M242" i="9"/>
  <c r="K242" i="9"/>
  <c r="X241" i="9"/>
  <c r="W241" i="9"/>
  <c r="V241" i="9"/>
  <c r="U241" i="9"/>
  <c r="T241" i="9"/>
  <c r="S241" i="9"/>
  <c r="Q241" i="9"/>
  <c r="O241" i="9"/>
  <c r="M241" i="9"/>
  <c r="K241" i="9"/>
  <c r="X240" i="9"/>
  <c r="W240" i="9"/>
  <c r="V240" i="9"/>
  <c r="U240" i="9"/>
  <c r="T240" i="9"/>
  <c r="S240" i="9"/>
  <c r="Q240" i="9"/>
  <c r="O240" i="9"/>
  <c r="M240" i="9"/>
  <c r="K240" i="9"/>
  <c r="X239" i="9"/>
  <c r="W239" i="9"/>
  <c r="V239" i="9"/>
  <c r="U239" i="9"/>
  <c r="T239" i="9"/>
  <c r="S239" i="9"/>
  <c r="Q239" i="9"/>
  <c r="O239" i="9"/>
  <c r="M239" i="9"/>
  <c r="K239" i="9"/>
  <c r="X238" i="9"/>
  <c r="W238" i="9"/>
  <c r="V238" i="9"/>
  <c r="U238" i="9"/>
  <c r="T238" i="9"/>
  <c r="S238" i="9"/>
  <c r="Q238" i="9"/>
  <c r="O238" i="9"/>
  <c r="M238" i="9"/>
  <c r="K238" i="9"/>
  <c r="X237" i="9"/>
  <c r="W237" i="9"/>
  <c r="V237" i="9"/>
  <c r="U237" i="9"/>
  <c r="T237" i="9"/>
  <c r="S237" i="9"/>
  <c r="Q237" i="9"/>
  <c r="O237" i="9"/>
  <c r="M237" i="9"/>
  <c r="K237" i="9"/>
  <c r="X236" i="9"/>
  <c r="W236" i="9"/>
  <c r="V236" i="9"/>
  <c r="U236" i="9"/>
  <c r="T236" i="9"/>
  <c r="S236" i="9"/>
  <c r="Q236" i="9"/>
  <c r="O236" i="9"/>
  <c r="M236" i="9"/>
  <c r="K236" i="9"/>
  <c r="X235" i="9"/>
  <c r="W235" i="9"/>
  <c r="V235" i="9"/>
  <c r="U235" i="9"/>
  <c r="T235" i="9"/>
  <c r="S235" i="9"/>
  <c r="Q235" i="9"/>
  <c r="O235" i="9"/>
  <c r="M235" i="9"/>
  <c r="K235" i="9"/>
  <c r="X234" i="9"/>
  <c r="W234" i="9"/>
  <c r="V234" i="9"/>
  <c r="U234" i="9"/>
  <c r="T234" i="9"/>
  <c r="S234" i="9"/>
  <c r="Q234" i="9"/>
  <c r="O234" i="9"/>
  <c r="M234" i="9"/>
  <c r="K234" i="9"/>
  <c r="X233" i="9"/>
  <c r="W233" i="9"/>
  <c r="V233" i="9"/>
  <c r="U233" i="9"/>
  <c r="T233" i="9"/>
  <c r="S233" i="9"/>
  <c r="Q233" i="9"/>
  <c r="O233" i="9"/>
  <c r="M233" i="9"/>
  <c r="K233" i="9"/>
  <c r="X232" i="9"/>
  <c r="W232" i="9"/>
  <c r="V232" i="9"/>
  <c r="U232" i="9"/>
  <c r="T232" i="9"/>
  <c r="S232" i="9"/>
  <c r="Q232" i="9"/>
  <c r="O232" i="9"/>
  <c r="M232" i="9"/>
  <c r="K232" i="9"/>
  <c r="X231" i="9"/>
  <c r="W231" i="9"/>
  <c r="V231" i="9"/>
  <c r="U231" i="9"/>
  <c r="T231" i="9"/>
  <c r="S231" i="9"/>
  <c r="Q231" i="9"/>
  <c r="O231" i="9"/>
  <c r="M231" i="9"/>
  <c r="K231" i="9"/>
  <c r="X230" i="9"/>
  <c r="W230" i="9"/>
  <c r="V230" i="9"/>
  <c r="U230" i="9"/>
  <c r="T230" i="9"/>
  <c r="S230" i="9"/>
  <c r="Q230" i="9"/>
  <c r="O230" i="9"/>
  <c r="M230" i="9"/>
  <c r="K230" i="9"/>
  <c r="X229" i="9"/>
  <c r="W229" i="9"/>
  <c r="V229" i="9"/>
  <c r="U229" i="9"/>
  <c r="T229" i="9"/>
  <c r="S229" i="9"/>
  <c r="Q229" i="9"/>
  <c r="O229" i="9"/>
  <c r="M229" i="9"/>
  <c r="K229" i="9"/>
  <c r="X228" i="9"/>
  <c r="W228" i="9"/>
  <c r="V228" i="9"/>
  <c r="U228" i="9"/>
  <c r="T228" i="9"/>
  <c r="S228" i="9"/>
  <c r="Q228" i="9"/>
  <c r="O228" i="9"/>
  <c r="M228" i="9"/>
  <c r="K228" i="9"/>
  <c r="X227" i="9"/>
  <c r="W227" i="9"/>
  <c r="V227" i="9"/>
  <c r="U227" i="9"/>
  <c r="T227" i="9"/>
  <c r="S227" i="9"/>
  <c r="Q227" i="9"/>
  <c r="O227" i="9"/>
  <c r="M227" i="9"/>
  <c r="K227" i="9"/>
  <c r="X226" i="9"/>
  <c r="W226" i="9"/>
  <c r="V226" i="9"/>
  <c r="U226" i="9"/>
  <c r="T226" i="9"/>
  <c r="S226" i="9"/>
  <c r="Q226" i="9"/>
  <c r="O226" i="9"/>
  <c r="M226" i="9"/>
  <c r="K226" i="9"/>
  <c r="X225" i="9"/>
  <c r="W225" i="9"/>
  <c r="V225" i="9"/>
  <c r="U225" i="9"/>
  <c r="T225" i="9"/>
  <c r="S225" i="9"/>
  <c r="Q225" i="9"/>
  <c r="O225" i="9"/>
  <c r="M225" i="9"/>
  <c r="K225" i="9"/>
  <c r="X224" i="9"/>
  <c r="W224" i="9"/>
  <c r="V224" i="9"/>
  <c r="U224" i="9"/>
  <c r="T224" i="9"/>
  <c r="S224" i="9"/>
  <c r="Q224" i="9"/>
  <c r="O224" i="9"/>
  <c r="M224" i="9"/>
  <c r="K224" i="9"/>
  <c r="X223" i="9"/>
  <c r="W223" i="9"/>
  <c r="V223" i="9"/>
  <c r="U223" i="9"/>
  <c r="T223" i="9"/>
  <c r="S223" i="9"/>
  <c r="Q223" i="9"/>
  <c r="O223" i="9"/>
  <c r="M223" i="9"/>
  <c r="K223" i="9"/>
  <c r="X222" i="9"/>
  <c r="W222" i="9"/>
  <c r="V222" i="9"/>
  <c r="U222" i="9"/>
  <c r="T222" i="9"/>
  <c r="S222" i="9"/>
  <c r="Q222" i="9"/>
  <c r="O222" i="9"/>
  <c r="M222" i="9"/>
  <c r="K222" i="9"/>
  <c r="X221" i="9"/>
  <c r="W221" i="9"/>
  <c r="V221" i="9"/>
  <c r="U221" i="9"/>
  <c r="T221" i="9"/>
  <c r="S221" i="9"/>
  <c r="Q221" i="9"/>
  <c r="O221" i="9"/>
  <c r="M221" i="9"/>
  <c r="K221" i="9"/>
  <c r="X220" i="9"/>
  <c r="W220" i="9"/>
  <c r="V220" i="9"/>
  <c r="U220" i="9"/>
  <c r="T220" i="9"/>
  <c r="S220" i="9"/>
  <c r="Q220" i="9"/>
  <c r="O220" i="9"/>
  <c r="M220" i="9"/>
  <c r="K220" i="9"/>
  <c r="X219" i="9"/>
  <c r="W219" i="9"/>
  <c r="V219" i="9"/>
  <c r="U219" i="9"/>
  <c r="T219" i="9"/>
  <c r="S219" i="9"/>
  <c r="Q219" i="9"/>
  <c r="O219" i="9"/>
  <c r="M219" i="9"/>
  <c r="K219" i="9"/>
  <c r="X218" i="9"/>
  <c r="W218" i="9"/>
  <c r="V218" i="9"/>
  <c r="U218" i="9"/>
  <c r="T218" i="9"/>
  <c r="S218" i="9"/>
  <c r="Q218" i="9"/>
  <c r="O218" i="9"/>
  <c r="M218" i="9"/>
  <c r="K218" i="9"/>
  <c r="X217" i="9"/>
  <c r="W217" i="9"/>
  <c r="V217" i="9"/>
  <c r="U217" i="9"/>
  <c r="T217" i="9"/>
  <c r="S217" i="9"/>
  <c r="Q217" i="9"/>
  <c r="O217" i="9"/>
  <c r="M217" i="9"/>
  <c r="K217" i="9"/>
  <c r="X216" i="9"/>
  <c r="W216" i="9"/>
  <c r="V216" i="9"/>
  <c r="U216" i="9"/>
  <c r="T216" i="9"/>
  <c r="S216" i="9"/>
  <c r="Q216" i="9"/>
  <c r="O216" i="9"/>
  <c r="M216" i="9"/>
  <c r="K216" i="9"/>
  <c r="X215" i="9"/>
  <c r="W215" i="9"/>
  <c r="V215" i="9"/>
  <c r="U215" i="9"/>
  <c r="T215" i="9"/>
  <c r="S215" i="9"/>
  <c r="Q215" i="9"/>
  <c r="O215" i="9"/>
  <c r="M215" i="9"/>
  <c r="K215" i="9"/>
  <c r="X214" i="9"/>
  <c r="W214" i="9"/>
  <c r="V214" i="9"/>
  <c r="U214" i="9"/>
  <c r="T214" i="9"/>
  <c r="S214" i="9"/>
  <c r="Q214" i="9"/>
  <c r="O214" i="9"/>
  <c r="M214" i="9"/>
  <c r="K214" i="9"/>
  <c r="X213" i="9"/>
  <c r="W213" i="9"/>
  <c r="V213" i="9"/>
  <c r="U213" i="9"/>
  <c r="T213" i="9"/>
  <c r="S213" i="9"/>
  <c r="Q213" i="9"/>
  <c r="O213" i="9"/>
  <c r="M213" i="9"/>
  <c r="K213" i="9"/>
  <c r="X212" i="9"/>
  <c r="W212" i="9"/>
  <c r="V212" i="9"/>
  <c r="U212" i="9"/>
  <c r="T212" i="9"/>
  <c r="S212" i="9"/>
  <c r="Q212" i="9"/>
  <c r="O212" i="9"/>
  <c r="M212" i="9"/>
  <c r="K212" i="9"/>
  <c r="X211" i="9"/>
  <c r="W211" i="9"/>
  <c r="V211" i="9"/>
  <c r="U211" i="9"/>
  <c r="T211" i="9"/>
  <c r="S211" i="9"/>
  <c r="Q211" i="9"/>
  <c r="O211" i="9"/>
  <c r="M211" i="9"/>
  <c r="K211" i="9"/>
  <c r="X210" i="9"/>
  <c r="W210" i="9"/>
  <c r="V210" i="9"/>
  <c r="U210" i="9"/>
  <c r="T210" i="9"/>
  <c r="S210" i="9"/>
  <c r="Q210" i="9"/>
  <c r="O210" i="9"/>
  <c r="M210" i="9"/>
  <c r="K210" i="9"/>
  <c r="X209" i="9"/>
  <c r="W209" i="9"/>
  <c r="V209" i="9"/>
  <c r="U209" i="9"/>
  <c r="T209" i="9"/>
  <c r="S209" i="9"/>
  <c r="Q209" i="9"/>
  <c r="O209" i="9"/>
  <c r="M209" i="9"/>
  <c r="K209" i="9"/>
  <c r="X208" i="9"/>
  <c r="W208" i="9"/>
  <c r="V208" i="9"/>
  <c r="U208" i="9"/>
  <c r="T208" i="9"/>
  <c r="S208" i="9"/>
  <c r="Q208" i="9"/>
  <c r="O208" i="9"/>
  <c r="M208" i="9"/>
  <c r="K208" i="9"/>
  <c r="X207" i="9"/>
  <c r="W207" i="9"/>
  <c r="V207" i="9"/>
  <c r="U207" i="9"/>
  <c r="T207" i="9"/>
  <c r="S207" i="9"/>
  <c r="Q207" i="9"/>
  <c r="O207" i="9"/>
  <c r="M207" i="9"/>
  <c r="K207" i="9"/>
  <c r="X206" i="9"/>
  <c r="W206" i="9"/>
  <c r="V206" i="9"/>
  <c r="U206" i="9"/>
  <c r="T206" i="9"/>
  <c r="S206" i="9"/>
  <c r="Q206" i="9"/>
  <c r="O206" i="9"/>
  <c r="M206" i="9"/>
  <c r="K206" i="9"/>
  <c r="X205" i="9"/>
  <c r="W205" i="9"/>
  <c r="V205" i="9"/>
  <c r="U205" i="9"/>
  <c r="T205" i="9"/>
  <c r="S205" i="9"/>
  <c r="Q205" i="9"/>
  <c r="O205" i="9"/>
  <c r="M205" i="9"/>
  <c r="K205" i="9"/>
  <c r="X204" i="9"/>
  <c r="W204" i="9"/>
  <c r="V204" i="9"/>
  <c r="U204" i="9"/>
  <c r="T204" i="9"/>
  <c r="S204" i="9"/>
  <c r="Q204" i="9"/>
  <c r="O204" i="9"/>
  <c r="M204" i="9"/>
  <c r="K204" i="9"/>
  <c r="X203" i="9"/>
  <c r="W203" i="9"/>
  <c r="V203" i="9"/>
  <c r="U203" i="9"/>
  <c r="T203" i="9"/>
  <c r="S203" i="9"/>
  <c r="Q203" i="9"/>
  <c r="O203" i="9"/>
  <c r="M203" i="9"/>
  <c r="K203" i="9"/>
  <c r="X202" i="9"/>
  <c r="W202" i="9"/>
  <c r="V202" i="9"/>
  <c r="U202" i="9"/>
  <c r="T202" i="9"/>
  <c r="S202" i="9"/>
  <c r="Q202" i="9"/>
  <c r="O202" i="9"/>
  <c r="M202" i="9"/>
  <c r="K202" i="9"/>
  <c r="X201" i="9"/>
  <c r="W201" i="9"/>
  <c r="V201" i="9"/>
  <c r="U201" i="9"/>
  <c r="T201" i="9"/>
  <c r="S201" i="9"/>
  <c r="Q201" i="9"/>
  <c r="O201" i="9"/>
  <c r="M201" i="9"/>
  <c r="K201" i="9"/>
  <c r="X200" i="9"/>
  <c r="W200" i="9"/>
  <c r="V200" i="9"/>
  <c r="U200" i="9"/>
  <c r="T200" i="9"/>
  <c r="S200" i="9"/>
  <c r="Q200" i="9"/>
  <c r="O200" i="9"/>
  <c r="M200" i="9"/>
  <c r="K200" i="9"/>
  <c r="X199" i="9"/>
  <c r="W199" i="9"/>
  <c r="V199" i="9"/>
  <c r="U199" i="9"/>
  <c r="T199" i="9"/>
  <c r="S199" i="9"/>
  <c r="Q199" i="9"/>
  <c r="O199" i="9"/>
  <c r="M199" i="9"/>
  <c r="K199" i="9"/>
  <c r="X198" i="9"/>
  <c r="W198" i="9"/>
  <c r="V198" i="9"/>
  <c r="U198" i="9"/>
  <c r="T198" i="9"/>
  <c r="S198" i="9"/>
  <c r="Q198" i="9"/>
  <c r="O198" i="9"/>
  <c r="M198" i="9"/>
  <c r="K198" i="9"/>
  <c r="X197" i="9"/>
  <c r="W197" i="9"/>
  <c r="V197" i="9"/>
  <c r="U197" i="9"/>
  <c r="T197" i="9"/>
  <c r="S197" i="9"/>
  <c r="Q197" i="9"/>
  <c r="O197" i="9"/>
  <c r="M197" i="9"/>
  <c r="K197" i="9"/>
  <c r="X196" i="9"/>
  <c r="W196" i="9"/>
  <c r="V196" i="9"/>
  <c r="U196" i="9"/>
  <c r="T196" i="9"/>
  <c r="S196" i="9"/>
  <c r="Q196" i="9"/>
  <c r="O196" i="9"/>
  <c r="M196" i="9"/>
  <c r="K196" i="9"/>
  <c r="X195" i="9"/>
  <c r="W195" i="9"/>
  <c r="V195" i="9"/>
  <c r="U195" i="9"/>
  <c r="T195" i="9"/>
  <c r="S195" i="9"/>
  <c r="Q195" i="9"/>
  <c r="O195" i="9"/>
  <c r="M195" i="9"/>
  <c r="K195" i="9"/>
  <c r="X194" i="9"/>
  <c r="W194" i="9"/>
  <c r="V194" i="9"/>
  <c r="U194" i="9"/>
  <c r="T194" i="9"/>
  <c r="S194" i="9"/>
  <c r="Q194" i="9"/>
  <c r="O194" i="9"/>
  <c r="M194" i="9"/>
  <c r="K194" i="9"/>
  <c r="X193" i="9"/>
  <c r="W193" i="9"/>
  <c r="V193" i="9"/>
  <c r="U193" i="9"/>
  <c r="T193" i="9"/>
  <c r="S193" i="9"/>
  <c r="Q193" i="9"/>
  <c r="O193" i="9"/>
  <c r="M193" i="9"/>
  <c r="K193" i="9"/>
  <c r="X192" i="9"/>
  <c r="W192" i="9"/>
  <c r="V192" i="9"/>
  <c r="U192" i="9"/>
  <c r="T192" i="9"/>
  <c r="S192" i="9"/>
  <c r="Q192" i="9"/>
  <c r="O192" i="9"/>
  <c r="M192" i="9"/>
  <c r="K192" i="9"/>
  <c r="X191" i="9"/>
  <c r="W191" i="9"/>
  <c r="V191" i="9"/>
  <c r="U191" i="9"/>
  <c r="T191" i="9"/>
  <c r="S191" i="9"/>
  <c r="Q191" i="9"/>
  <c r="O191" i="9"/>
  <c r="M191" i="9"/>
  <c r="K191" i="9"/>
  <c r="X190" i="9"/>
  <c r="W190" i="9"/>
  <c r="V190" i="9"/>
  <c r="U190" i="9"/>
  <c r="T190" i="9"/>
  <c r="S190" i="9"/>
  <c r="Q190" i="9"/>
  <c r="O190" i="9"/>
  <c r="M190" i="9"/>
  <c r="K190" i="9"/>
  <c r="X189" i="9"/>
  <c r="W189" i="9"/>
  <c r="V189" i="9"/>
  <c r="U189" i="9"/>
  <c r="T189" i="9"/>
  <c r="S189" i="9"/>
  <c r="Q189" i="9"/>
  <c r="O189" i="9"/>
  <c r="M189" i="9"/>
  <c r="K189" i="9"/>
  <c r="X188" i="9"/>
  <c r="W188" i="9"/>
  <c r="V188" i="9"/>
  <c r="U188" i="9"/>
  <c r="T188" i="9"/>
  <c r="S188" i="9"/>
  <c r="Q188" i="9"/>
  <c r="O188" i="9"/>
  <c r="M188" i="9"/>
  <c r="K188" i="9"/>
  <c r="X187" i="9"/>
  <c r="W187" i="9"/>
  <c r="V187" i="9"/>
  <c r="U187" i="9"/>
  <c r="T187" i="9"/>
  <c r="S187" i="9"/>
  <c r="Q187" i="9"/>
  <c r="O187" i="9"/>
  <c r="M187" i="9"/>
  <c r="K187" i="9"/>
  <c r="X186" i="9"/>
  <c r="W186" i="9"/>
  <c r="V186" i="9"/>
  <c r="U186" i="9"/>
  <c r="T186" i="9"/>
  <c r="S186" i="9"/>
  <c r="Q186" i="9"/>
  <c r="O186" i="9"/>
  <c r="M186" i="9"/>
  <c r="K186" i="9"/>
  <c r="X185" i="9"/>
  <c r="W185" i="9"/>
  <c r="V185" i="9"/>
  <c r="U185" i="9"/>
  <c r="T185" i="9"/>
  <c r="S185" i="9"/>
  <c r="Q185" i="9"/>
  <c r="O185" i="9"/>
  <c r="M185" i="9"/>
  <c r="K185" i="9"/>
  <c r="X184" i="9"/>
  <c r="W184" i="9"/>
  <c r="V184" i="9"/>
  <c r="U184" i="9"/>
  <c r="T184" i="9"/>
  <c r="S184" i="9"/>
  <c r="Q184" i="9"/>
  <c r="O184" i="9"/>
  <c r="M184" i="9"/>
  <c r="K184" i="9"/>
  <c r="X183" i="9"/>
  <c r="W183" i="9"/>
  <c r="V183" i="9"/>
  <c r="U183" i="9"/>
  <c r="T183" i="9"/>
  <c r="S183" i="9"/>
  <c r="Q183" i="9"/>
  <c r="O183" i="9"/>
  <c r="M183" i="9"/>
  <c r="K183" i="9"/>
  <c r="X182" i="9"/>
  <c r="W182" i="9"/>
  <c r="V182" i="9"/>
  <c r="U182" i="9"/>
  <c r="T182" i="9"/>
  <c r="S182" i="9"/>
  <c r="Q182" i="9"/>
  <c r="O182" i="9"/>
  <c r="M182" i="9"/>
  <c r="K182" i="9"/>
  <c r="X181" i="9"/>
  <c r="W181" i="9"/>
  <c r="V181" i="9"/>
  <c r="U181" i="9"/>
  <c r="T181" i="9"/>
  <c r="S181" i="9"/>
  <c r="Q181" i="9"/>
  <c r="O181" i="9"/>
  <c r="M181" i="9"/>
  <c r="K181" i="9"/>
  <c r="X180" i="9"/>
  <c r="W180" i="9"/>
  <c r="V180" i="9"/>
  <c r="U180" i="9"/>
  <c r="T180" i="9"/>
  <c r="S180" i="9"/>
  <c r="Q180" i="9"/>
  <c r="O180" i="9"/>
  <c r="M180" i="9"/>
  <c r="K180" i="9"/>
  <c r="X179" i="9"/>
  <c r="W179" i="9"/>
  <c r="V179" i="9"/>
  <c r="U179" i="9"/>
  <c r="T179" i="9"/>
  <c r="S179" i="9"/>
  <c r="Q179" i="9"/>
  <c r="O179" i="9"/>
  <c r="M179" i="9"/>
  <c r="K179" i="9"/>
  <c r="X178" i="9"/>
  <c r="W178" i="9"/>
  <c r="V178" i="9"/>
  <c r="U178" i="9"/>
  <c r="T178" i="9"/>
  <c r="S178" i="9"/>
  <c r="Q178" i="9"/>
  <c r="O178" i="9"/>
  <c r="M178" i="9"/>
  <c r="K178" i="9"/>
  <c r="X177" i="9"/>
  <c r="W177" i="9"/>
  <c r="V177" i="9"/>
  <c r="U177" i="9"/>
  <c r="T177" i="9"/>
  <c r="S177" i="9"/>
  <c r="Q177" i="9"/>
  <c r="O177" i="9"/>
  <c r="M177" i="9"/>
  <c r="K177" i="9"/>
  <c r="X176" i="9"/>
  <c r="W176" i="9"/>
  <c r="V176" i="9"/>
  <c r="U176" i="9"/>
  <c r="T176" i="9"/>
  <c r="S176" i="9"/>
  <c r="Q176" i="9"/>
  <c r="O176" i="9"/>
  <c r="M176" i="9"/>
  <c r="K176" i="9"/>
  <c r="X175" i="9"/>
  <c r="W175" i="9"/>
  <c r="V175" i="9"/>
  <c r="U175" i="9"/>
  <c r="T175" i="9"/>
  <c r="S175" i="9"/>
  <c r="Q175" i="9"/>
  <c r="O175" i="9"/>
  <c r="M175" i="9"/>
  <c r="K175" i="9"/>
  <c r="X174" i="9"/>
  <c r="W174" i="9"/>
  <c r="V174" i="9"/>
  <c r="U174" i="9"/>
  <c r="T174" i="9"/>
  <c r="S174" i="9"/>
  <c r="Q174" i="9"/>
  <c r="O174" i="9"/>
  <c r="M174" i="9"/>
  <c r="K174" i="9"/>
  <c r="X173" i="9"/>
  <c r="W173" i="9"/>
  <c r="V173" i="9"/>
  <c r="U173" i="9"/>
  <c r="T173" i="9"/>
  <c r="S173" i="9"/>
  <c r="Q173" i="9"/>
  <c r="O173" i="9"/>
  <c r="M173" i="9"/>
  <c r="K173" i="9"/>
  <c r="X172" i="9"/>
  <c r="W172" i="9"/>
  <c r="V172" i="9"/>
  <c r="U172" i="9"/>
  <c r="T172" i="9"/>
  <c r="S172" i="9"/>
  <c r="Q172" i="9"/>
  <c r="O172" i="9"/>
  <c r="M172" i="9"/>
  <c r="K172" i="9"/>
  <c r="X171" i="9"/>
  <c r="W171" i="9"/>
  <c r="V171" i="9"/>
  <c r="U171" i="9"/>
  <c r="T171" i="9"/>
  <c r="S171" i="9"/>
  <c r="Q171" i="9"/>
  <c r="O171" i="9"/>
  <c r="M171" i="9"/>
  <c r="K171" i="9"/>
  <c r="X170" i="9"/>
  <c r="W170" i="9"/>
  <c r="V170" i="9"/>
  <c r="U170" i="9"/>
  <c r="T170" i="9"/>
  <c r="S170" i="9"/>
  <c r="Q170" i="9"/>
  <c r="O170" i="9"/>
  <c r="M170" i="9"/>
  <c r="K170" i="9"/>
  <c r="X169" i="9"/>
  <c r="W169" i="9"/>
  <c r="V169" i="9"/>
  <c r="U169" i="9"/>
  <c r="T169" i="9"/>
  <c r="S169" i="9"/>
  <c r="Q169" i="9"/>
  <c r="O169" i="9"/>
  <c r="M169" i="9"/>
  <c r="K169" i="9"/>
  <c r="X168" i="9"/>
  <c r="W168" i="9"/>
  <c r="V168" i="9"/>
  <c r="U168" i="9"/>
  <c r="T168" i="9"/>
  <c r="S168" i="9"/>
  <c r="Q168" i="9"/>
  <c r="O168" i="9"/>
  <c r="M168" i="9"/>
  <c r="K168" i="9"/>
  <c r="X167" i="9"/>
  <c r="W167" i="9"/>
  <c r="V167" i="9"/>
  <c r="U167" i="9"/>
  <c r="T167" i="9"/>
  <c r="S167" i="9"/>
  <c r="Q167" i="9"/>
  <c r="O167" i="9"/>
  <c r="M167" i="9"/>
  <c r="K167" i="9"/>
  <c r="X166" i="9"/>
  <c r="W166" i="9"/>
  <c r="V166" i="9"/>
  <c r="U166" i="9"/>
  <c r="T166" i="9"/>
  <c r="S166" i="9"/>
  <c r="Q166" i="9"/>
  <c r="O166" i="9"/>
  <c r="M166" i="9"/>
  <c r="K166" i="9"/>
  <c r="X165" i="9"/>
  <c r="W165" i="9"/>
  <c r="V165" i="9"/>
  <c r="U165" i="9"/>
  <c r="T165" i="9"/>
  <c r="S165" i="9"/>
  <c r="Q165" i="9"/>
  <c r="O165" i="9"/>
  <c r="M165" i="9"/>
  <c r="K165" i="9"/>
  <c r="X164" i="9"/>
  <c r="W164" i="9"/>
  <c r="V164" i="9"/>
  <c r="U164" i="9"/>
  <c r="T164" i="9"/>
  <c r="S164" i="9"/>
  <c r="Q164" i="9"/>
  <c r="O164" i="9"/>
  <c r="M164" i="9"/>
  <c r="K164" i="9"/>
  <c r="X163" i="9"/>
  <c r="W163" i="9"/>
  <c r="V163" i="9"/>
  <c r="U163" i="9"/>
  <c r="T163" i="9"/>
  <c r="S163" i="9"/>
  <c r="Q163" i="9"/>
  <c r="O163" i="9"/>
  <c r="M163" i="9"/>
  <c r="K163" i="9"/>
  <c r="X162" i="9"/>
  <c r="W162" i="9"/>
  <c r="V162" i="9"/>
  <c r="U162" i="9"/>
  <c r="T162" i="9"/>
  <c r="S162" i="9"/>
  <c r="Q162" i="9"/>
  <c r="O162" i="9"/>
  <c r="M162" i="9"/>
  <c r="K162" i="9"/>
  <c r="X161" i="9"/>
  <c r="W161" i="9"/>
  <c r="V161" i="9"/>
  <c r="U161" i="9"/>
  <c r="T161" i="9"/>
  <c r="S161" i="9"/>
  <c r="Q161" i="9"/>
  <c r="O161" i="9"/>
  <c r="M161" i="9"/>
  <c r="K161" i="9"/>
  <c r="X160" i="9"/>
  <c r="W160" i="9"/>
  <c r="V160" i="9"/>
  <c r="U160" i="9"/>
  <c r="T160" i="9"/>
  <c r="S160" i="9"/>
  <c r="Q160" i="9"/>
  <c r="O160" i="9"/>
  <c r="M160" i="9"/>
  <c r="K160" i="9"/>
  <c r="X159" i="9"/>
  <c r="W159" i="9"/>
  <c r="V159" i="9"/>
  <c r="U159" i="9"/>
  <c r="T159" i="9"/>
  <c r="S159" i="9"/>
  <c r="Q159" i="9"/>
  <c r="O159" i="9"/>
  <c r="M159" i="9"/>
  <c r="K159" i="9"/>
  <c r="X158" i="9"/>
  <c r="W158" i="9"/>
  <c r="V158" i="9"/>
  <c r="U158" i="9"/>
  <c r="T158" i="9"/>
  <c r="S158" i="9"/>
  <c r="Q158" i="9"/>
  <c r="O158" i="9"/>
  <c r="M158" i="9"/>
  <c r="K158" i="9"/>
  <c r="X157" i="9"/>
  <c r="W157" i="9"/>
  <c r="V157" i="9"/>
  <c r="U157" i="9"/>
  <c r="T157" i="9"/>
  <c r="S157" i="9"/>
  <c r="Q157" i="9"/>
  <c r="O157" i="9"/>
  <c r="M157" i="9"/>
  <c r="K157" i="9"/>
  <c r="X156" i="9"/>
  <c r="W156" i="9"/>
  <c r="V156" i="9"/>
  <c r="U156" i="9"/>
  <c r="T156" i="9"/>
  <c r="S156" i="9"/>
  <c r="Q156" i="9"/>
  <c r="O156" i="9"/>
  <c r="M156" i="9"/>
  <c r="K156" i="9"/>
  <c r="X155" i="9"/>
  <c r="W155" i="9"/>
  <c r="V155" i="9"/>
  <c r="U155" i="9"/>
  <c r="T155" i="9"/>
  <c r="S155" i="9"/>
  <c r="Q155" i="9"/>
  <c r="O155" i="9"/>
  <c r="M155" i="9"/>
  <c r="K155" i="9"/>
  <c r="X154" i="9"/>
  <c r="W154" i="9"/>
  <c r="V154" i="9"/>
  <c r="U154" i="9"/>
  <c r="T154" i="9"/>
  <c r="S154" i="9"/>
  <c r="Q154" i="9"/>
  <c r="O154" i="9"/>
  <c r="M154" i="9"/>
  <c r="K154" i="9"/>
  <c r="X153" i="9"/>
  <c r="W153" i="9"/>
  <c r="V153" i="9"/>
  <c r="U153" i="9"/>
  <c r="T153" i="9"/>
  <c r="S153" i="9"/>
  <c r="Q153" i="9"/>
  <c r="O153" i="9"/>
  <c r="M153" i="9"/>
  <c r="K153" i="9"/>
  <c r="X152" i="9"/>
  <c r="W152" i="9"/>
  <c r="V152" i="9"/>
  <c r="U152" i="9"/>
  <c r="T152" i="9"/>
  <c r="S152" i="9"/>
  <c r="Q152" i="9"/>
  <c r="O152" i="9"/>
  <c r="M152" i="9"/>
  <c r="K152" i="9"/>
  <c r="X151" i="9"/>
  <c r="W151" i="9"/>
  <c r="V151" i="9"/>
  <c r="U151" i="9"/>
  <c r="T151" i="9"/>
  <c r="S151" i="9"/>
  <c r="Q151" i="9"/>
  <c r="O151" i="9"/>
  <c r="M151" i="9"/>
  <c r="K151" i="9"/>
  <c r="X150" i="9"/>
  <c r="W150" i="9"/>
  <c r="V150" i="9"/>
  <c r="U150" i="9"/>
  <c r="T150" i="9"/>
  <c r="S150" i="9"/>
  <c r="Q150" i="9"/>
  <c r="O150" i="9"/>
  <c r="M150" i="9"/>
  <c r="K150" i="9"/>
  <c r="X149" i="9"/>
  <c r="W149" i="9"/>
  <c r="V149" i="9"/>
  <c r="U149" i="9"/>
  <c r="T149" i="9"/>
  <c r="S149" i="9"/>
  <c r="Q149" i="9"/>
  <c r="O149" i="9"/>
  <c r="M149" i="9"/>
  <c r="K149" i="9"/>
  <c r="X148" i="9"/>
  <c r="W148" i="9"/>
  <c r="V148" i="9"/>
  <c r="U148" i="9"/>
  <c r="T148" i="9"/>
  <c r="S148" i="9"/>
  <c r="Q148" i="9"/>
  <c r="O148" i="9"/>
  <c r="M148" i="9"/>
  <c r="K148" i="9"/>
  <c r="X147" i="9"/>
  <c r="W147" i="9"/>
  <c r="V147" i="9"/>
  <c r="U147" i="9"/>
  <c r="T147" i="9"/>
  <c r="S147" i="9"/>
  <c r="Q147" i="9"/>
  <c r="O147" i="9"/>
  <c r="M147" i="9"/>
  <c r="K147" i="9"/>
  <c r="X146" i="9"/>
  <c r="W146" i="9"/>
  <c r="V146" i="9"/>
  <c r="U146" i="9"/>
  <c r="T146" i="9"/>
  <c r="S146" i="9"/>
  <c r="Q146" i="9"/>
  <c r="O146" i="9"/>
  <c r="M146" i="9"/>
  <c r="K146" i="9"/>
  <c r="X145" i="9"/>
  <c r="W145" i="9"/>
  <c r="V145" i="9"/>
  <c r="U145" i="9"/>
  <c r="T145" i="9"/>
  <c r="S145" i="9"/>
  <c r="Q145" i="9"/>
  <c r="O145" i="9"/>
  <c r="M145" i="9"/>
  <c r="K145" i="9"/>
  <c r="X144" i="9"/>
  <c r="W144" i="9"/>
  <c r="V144" i="9"/>
  <c r="U144" i="9"/>
  <c r="T144" i="9"/>
  <c r="S144" i="9"/>
  <c r="Q144" i="9"/>
  <c r="O144" i="9"/>
  <c r="M144" i="9"/>
  <c r="K144" i="9"/>
  <c r="X143" i="9"/>
  <c r="W143" i="9"/>
  <c r="V143" i="9"/>
  <c r="U143" i="9"/>
  <c r="T143" i="9"/>
  <c r="S143" i="9"/>
  <c r="Q143" i="9"/>
  <c r="O143" i="9"/>
  <c r="M143" i="9"/>
  <c r="K143" i="9"/>
  <c r="X142" i="9"/>
  <c r="W142" i="9"/>
  <c r="V142" i="9"/>
  <c r="U142" i="9"/>
  <c r="T142" i="9"/>
  <c r="S142" i="9"/>
  <c r="Q142" i="9"/>
  <c r="O142" i="9"/>
  <c r="M142" i="9"/>
  <c r="K142" i="9"/>
  <c r="X141" i="9"/>
  <c r="W141" i="9"/>
  <c r="V141" i="9"/>
  <c r="U141" i="9"/>
  <c r="T141" i="9"/>
  <c r="S141" i="9"/>
  <c r="Q141" i="9"/>
  <c r="O141" i="9"/>
  <c r="M141" i="9"/>
  <c r="K141" i="9"/>
  <c r="X140" i="9"/>
  <c r="W140" i="9"/>
  <c r="V140" i="9"/>
  <c r="U140" i="9"/>
  <c r="T140" i="9"/>
  <c r="S140" i="9"/>
  <c r="Q140" i="9"/>
  <c r="O140" i="9"/>
  <c r="M140" i="9"/>
  <c r="K140" i="9"/>
  <c r="X139" i="9"/>
  <c r="W139" i="9"/>
  <c r="V139" i="9"/>
  <c r="U139" i="9"/>
  <c r="T139" i="9"/>
  <c r="S139" i="9"/>
  <c r="Q139" i="9"/>
  <c r="O139" i="9"/>
  <c r="M139" i="9"/>
  <c r="K139" i="9"/>
  <c r="X138" i="9"/>
  <c r="W138" i="9"/>
  <c r="V138" i="9"/>
  <c r="U138" i="9"/>
  <c r="T138" i="9"/>
  <c r="S138" i="9"/>
  <c r="Q138" i="9"/>
  <c r="O138" i="9"/>
  <c r="M138" i="9"/>
  <c r="K138" i="9"/>
  <c r="X137" i="9"/>
  <c r="W137" i="9"/>
  <c r="V137" i="9"/>
  <c r="U137" i="9"/>
  <c r="T137" i="9"/>
  <c r="S137" i="9"/>
  <c r="Q137" i="9"/>
  <c r="O137" i="9"/>
  <c r="M137" i="9"/>
  <c r="K137" i="9"/>
  <c r="X136" i="9"/>
  <c r="W136" i="9"/>
  <c r="V136" i="9"/>
  <c r="U136" i="9"/>
  <c r="T136" i="9"/>
  <c r="S136" i="9"/>
  <c r="Q136" i="9"/>
  <c r="O136" i="9"/>
  <c r="M136" i="9"/>
  <c r="K136" i="9"/>
  <c r="X135" i="9"/>
  <c r="W135" i="9"/>
  <c r="V135" i="9"/>
  <c r="U135" i="9"/>
  <c r="T135" i="9"/>
  <c r="S135" i="9"/>
  <c r="Q135" i="9"/>
  <c r="O135" i="9"/>
  <c r="M135" i="9"/>
  <c r="K135" i="9"/>
  <c r="X134" i="9"/>
  <c r="W134" i="9"/>
  <c r="V134" i="9"/>
  <c r="U134" i="9"/>
  <c r="T134" i="9"/>
  <c r="S134" i="9"/>
  <c r="Q134" i="9"/>
  <c r="O134" i="9"/>
  <c r="M134" i="9"/>
  <c r="K134" i="9"/>
  <c r="X133" i="9"/>
  <c r="W133" i="9"/>
  <c r="V133" i="9"/>
  <c r="U133" i="9"/>
  <c r="T133" i="9"/>
  <c r="S133" i="9"/>
  <c r="Q133" i="9"/>
  <c r="O133" i="9"/>
  <c r="M133" i="9"/>
  <c r="K133" i="9"/>
  <c r="X132" i="9"/>
  <c r="W132" i="9"/>
  <c r="V132" i="9"/>
  <c r="U132" i="9"/>
  <c r="T132" i="9"/>
  <c r="S132" i="9"/>
  <c r="Q132" i="9"/>
  <c r="O132" i="9"/>
  <c r="M132" i="9"/>
  <c r="K132" i="9"/>
  <c r="X131" i="9"/>
  <c r="W131" i="9"/>
  <c r="V131" i="9"/>
  <c r="U131" i="9"/>
  <c r="T131" i="9"/>
  <c r="S131" i="9"/>
  <c r="Q131" i="9"/>
  <c r="O131" i="9"/>
  <c r="M131" i="9"/>
  <c r="K131" i="9"/>
  <c r="X130" i="9"/>
  <c r="W130" i="9"/>
  <c r="V130" i="9"/>
  <c r="U130" i="9"/>
  <c r="T130" i="9"/>
  <c r="S130" i="9"/>
  <c r="Q130" i="9"/>
  <c r="O130" i="9"/>
  <c r="M130" i="9"/>
  <c r="K130" i="9"/>
  <c r="X129" i="9"/>
  <c r="W129" i="9"/>
  <c r="V129" i="9"/>
  <c r="U129" i="9"/>
  <c r="T129" i="9"/>
  <c r="S129" i="9"/>
  <c r="Q129" i="9"/>
  <c r="O129" i="9"/>
  <c r="M129" i="9"/>
  <c r="K129" i="9"/>
  <c r="X128" i="9"/>
  <c r="W128" i="9"/>
  <c r="V128" i="9"/>
  <c r="U128" i="9"/>
  <c r="T128" i="9"/>
  <c r="S128" i="9"/>
  <c r="Q128" i="9"/>
  <c r="O128" i="9"/>
  <c r="M128" i="9"/>
  <c r="K128" i="9"/>
  <c r="X127" i="9"/>
  <c r="W127" i="9"/>
  <c r="V127" i="9"/>
  <c r="U127" i="9"/>
  <c r="T127" i="9"/>
  <c r="S127" i="9"/>
  <c r="Q127" i="9"/>
  <c r="O127" i="9"/>
  <c r="M127" i="9"/>
  <c r="K127" i="9"/>
  <c r="X126" i="9"/>
  <c r="W126" i="9"/>
  <c r="V126" i="9"/>
  <c r="U126" i="9"/>
  <c r="T126" i="9"/>
  <c r="S126" i="9"/>
  <c r="Q126" i="9"/>
  <c r="O126" i="9"/>
  <c r="M126" i="9"/>
  <c r="K126" i="9"/>
  <c r="X125" i="9"/>
  <c r="W125" i="9"/>
  <c r="V125" i="9"/>
  <c r="U125" i="9"/>
  <c r="T125" i="9"/>
  <c r="S125" i="9"/>
  <c r="Q125" i="9"/>
  <c r="O125" i="9"/>
  <c r="M125" i="9"/>
  <c r="K125" i="9"/>
  <c r="X124" i="9"/>
  <c r="W124" i="9"/>
  <c r="V124" i="9"/>
  <c r="U124" i="9"/>
  <c r="T124" i="9"/>
  <c r="S124" i="9"/>
  <c r="Q124" i="9"/>
  <c r="O124" i="9"/>
  <c r="M124" i="9"/>
  <c r="K124" i="9"/>
  <c r="X123" i="9"/>
  <c r="W123" i="9"/>
  <c r="V123" i="9"/>
  <c r="U123" i="9"/>
  <c r="T123" i="9"/>
  <c r="S123" i="9"/>
  <c r="Q123" i="9"/>
  <c r="O123" i="9"/>
  <c r="M123" i="9"/>
  <c r="K123" i="9"/>
  <c r="X122" i="9"/>
  <c r="W122" i="9"/>
  <c r="V122" i="9"/>
  <c r="U122" i="9"/>
  <c r="T122" i="9"/>
  <c r="S122" i="9"/>
  <c r="Q122" i="9"/>
  <c r="O122" i="9"/>
  <c r="M122" i="9"/>
  <c r="K122" i="9"/>
  <c r="X121" i="9"/>
  <c r="W121" i="9"/>
  <c r="V121" i="9"/>
  <c r="U121" i="9"/>
  <c r="T121" i="9"/>
  <c r="S121" i="9"/>
  <c r="Q121" i="9"/>
  <c r="O121" i="9"/>
  <c r="M121" i="9"/>
  <c r="K121" i="9"/>
  <c r="X120" i="9"/>
  <c r="W120" i="9"/>
  <c r="V120" i="9"/>
  <c r="U120" i="9"/>
  <c r="T120" i="9"/>
  <c r="S120" i="9"/>
  <c r="Q120" i="9"/>
  <c r="O120" i="9"/>
  <c r="M120" i="9"/>
  <c r="K120" i="9"/>
  <c r="X119" i="9"/>
  <c r="W119" i="9"/>
  <c r="V119" i="9"/>
  <c r="U119" i="9"/>
  <c r="T119" i="9"/>
  <c r="S119" i="9"/>
  <c r="Q119" i="9"/>
  <c r="O119" i="9"/>
  <c r="M119" i="9"/>
  <c r="K119" i="9"/>
  <c r="X118" i="9"/>
  <c r="W118" i="9"/>
  <c r="V118" i="9"/>
  <c r="U118" i="9"/>
  <c r="T118" i="9"/>
  <c r="S118" i="9"/>
  <c r="Q118" i="9"/>
  <c r="O118" i="9"/>
  <c r="M118" i="9"/>
  <c r="K118" i="9"/>
  <c r="X117" i="9"/>
  <c r="W117" i="9"/>
  <c r="V117" i="9"/>
  <c r="U117" i="9"/>
  <c r="T117" i="9"/>
  <c r="S117" i="9"/>
  <c r="Q117" i="9"/>
  <c r="O117" i="9"/>
  <c r="M117" i="9"/>
  <c r="K117" i="9"/>
  <c r="X116" i="9"/>
  <c r="W116" i="9"/>
  <c r="V116" i="9"/>
  <c r="U116" i="9"/>
  <c r="T116" i="9"/>
  <c r="S116" i="9"/>
  <c r="Q116" i="9"/>
  <c r="O116" i="9"/>
  <c r="M116" i="9"/>
  <c r="K116" i="9"/>
  <c r="X115" i="9"/>
  <c r="W115" i="9"/>
  <c r="V115" i="9"/>
  <c r="U115" i="9"/>
  <c r="T115" i="9"/>
  <c r="S115" i="9"/>
  <c r="Q115" i="9"/>
  <c r="O115" i="9"/>
  <c r="M115" i="9"/>
  <c r="K115" i="9"/>
  <c r="X114" i="9"/>
  <c r="W114" i="9"/>
  <c r="V114" i="9"/>
  <c r="U114" i="9"/>
  <c r="T114" i="9"/>
  <c r="S114" i="9"/>
  <c r="Q114" i="9"/>
  <c r="O114" i="9"/>
  <c r="M114" i="9"/>
  <c r="K114" i="9"/>
  <c r="X113" i="9"/>
  <c r="W113" i="9"/>
  <c r="V113" i="9"/>
  <c r="U113" i="9"/>
  <c r="T113" i="9"/>
  <c r="S113" i="9"/>
  <c r="Q113" i="9"/>
  <c r="O113" i="9"/>
  <c r="M113" i="9"/>
  <c r="K113" i="9"/>
  <c r="X112" i="9"/>
  <c r="W112" i="9"/>
  <c r="V112" i="9"/>
  <c r="U112" i="9"/>
  <c r="T112" i="9"/>
  <c r="S112" i="9"/>
  <c r="Q112" i="9"/>
  <c r="O112" i="9"/>
  <c r="M112" i="9"/>
  <c r="K112" i="9"/>
  <c r="X111" i="9"/>
  <c r="W111" i="9"/>
  <c r="V111" i="9"/>
  <c r="U111" i="9"/>
  <c r="T111" i="9"/>
  <c r="S111" i="9"/>
  <c r="Q111" i="9"/>
  <c r="O111" i="9"/>
  <c r="M111" i="9"/>
  <c r="K111" i="9"/>
  <c r="X110" i="9"/>
  <c r="W110" i="9"/>
  <c r="V110" i="9"/>
  <c r="U110" i="9"/>
  <c r="T110" i="9"/>
  <c r="S110" i="9"/>
  <c r="Q110" i="9"/>
  <c r="O110" i="9"/>
  <c r="M110" i="9"/>
  <c r="K110" i="9"/>
  <c r="X109" i="9"/>
  <c r="W109" i="9"/>
  <c r="V109" i="9"/>
  <c r="U109" i="9"/>
  <c r="T109" i="9"/>
  <c r="S109" i="9"/>
  <c r="Q109" i="9"/>
  <c r="O109" i="9"/>
  <c r="M109" i="9"/>
  <c r="K109" i="9"/>
  <c r="X108" i="9"/>
  <c r="W108" i="9"/>
  <c r="V108" i="9"/>
  <c r="U108" i="9"/>
  <c r="T108" i="9"/>
  <c r="S108" i="9"/>
  <c r="Q108" i="9"/>
  <c r="O108" i="9"/>
  <c r="M108" i="9"/>
  <c r="K108" i="9"/>
  <c r="X107" i="9"/>
  <c r="W107" i="9"/>
  <c r="V107" i="9"/>
  <c r="U107" i="9"/>
  <c r="T107" i="9"/>
  <c r="S107" i="9"/>
  <c r="Q107" i="9"/>
  <c r="O107" i="9"/>
  <c r="M107" i="9"/>
  <c r="K107" i="9"/>
  <c r="X106" i="9"/>
  <c r="W106" i="9"/>
  <c r="V106" i="9"/>
  <c r="U106" i="9"/>
  <c r="T106" i="9"/>
  <c r="S106" i="9"/>
  <c r="Q106" i="9"/>
  <c r="O106" i="9"/>
  <c r="M106" i="9"/>
  <c r="K106" i="9"/>
  <c r="X105" i="9"/>
  <c r="W105" i="9"/>
  <c r="V105" i="9"/>
  <c r="U105" i="9"/>
  <c r="T105" i="9"/>
  <c r="S105" i="9"/>
  <c r="Q105" i="9"/>
  <c r="O105" i="9"/>
  <c r="M105" i="9"/>
  <c r="K105" i="9"/>
  <c r="X104" i="9"/>
  <c r="W104" i="9"/>
  <c r="V104" i="9"/>
  <c r="U104" i="9"/>
  <c r="T104" i="9"/>
  <c r="S104" i="9"/>
  <c r="Q104" i="9"/>
  <c r="O104" i="9"/>
  <c r="M104" i="9"/>
  <c r="K104" i="9"/>
  <c r="X103" i="9"/>
  <c r="W103" i="9"/>
  <c r="V103" i="9"/>
  <c r="U103" i="9"/>
  <c r="T103" i="9"/>
  <c r="S103" i="9"/>
  <c r="Q103" i="9"/>
  <c r="O103" i="9"/>
  <c r="M103" i="9"/>
  <c r="K103" i="9"/>
  <c r="X102" i="9"/>
  <c r="W102" i="9"/>
  <c r="V102" i="9"/>
  <c r="U102" i="9"/>
  <c r="T102" i="9"/>
  <c r="S102" i="9"/>
  <c r="Q102" i="9"/>
  <c r="O102" i="9"/>
  <c r="M102" i="9"/>
  <c r="K102" i="9"/>
  <c r="X101" i="9"/>
  <c r="W101" i="9"/>
  <c r="V101" i="9"/>
  <c r="U101" i="9"/>
  <c r="T101" i="9"/>
  <c r="S101" i="9"/>
  <c r="Q101" i="9"/>
  <c r="O101" i="9"/>
  <c r="M101" i="9"/>
  <c r="K101" i="9"/>
  <c r="X100" i="9"/>
  <c r="W100" i="9"/>
  <c r="V100" i="9"/>
  <c r="U100" i="9"/>
  <c r="T100" i="9"/>
  <c r="S100" i="9"/>
  <c r="Q100" i="9"/>
  <c r="O100" i="9"/>
  <c r="M100" i="9"/>
  <c r="K100" i="9"/>
  <c r="X99" i="9"/>
  <c r="W99" i="9"/>
  <c r="V99" i="9"/>
  <c r="U99" i="9"/>
  <c r="T99" i="9"/>
  <c r="S99" i="9"/>
  <c r="Q99" i="9"/>
  <c r="O99" i="9"/>
  <c r="M99" i="9"/>
  <c r="K99" i="9"/>
  <c r="X98" i="9"/>
  <c r="W98" i="9"/>
  <c r="V98" i="9"/>
  <c r="U98" i="9"/>
  <c r="T98" i="9"/>
  <c r="S98" i="9"/>
  <c r="Q98" i="9"/>
  <c r="O98" i="9"/>
  <c r="M98" i="9"/>
  <c r="K98" i="9"/>
  <c r="X97" i="9"/>
  <c r="W97" i="9"/>
  <c r="V97" i="9"/>
  <c r="U97" i="9"/>
  <c r="T97" i="9"/>
  <c r="S97" i="9"/>
  <c r="Q97" i="9"/>
  <c r="O97" i="9"/>
  <c r="M97" i="9"/>
  <c r="K97" i="9"/>
  <c r="X96" i="9"/>
  <c r="W96" i="9"/>
  <c r="V96" i="9"/>
  <c r="U96" i="9"/>
  <c r="T96" i="9"/>
  <c r="S96" i="9"/>
  <c r="Q96" i="9"/>
  <c r="O96" i="9"/>
  <c r="M96" i="9"/>
  <c r="K96" i="9"/>
  <c r="X95" i="9"/>
  <c r="W95" i="9"/>
  <c r="V95" i="9"/>
  <c r="U95" i="9"/>
  <c r="T95" i="9"/>
  <c r="S95" i="9"/>
  <c r="Q95" i="9"/>
  <c r="O95" i="9"/>
  <c r="M95" i="9"/>
  <c r="K95" i="9"/>
  <c r="X94" i="9"/>
  <c r="W94" i="9"/>
  <c r="V94" i="9"/>
  <c r="U94" i="9"/>
  <c r="T94" i="9"/>
  <c r="S94" i="9"/>
  <c r="Q94" i="9"/>
  <c r="O94" i="9"/>
  <c r="M94" i="9"/>
  <c r="K94" i="9"/>
  <c r="X93" i="9"/>
  <c r="W93" i="9"/>
  <c r="V93" i="9"/>
  <c r="U93" i="9"/>
  <c r="T93" i="9"/>
  <c r="S93" i="9"/>
  <c r="Q93" i="9"/>
  <c r="O93" i="9"/>
  <c r="M93" i="9"/>
  <c r="K93" i="9"/>
  <c r="X92" i="9"/>
  <c r="W92" i="9"/>
  <c r="V92" i="9"/>
  <c r="U92" i="9"/>
  <c r="T92" i="9"/>
  <c r="S92" i="9"/>
  <c r="Q92" i="9"/>
  <c r="O92" i="9"/>
  <c r="M92" i="9"/>
  <c r="K92" i="9"/>
  <c r="X91" i="9"/>
  <c r="W91" i="9"/>
  <c r="V91" i="9"/>
  <c r="U91" i="9"/>
  <c r="T91" i="9"/>
  <c r="S91" i="9"/>
  <c r="Q91" i="9"/>
  <c r="O91" i="9"/>
  <c r="M91" i="9"/>
  <c r="K91" i="9"/>
  <c r="X90" i="9"/>
  <c r="W90" i="9"/>
  <c r="V90" i="9"/>
  <c r="U90" i="9"/>
  <c r="T90" i="9"/>
  <c r="S90" i="9"/>
  <c r="Q90" i="9"/>
  <c r="O90" i="9"/>
  <c r="M90" i="9"/>
  <c r="K90" i="9"/>
  <c r="X89" i="9"/>
  <c r="W89" i="9"/>
  <c r="V89" i="9"/>
  <c r="U89" i="9"/>
  <c r="T89" i="9"/>
  <c r="S89" i="9"/>
  <c r="Q89" i="9"/>
  <c r="O89" i="9"/>
  <c r="M89" i="9"/>
  <c r="K89" i="9"/>
  <c r="X88" i="9"/>
  <c r="W88" i="9"/>
  <c r="V88" i="9"/>
  <c r="U88" i="9"/>
  <c r="T88" i="9"/>
  <c r="S88" i="9"/>
  <c r="Q88" i="9"/>
  <c r="O88" i="9"/>
  <c r="M88" i="9"/>
  <c r="K88" i="9"/>
  <c r="X87" i="9"/>
  <c r="W87" i="9"/>
  <c r="V87" i="9"/>
  <c r="U87" i="9"/>
  <c r="T87" i="9"/>
  <c r="S87" i="9"/>
  <c r="Q87" i="9"/>
  <c r="O87" i="9"/>
  <c r="M87" i="9"/>
  <c r="K87" i="9"/>
  <c r="X86" i="9"/>
  <c r="W86" i="9"/>
  <c r="V86" i="9"/>
  <c r="U86" i="9"/>
  <c r="T86" i="9"/>
  <c r="S86" i="9"/>
  <c r="Q86" i="9"/>
  <c r="O86" i="9"/>
  <c r="M86" i="9"/>
  <c r="K86" i="9"/>
  <c r="X85" i="9"/>
  <c r="W85" i="9"/>
  <c r="V85" i="9"/>
  <c r="U85" i="9"/>
  <c r="T85" i="9"/>
  <c r="S85" i="9"/>
  <c r="Q85" i="9"/>
  <c r="O85" i="9"/>
  <c r="M85" i="9"/>
  <c r="K85" i="9"/>
  <c r="X84" i="9"/>
  <c r="W84" i="9"/>
  <c r="V84" i="9"/>
  <c r="U84" i="9"/>
  <c r="T84" i="9"/>
  <c r="S84" i="9"/>
  <c r="Q84" i="9"/>
  <c r="O84" i="9"/>
  <c r="M84" i="9"/>
  <c r="K84" i="9"/>
  <c r="X83" i="9"/>
  <c r="W83" i="9"/>
  <c r="V83" i="9"/>
  <c r="U83" i="9"/>
  <c r="T83" i="9"/>
  <c r="S83" i="9"/>
  <c r="Q83" i="9"/>
  <c r="O83" i="9"/>
  <c r="M83" i="9"/>
  <c r="K83" i="9"/>
  <c r="X82" i="9"/>
  <c r="W82" i="9"/>
  <c r="V82" i="9"/>
  <c r="U82" i="9"/>
  <c r="T82" i="9"/>
  <c r="S82" i="9"/>
  <c r="Q82" i="9"/>
  <c r="O82" i="9"/>
  <c r="M82" i="9"/>
  <c r="K82" i="9"/>
  <c r="X81" i="9"/>
  <c r="W81" i="9"/>
  <c r="V81" i="9"/>
  <c r="U81" i="9"/>
  <c r="T81" i="9"/>
  <c r="S81" i="9"/>
  <c r="Q81" i="9"/>
  <c r="O81" i="9"/>
  <c r="M81" i="9"/>
  <c r="K81" i="9"/>
  <c r="X80" i="9"/>
  <c r="W80" i="9"/>
  <c r="V80" i="9"/>
  <c r="U80" i="9"/>
  <c r="T80" i="9"/>
  <c r="S80" i="9"/>
  <c r="Q80" i="9"/>
  <c r="O80" i="9"/>
  <c r="M80" i="9"/>
  <c r="K80" i="9"/>
  <c r="X79" i="9"/>
  <c r="W79" i="9"/>
  <c r="V79" i="9"/>
  <c r="U79" i="9"/>
  <c r="T79" i="9"/>
  <c r="S79" i="9"/>
  <c r="Q79" i="9"/>
  <c r="O79" i="9"/>
  <c r="M79" i="9"/>
  <c r="K79" i="9"/>
  <c r="X78" i="9"/>
  <c r="W78" i="9"/>
  <c r="V78" i="9"/>
  <c r="U78" i="9"/>
  <c r="T78" i="9"/>
  <c r="S78" i="9"/>
  <c r="Q78" i="9"/>
  <c r="O78" i="9"/>
  <c r="M78" i="9"/>
  <c r="K78" i="9"/>
  <c r="X77" i="9"/>
  <c r="W77" i="9"/>
  <c r="V77" i="9"/>
  <c r="U77" i="9"/>
  <c r="T77" i="9"/>
  <c r="S77" i="9"/>
  <c r="Q77" i="9"/>
  <c r="O77" i="9"/>
  <c r="M77" i="9"/>
  <c r="K77" i="9"/>
  <c r="X76" i="9"/>
  <c r="W76" i="9"/>
  <c r="V76" i="9"/>
  <c r="U76" i="9"/>
  <c r="T76" i="9"/>
  <c r="S76" i="9"/>
  <c r="Q76" i="9"/>
  <c r="O76" i="9"/>
  <c r="M76" i="9"/>
  <c r="K76" i="9"/>
  <c r="X75" i="9"/>
  <c r="W75" i="9"/>
  <c r="V75" i="9"/>
  <c r="U75" i="9"/>
  <c r="T75" i="9"/>
  <c r="S75" i="9"/>
  <c r="Q75" i="9"/>
  <c r="O75" i="9"/>
  <c r="M75" i="9"/>
  <c r="K75" i="9"/>
  <c r="X74" i="9"/>
  <c r="W74" i="9"/>
  <c r="V74" i="9"/>
  <c r="U74" i="9"/>
  <c r="T74" i="9"/>
  <c r="S74" i="9"/>
  <c r="Q74" i="9"/>
  <c r="O74" i="9"/>
  <c r="M74" i="9"/>
  <c r="K74" i="9"/>
  <c r="X73" i="9"/>
  <c r="W73" i="9"/>
  <c r="V73" i="9"/>
  <c r="U73" i="9"/>
  <c r="T73" i="9"/>
  <c r="S73" i="9"/>
  <c r="Q73" i="9"/>
  <c r="O73" i="9"/>
  <c r="M73" i="9"/>
  <c r="K73" i="9"/>
  <c r="X72" i="9"/>
  <c r="W72" i="9"/>
  <c r="V72" i="9"/>
  <c r="U72" i="9"/>
  <c r="T72" i="9"/>
  <c r="S72" i="9"/>
  <c r="Q72" i="9"/>
  <c r="O72" i="9"/>
  <c r="M72" i="9"/>
  <c r="K72" i="9"/>
  <c r="X71" i="9"/>
  <c r="W71" i="9"/>
  <c r="V71" i="9"/>
  <c r="U71" i="9"/>
  <c r="T71" i="9"/>
  <c r="S71" i="9"/>
  <c r="Q71" i="9"/>
  <c r="O71" i="9"/>
  <c r="M71" i="9"/>
  <c r="K71" i="9"/>
  <c r="X70" i="9"/>
  <c r="W70" i="9"/>
  <c r="V70" i="9"/>
  <c r="U70" i="9"/>
  <c r="T70" i="9"/>
  <c r="S70" i="9"/>
  <c r="Q70" i="9"/>
  <c r="O70" i="9"/>
  <c r="M70" i="9"/>
  <c r="K70" i="9"/>
  <c r="X69" i="9"/>
  <c r="W69" i="9"/>
  <c r="V69" i="9"/>
  <c r="U69" i="9"/>
  <c r="T69" i="9"/>
  <c r="S69" i="9"/>
  <c r="Q69" i="9"/>
  <c r="O69" i="9"/>
  <c r="M69" i="9"/>
  <c r="K69" i="9"/>
  <c r="X68" i="9"/>
  <c r="W68" i="9"/>
  <c r="V68" i="9"/>
  <c r="U68" i="9"/>
  <c r="T68" i="9"/>
  <c r="S68" i="9"/>
  <c r="Q68" i="9"/>
  <c r="O68" i="9"/>
  <c r="M68" i="9"/>
  <c r="K68" i="9"/>
  <c r="X67" i="9"/>
  <c r="W67" i="9"/>
  <c r="V67" i="9"/>
  <c r="U67" i="9"/>
  <c r="T67" i="9"/>
  <c r="S67" i="9"/>
  <c r="Q67" i="9"/>
  <c r="O67" i="9"/>
  <c r="M67" i="9"/>
  <c r="K67" i="9"/>
  <c r="X66" i="9"/>
  <c r="W66" i="9"/>
  <c r="V66" i="9"/>
  <c r="U66" i="9"/>
  <c r="T66" i="9"/>
  <c r="S66" i="9"/>
  <c r="Q66" i="9"/>
  <c r="O66" i="9"/>
  <c r="M66" i="9"/>
  <c r="K66" i="9"/>
  <c r="X65" i="9"/>
  <c r="W65" i="9"/>
  <c r="V65" i="9"/>
  <c r="U65" i="9"/>
  <c r="T65" i="9"/>
  <c r="S65" i="9"/>
  <c r="Q65" i="9"/>
  <c r="O65" i="9"/>
  <c r="M65" i="9"/>
  <c r="K65" i="9"/>
  <c r="X64" i="9"/>
  <c r="W64" i="9"/>
  <c r="V64" i="9"/>
  <c r="U64" i="9"/>
  <c r="T64" i="9"/>
  <c r="S64" i="9"/>
  <c r="Q64" i="9"/>
  <c r="O64" i="9"/>
  <c r="M64" i="9"/>
  <c r="K64" i="9"/>
  <c r="X63" i="9"/>
  <c r="W63" i="9"/>
  <c r="V63" i="9"/>
  <c r="U63" i="9"/>
  <c r="T63" i="9"/>
  <c r="S63" i="9"/>
  <c r="Q63" i="9"/>
  <c r="O63" i="9"/>
  <c r="M63" i="9"/>
  <c r="K63" i="9"/>
  <c r="X62" i="9"/>
  <c r="W62" i="9"/>
  <c r="V62" i="9"/>
  <c r="U62" i="9"/>
  <c r="T62" i="9"/>
  <c r="S62" i="9"/>
  <c r="Q62" i="9"/>
  <c r="O62" i="9"/>
  <c r="M62" i="9"/>
  <c r="K62" i="9"/>
  <c r="X61" i="9"/>
  <c r="W61" i="9"/>
  <c r="V61" i="9"/>
  <c r="U61" i="9"/>
  <c r="T61" i="9"/>
  <c r="S61" i="9"/>
  <c r="Q61" i="9"/>
  <c r="O61" i="9"/>
  <c r="M61" i="9"/>
  <c r="K61" i="9"/>
  <c r="X60" i="9"/>
  <c r="W60" i="9"/>
  <c r="V60" i="9"/>
  <c r="U60" i="9"/>
  <c r="T60" i="9"/>
  <c r="S60" i="9"/>
  <c r="Q60" i="9"/>
  <c r="O60" i="9"/>
  <c r="M60" i="9"/>
  <c r="K60" i="9"/>
  <c r="X59" i="9"/>
  <c r="W59" i="9"/>
  <c r="V59" i="9"/>
  <c r="U59" i="9"/>
  <c r="T59" i="9"/>
  <c r="S59" i="9"/>
  <c r="Q59" i="9"/>
  <c r="O59" i="9"/>
  <c r="M59" i="9"/>
  <c r="K59" i="9"/>
  <c r="X58" i="9"/>
  <c r="W58" i="9"/>
  <c r="V58" i="9"/>
  <c r="U58" i="9"/>
  <c r="T58" i="9"/>
  <c r="S58" i="9"/>
  <c r="Q58" i="9"/>
  <c r="O58" i="9"/>
  <c r="M58" i="9"/>
  <c r="K58" i="9"/>
  <c r="X57" i="9"/>
  <c r="W57" i="9"/>
  <c r="V57" i="9"/>
  <c r="U57" i="9"/>
  <c r="T57" i="9"/>
  <c r="S57" i="9"/>
  <c r="Q57" i="9"/>
  <c r="O57" i="9"/>
  <c r="M57" i="9"/>
  <c r="K57" i="9"/>
  <c r="X56" i="9"/>
  <c r="W56" i="9"/>
  <c r="V56" i="9"/>
  <c r="U56" i="9"/>
  <c r="T56" i="9"/>
  <c r="S56" i="9"/>
  <c r="Q56" i="9"/>
  <c r="O56" i="9"/>
  <c r="M56" i="9"/>
  <c r="K56" i="9"/>
  <c r="X55" i="9"/>
  <c r="W55" i="9"/>
  <c r="V55" i="9"/>
  <c r="U55" i="9"/>
  <c r="T55" i="9"/>
  <c r="S55" i="9"/>
  <c r="Q55" i="9"/>
  <c r="O55" i="9"/>
  <c r="M55" i="9"/>
  <c r="K55" i="9"/>
  <c r="X54" i="9"/>
  <c r="W54" i="9"/>
  <c r="V54" i="9"/>
  <c r="U54" i="9"/>
  <c r="T54" i="9"/>
  <c r="S54" i="9"/>
  <c r="Q54" i="9"/>
  <c r="O54" i="9"/>
  <c r="M54" i="9"/>
  <c r="K54" i="9"/>
  <c r="X53" i="9"/>
  <c r="W53" i="9"/>
  <c r="V53" i="9"/>
  <c r="U53" i="9"/>
  <c r="T53" i="9"/>
  <c r="S53" i="9"/>
  <c r="Q53" i="9"/>
  <c r="O53" i="9"/>
  <c r="M53" i="9"/>
  <c r="K53" i="9"/>
  <c r="X52" i="9"/>
  <c r="W52" i="9"/>
  <c r="V52" i="9"/>
  <c r="U52" i="9"/>
  <c r="T52" i="9"/>
  <c r="S52" i="9"/>
  <c r="Q52" i="9"/>
  <c r="O52" i="9"/>
  <c r="M52" i="9"/>
  <c r="K52" i="9"/>
  <c r="X51" i="9"/>
  <c r="W51" i="9"/>
  <c r="V51" i="9"/>
  <c r="U51" i="9"/>
  <c r="T51" i="9"/>
  <c r="S51" i="9"/>
  <c r="Q51" i="9"/>
  <c r="O51" i="9"/>
  <c r="M51" i="9"/>
  <c r="K51" i="9"/>
  <c r="X50" i="9"/>
  <c r="W50" i="9"/>
  <c r="V50" i="9"/>
  <c r="U50" i="9"/>
  <c r="T50" i="9"/>
  <c r="S50" i="9"/>
  <c r="Q50" i="9"/>
  <c r="O50" i="9"/>
  <c r="M50" i="9"/>
  <c r="K50" i="9"/>
  <c r="X49" i="9"/>
  <c r="W49" i="9"/>
  <c r="V49" i="9"/>
  <c r="U49" i="9"/>
  <c r="T49" i="9"/>
  <c r="S49" i="9"/>
  <c r="Q49" i="9"/>
  <c r="O49" i="9"/>
  <c r="M49" i="9"/>
  <c r="K49" i="9"/>
  <c r="X48" i="9"/>
  <c r="W48" i="9"/>
  <c r="V48" i="9"/>
  <c r="U48" i="9"/>
  <c r="T48" i="9"/>
  <c r="S48" i="9"/>
  <c r="Q48" i="9"/>
  <c r="O48" i="9"/>
  <c r="M48" i="9"/>
  <c r="K48" i="9"/>
  <c r="X47" i="9"/>
  <c r="W47" i="9"/>
  <c r="V47" i="9"/>
  <c r="U47" i="9"/>
  <c r="T47" i="9"/>
  <c r="S47" i="9"/>
  <c r="Q47" i="9"/>
  <c r="O47" i="9"/>
  <c r="M47" i="9"/>
  <c r="K47" i="9"/>
  <c r="X46" i="9"/>
  <c r="W46" i="9"/>
  <c r="V46" i="9"/>
  <c r="U46" i="9"/>
  <c r="T46" i="9"/>
  <c r="S46" i="9"/>
  <c r="Q46" i="9"/>
  <c r="O46" i="9"/>
  <c r="M46" i="9"/>
  <c r="K46" i="9"/>
  <c r="X45" i="9"/>
  <c r="W45" i="9"/>
  <c r="V45" i="9"/>
  <c r="U45" i="9"/>
  <c r="T45" i="9"/>
  <c r="S45" i="9"/>
  <c r="Q45" i="9"/>
  <c r="O45" i="9"/>
  <c r="M45" i="9"/>
  <c r="K45" i="9"/>
  <c r="X44" i="9"/>
  <c r="W44" i="9"/>
  <c r="V44" i="9"/>
  <c r="U44" i="9"/>
  <c r="T44" i="9"/>
  <c r="S44" i="9"/>
  <c r="Q44" i="9"/>
  <c r="O44" i="9"/>
  <c r="M44" i="9"/>
  <c r="K44" i="9"/>
  <c r="X43" i="9"/>
  <c r="W43" i="9"/>
  <c r="V43" i="9"/>
  <c r="U43" i="9"/>
  <c r="T43" i="9"/>
  <c r="S43" i="9"/>
  <c r="Q43" i="9"/>
  <c r="O43" i="9"/>
  <c r="M43" i="9"/>
  <c r="K43" i="9"/>
  <c r="X42" i="9"/>
  <c r="W42" i="9"/>
  <c r="V42" i="9"/>
  <c r="U42" i="9"/>
  <c r="T42" i="9"/>
  <c r="S42" i="9"/>
  <c r="Q42" i="9"/>
  <c r="O42" i="9"/>
  <c r="M42" i="9"/>
  <c r="K42" i="9"/>
  <c r="X41" i="9"/>
  <c r="W41" i="9"/>
  <c r="V41" i="9"/>
  <c r="U41" i="9"/>
  <c r="T41" i="9"/>
  <c r="S41" i="9"/>
  <c r="Q41" i="9"/>
  <c r="O41" i="9"/>
  <c r="M41" i="9"/>
  <c r="K41" i="9"/>
  <c r="X40" i="9"/>
  <c r="W40" i="9"/>
  <c r="V40" i="9"/>
  <c r="U40" i="9"/>
  <c r="T40" i="9"/>
  <c r="S40" i="9"/>
  <c r="Q40" i="9"/>
  <c r="O40" i="9"/>
  <c r="M40" i="9"/>
  <c r="K40" i="9"/>
  <c r="X39" i="9"/>
  <c r="W39" i="9"/>
  <c r="V39" i="9"/>
  <c r="U39" i="9"/>
  <c r="T39" i="9"/>
  <c r="S39" i="9"/>
  <c r="Q39" i="9"/>
  <c r="O39" i="9"/>
  <c r="M39" i="9"/>
  <c r="K39" i="9"/>
  <c r="X38" i="9"/>
  <c r="W38" i="9"/>
  <c r="V38" i="9"/>
  <c r="U38" i="9"/>
  <c r="T38" i="9"/>
  <c r="S38" i="9"/>
  <c r="Q38" i="9"/>
  <c r="O38" i="9"/>
  <c r="M38" i="9"/>
  <c r="K38" i="9"/>
  <c r="X37" i="9"/>
  <c r="W37" i="9"/>
  <c r="V37" i="9"/>
  <c r="U37" i="9"/>
  <c r="T37" i="9"/>
  <c r="S37" i="9"/>
  <c r="Q37" i="9"/>
  <c r="O37" i="9"/>
  <c r="M37" i="9"/>
  <c r="K37" i="9"/>
  <c r="X36" i="9"/>
  <c r="W36" i="9"/>
  <c r="V36" i="9"/>
  <c r="U36" i="9"/>
  <c r="T36" i="9"/>
  <c r="S36" i="9"/>
  <c r="Q36" i="9"/>
  <c r="O36" i="9"/>
  <c r="M36" i="9"/>
  <c r="K36" i="9"/>
  <c r="X35" i="9"/>
  <c r="W35" i="9"/>
  <c r="V35" i="9"/>
  <c r="U35" i="9"/>
  <c r="T35" i="9"/>
  <c r="S35" i="9"/>
  <c r="Q35" i="9"/>
  <c r="O35" i="9"/>
  <c r="M35" i="9"/>
  <c r="K35" i="9"/>
  <c r="X34" i="9"/>
  <c r="W34" i="9"/>
  <c r="V34" i="9"/>
  <c r="U34" i="9"/>
  <c r="T34" i="9"/>
  <c r="S34" i="9"/>
  <c r="Q34" i="9"/>
  <c r="O34" i="9"/>
  <c r="M34" i="9"/>
  <c r="K34" i="9"/>
  <c r="X33" i="9"/>
  <c r="W33" i="9"/>
  <c r="V33" i="9"/>
  <c r="U33" i="9"/>
  <c r="T33" i="9"/>
  <c r="S33" i="9"/>
  <c r="Q33" i="9"/>
  <c r="O33" i="9"/>
  <c r="M33" i="9"/>
  <c r="K33" i="9"/>
  <c r="X32" i="9"/>
  <c r="W32" i="9"/>
  <c r="V32" i="9"/>
  <c r="U32" i="9"/>
  <c r="T32" i="9"/>
  <c r="S32" i="9"/>
  <c r="Q32" i="9"/>
  <c r="O32" i="9"/>
  <c r="M32" i="9"/>
  <c r="K32" i="9"/>
  <c r="X31" i="9"/>
  <c r="W31" i="9"/>
  <c r="V31" i="9"/>
  <c r="U31" i="9"/>
  <c r="T31" i="9"/>
  <c r="S31" i="9"/>
  <c r="Q31" i="9"/>
  <c r="O31" i="9"/>
  <c r="M31" i="9"/>
  <c r="K31" i="9"/>
  <c r="X30" i="9"/>
  <c r="W30" i="9"/>
  <c r="V30" i="9"/>
  <c r="U30" i="9"/>
  <c r="T30" i="9"/>
  <c r="S30" i="9"/>
  <c r="Q30" i="9"/>
  <c r="O30" i="9"/>
  <c r="M30" i="9"/>
  <c r="K30" i="9"/>
  <c r="X29" i="9"/>
  <c r="W29" i="9"/>
  <c r="V29" i="9"/>
  <c r="U29" i="9"/>
  <c r="T29" i="9"/>
  <c r="S29" i="9"/>
  <c r="Q29" i="9"/>
  <c r="O29" i="9"/>
  <c r="M29" i="9"/>
  <c r="K29" i="9"/>
  <c r="X28" i="9"/>
  <c r="W28" i="9"/>
  <c r="V28" i="9"/>
  <c r="U28" i="9"/>
  <c r="T28" i="9"/>
  <c r="S28" i="9"/>
  <c r="Q28" i="9"/>
  <c r="O28" i="9"/>
  <c r="M28" i="9"/>
  <c r="K28" i="9"/>
  <c r="X27" i="9"/>
  <c r="W27" i="9"/>
  <c r="V27" i="9"/>
  <c r="U27" i="9"/>
  <c r="T27" i="9"/>
  <c r="S27" i="9"/>
  <c r="Q27" i="9"/>
  <c r="O27" i="9"/>
  <c r="M27" i="9"/>
  <c r="K27" i="9"/>
  <c r="X26" i="9"/>
  <c r="W26" i="9"/>
  <c r="V26" i="9"/>
  <c r="U26" i="9"/>
  <c r="T26" i="9"/>
  <c r="S26" i="9"/>
  <c r="Q26" i="9"/>
  <c r="O26" i="9"/>
  <c r="M26" i="9"/>
  <c r="K26" i="9"/>
  <c r="X25" i="9"/>
  <c r="W25" i="9"/>
  <c r="V25" i="9"/>
  <c r="U25" i="9"/>
  <c r="T25" i="9"/>
  <c r="S25" i="9"/>
  <c r="Q25" i="9"/>
  <c r="O25" i="9"/>
  <c r="M25" i="9"/>
  <c r="K25" i="9"/>
  <c r="X24" i="9"/>
  <c r="W24" i="9"/>
  <c r="V24" i="9"/>
  <c r="U24" i="9"/>
  <c r="T24" i="9"/>
  <c r="S24" i="9"/>
  <c r="Q24" i="9"/>
  <c r="O24" i="9"/>
  <c r="M24" i="9"/>
  <c r="K24" i="9"/>
  <c r="X23" i="9"/>
  <c r="W23" i="9"/>
  <c r="V23" i="9"/>
  <c r="U23" i="9"/>
  <c r="T23" i="9"/>
  <c r="S23" i="9"/>
  <c r="Q23" i="9"/>
  <c r="O23" i="9"/>
  <c r="M23" i="9"/>
  <c r="K23" i="9"/>
  <c r="X22" i="9"/>
  <c r="W22" i="9"/>
  <c r="V22" i="9"/>
  <c r="U22" i="9"/>
  <c r="T22" i="9"/>
  <c r="S22" i="9"/>
  <c r="Q22" i="9"/>
  <c r="O22" i="9"/>
  <c r="M22" i="9"/>
  <c r="K22" i="9"/>
  <c r="X21" i="9"/>
  <c r="W21" i="9"/>
  <c r="V21" i="9"/>
  <c r="U21" i="9"/>
  <c r="T21" i="9"/>
  <c r="S21" i="9"/>
  <c r="Q21" i="9"/>
  <c r="O21" i="9"/>
  <c r="M21" i="9"/>
  <c r="K21" i="9"/>
  <c r="X20" i="9"/>
  <c r="W20" i="9"/>
  <c r="V20" i="9"/>
  <c r="U20" i="9"/>
  <c r="T20" i="9"/>
  <c r="S20" i="9"/>
  <c r="Q20" i="9"/>
  <c r="O20" i="9"/>
  <c r="M20" i="9"/>
  <c r="K20" i="9"/>
  <c r="X19" i="9"/>
  <c r="W19" i="9"/>
  <c r="V19" i="9"/>
  <c r="U19" i="9"/>
  <c r="T19" i="9"/>
  <c r="S19" i="9"/>
  <c r="Q19" i="9"/>
  <c r="O19" i="9"/>
  <c r="M19" i="9"/>
  <c r="K19" i="9"/>
  <c r="X18" i="9"/>
  <c r="W18" i="9"/>
  <c r="V18" i="9"/>
  <c r="U18" i="9"/>
  <c r="T18" i="9"/>
  <c r="S18" i="9"/>
  <c r="Q18" i="9"/>
  <c r="O18" i="9"/>
  <c r="M18" i="9"/>
  <c r="K18" i="9"/>
  <c r="X17" i="9"/>
  <c r="W17" i="9"/>
  <c r="V17" i="9"/>
  <c r="U17" i="9"/>
  <c r="T17" i="9"/>
  <c r="S17" i="9"/>
  <c r="Q17" i="9"/>
  <c r="O17" i="9"/>
  <c r="M17" i="9"/>
  <c r="K17" i="9"/>
  <c r="X16" i="9"/>
  <c r="W16" i="9"/>
  <c r="V16" i="9"/>
  <c r="U16" i="9"/>
  <c r="T16" i="9"/>
  <c r="S16" i="9"/>
  <c r="Q16" i="9"/>
  <c r="O16" i="9"/>
  <c r="M16" i="9"/>
  <c r="K16" i="9"/>
  <c r="X15" i="9"/>
  <c r="W15" i="9"/>
  <c r="V15" i="9"/>
  <c r="U15" i="9"/>
  <c r="T15" i="9"/>
  <c r="S15" i="9"/>
  <c r="Q15" i="9"/>
  <c r="O15" i="9"/>
  <c r="M15" i="9"/>
  <c r="K15" i="9"/>
  <c r="X14" i="9"/>
  <c r="W14" i="9"/>
  <c r="V14" i="9"/>
  <c r="U14" i="9"/>
  <c r="T14" i="9"/>
  <c r="S14" i="9"/>
  <c r="Q14" i="9"/>
  <c r="O14" i="9"/>
  <c r="M14" i="9"/>
  <c r="K14" i="9"/>
  <c r="X13" i="9"/>
  <c r="W13" i="9"/>
  <c r="V13" i="9"/>
  <c r="U13" i="9"/>
  <c r="T13" i="9"/>
  <c r="S13" i="9"/>
  <c r="Q13" i="9"/>
  <c r="O13" i="9"/>
  <c r="M13" i="9"/>
  <c r="K13" i="9"/>
  <c r="X12" i="9"/>
  <c r="W12" i="9"/>
  <c r="V12" i="9"/>
  <c r="U12" i="9"/>
  <c r="T12" i="9"/>
  <c r="S12" i="9"/>
  <c r="Q12" i="9"/>
  <c r="O12" i="9"/>
  <c r="M12" i="9"/>
  <c r="K12" i="9"/>
  <c r="X11" i="9"/>
  <c r="W11" i="9"/>
  <c r="V11" i="9"/>
  <c r="U11" i="9"/>
  <c r="T11" i="9"/>
  <c r="S11" i="9"/>
  <c r="Q11" i="9"/>
  <c r="O11" i="9"/>
  <c r="M11" i="9"/>
  <c r="K11" i="9"/>
  <c r="X10" i="9"/>
  <c r="W10" i="9"/>
  <c r="V10" i="9"/>
  <c r="U10" i="9"/>
  <c r="T10" i="9"/>
  <c r="S10" i="9"/>
  <c r="Q10" i="9"/>
  <c r="O10" i="9"/>
  <c r="M10" i="9"/>
  <c r="K10" i="9"/>
  <c r="X9" i="9"/>
  <c r="W9" i="9"/>
  <c r="V9" i="9"/>
  <c r="U9" i="9"/>
  <c r="T9" i="9"/>
  <c r="S9" i="9"/>
  <c r="Q9" i="9"/>
  <c r="O9" i="9"/>
  <c r="M9" i="9"/>
  <c r="K9" i="9"/>
  <c r="X8" i="9"/>
  <c r="W8" i="9"/>
  <c r="V8" i="9"/>
  <c r="U8" i="9"/>
  <c r="T8" i="9"/>
  <c r="S8" i="9"/>
  <c r="Q8" i="9"/>
  <c r="O8" i="9"/>
  <c r="M8" i="9"/>
  <c r="K8" i="9"/>
  <c r="X7" i="9"/>
  <c r="W7" i="9"/>
  <c r="V7" i="9"/>
  <c r="U7" i="9"/>
  <c r="T7" i="9"/>
  <c r="S7" i="9"/>
  <c r="Q7" i="9"/>
  <c r="O7" i="9"/>
  <c r="M7" i="9"/>
  <c r="K7" i="9"/>
  <c r="X251" i="8" l="1"/>
  <c r="W251" i="8"/>
  <c r="V251" i="8"/>
  <c r="U251" i="8"/>
  <c r="T251" i="8"/>
  <c r="S251" i="8"/>
  <c r="Q251" i="8"/>
  <c r="O251" i="8"/>
  <c r="M251" i="8"/>
  <c r="K251" i="8"/>
  <c r="X250" i="8"/>
  <c r="W250" i="8"/>
  <c r="V250" i="8"/>
  <c r="U250" i="8"/>
  <c r="T250" i="8"/>
  <c r="S250" i="8"/>
  <c r="Q250" i="8"/>
  <c r="O250" i="8"/>
  <c r="M250" i="8"/>
  <c r="K250" i="8"/>
  <c r="X249" i="8"/>
  <c r="W249" i="8"/>
  <c r="V249" i="8"/>
  <c r="U249" i="8"/>
  <c r="T249" i="8"/>
  <c r="S249" i="8"/>
  <c r="Q249" i="8"/>
  <c r="O249" i="8"/>
  <c r="M249" i="8"/>
  <c r="K249" i="8"/>
  <c r="X248" i="8"/>
  <c r="W248" i="8"/>
  <c r="V248" i="8"/>
  <c r="U248" i="8"/>
  <c r="T248" i="8"/>
  <c r="S248" i="8"/>
  <c r="Q248" i="8"/>
  <c r="O248" i="8"/>
  <c r="M248" i="8"/>
  <c r="K248" i="8"/>
  <c r="X247" i="8"/>
  <c r="W247" i="8"/>
  <c r="V247" i="8"/>
  <c r="U247" i="8"/>
  <c r="T247" i="8"/>
  <c r="S247" i="8"/>
  <c r="Q247" i="8"/>
  <c r="O247" i="8"/>
  <c r="M247" i="8"/>
  <c r="K247" i="8"/>
  <c r="X246" i="8"/>
  <c r="W246" i="8"/>
  <c r="V246" i="8"/>
  <c r="U246" i="8"/>
  <c r="T246" i="8"/>
  <c r="S246" i="8"/>
  <c r="Q246" i="8"/>
  <c r="O246" i="8"/>
  <c r="M246" i="8"/>
  <c r="K246" i="8"/>
  <c r="X245" i="8"/>
  <c r="W245" i="8"/>
  <c r="V245" i="8"/>
  <c r="U245" i="8"/>
  <c r="T245" i="8"/>
  <c r="S245" i="8"/>
  <c r="Q245" i="8"/>
  <c r="O245" i="8"/>
  <c r="M245" i="8"/>
  <c r="K245" i="8"/>
  <c r="X244" i="8"/>
  <c r="W244" i="8"/>
  <c r="V244" i="8"/>
  <c r="U244" i="8"/>
  <c r="T244" i="8"/>
  <c r="S244" i="8"/>
  <c r="Q244" i="8"/>
  <c r="O244" i="8"/>
  <c r="M244" i="8"/>
  <c r="K244" i="8"/>
  <c r="X243" i="8"/>
  <c r="W243" i="8"/>
  <c r="V243" i="8"/>
  <c r="U243" i="8"/>
  <c r="T243" i="8"/>
  <c r="S243" i="8"/>
  <c r="Q243" i="8"/>
  <c r="O243" i="8"/>
  <c r="M243" i="8"/>
  <c r="K243" i="8"/>
  <c r="X242" i="8"/>
  <c r="W242" i="8"/>
  <c r="V242" i="8"/>
  <c r="U242" i="8"/>
  <c r="T242" i="8"/>
  <c r="S242" i="8"/>
  <c r="Q242" i="8"/>
  <c r="O242" i="8"/>
  <c r="M242" i="8"/>
  <c r="K242" i="8"/>
  <c r="X241" i="8"/>
  <c r="W241" i="8"/>
  <c r="V241" i="8"/>
  <c r="U241" i="8"/>
  <c r="T241" i="8"/>
  <c r="S241" i="8"/>
  <c r="Q241" i="8"/>
  <c r="O241" i="8"/>
  <c r="M241" i="8"/>
  <c r="K241" i="8"/>
  <c r="X240" i="8"/>
  <c r="W240" i="8"/>
  <c r="V240" i="8"/>
  <c r="U240" i="8"/>
  <c r="T240" i="8"/>
  <c r="S240" i="8"/>
  <c r="Q240" i="8"/>
  <c r="O240" i="8"/>
  <c r="M240" i="8"/>
  <c r="K240" i="8"/>
  <c r="X239" i="8"/>
  <c r="W239" i="8"/>
  <c r="V239" i="8"/>
  <c r="U239" i="8"/>
  <c r="T239" i="8"/>
  <c r="S239" i="8"/>
  <c r="Q239" i="8"/>
  <c r="O239" i="8"/>
  <c r="M239" i="8"/>
  <c r="K239" i="8"/>
  <c r="X238" i="8"/>
  <c r="W238" i="8"/>
  <c r="V238" i="8"/>
  <c r="U238" i="8"/>
  <c r="T238" i="8"/>
  <c r="S238" i="8"/>
  <c r="Q238" i="8"/>
  <c r="O238" i="8"/>
  <c r="M238" i="8"/>
  <c r="K238" i="8"/>
  <c r="X237" i="8"/>
  <c r="W237" i="8"/>
  <c r="V237" i="8"/>
  <c r="U237" i="8"/>
  <c r="T237" i="8"/>
  <c r="S237" i="8"/>
  <c r="Q237" i="8"/>
  <c r="O237" i="8"/>
  <c r="M237" i="8"/>
  <c r="K237" i="8"/>
  <c r="X236" i="8"/>
  <c r="W236" i="8"/>
  <c r="V236" i="8"/>
  <c r="U236" i="8"/>
  <c r="T236" i="8"/>
  <c r="S236" i="8"/>
  <c r="Q236" i="8"/>
  <c r="O236" i="8"/>
  <c r="M236" i="8"/>
  <c r="K236" i="8"/>
  <c r="X235" i="8"/>
  <c r="W235" i="8"/>
  <c r="V235" i="8"/>
  <c r="U235" i="8"/>
  <c r="T235" i="8"/>
  <c r="S235" i="8"/>
  <c r="Q235" i="8"/>
  <c r="O235" i="8"/>
  <c r="M235" i="8"/>
  <c r="K235" i="8"/>
  <c r="X234" i="8"/>
  <c r="W234" i="8"/>
  <c r="V234" i="8"/>
  <c r="U234" i="8"/>
  <c r="T234" i="8"/>
  <c r="S234" i="8"/>
  <c r="Q234" i="8"/>
  <c r="O234" i="8"/>
  <c r="M234" i="8"/>
  <c r="K234" i="8"/>
  <c r="X233" i="8"/>
  <c r="W233" i="8"/>
  <c r="V233" i="8"/>
  <c r="U233" i="8"/>
  <c r="T233" i="8"/>
  <c r="S233" i="8"/>
  <c r="Q233" i="8"/>
  <c r="O233" i="8"/>
  <c r="M233" i="8"/>
  <c r="K233" i="8"/>
  <c r="X232" i="8"/>
  <c r="W232" i="8"/>
  <c r="V232" i="8"/>
  <c r="U232" i="8"/>
  <c r="T232" i="8"/>
  <c r="S232" i="8"/>
  <c r="Q232" i="8"/>
  <c r="O232" i="8"/>
  <c r="M232" i="8"/>
  <c r="K232" i="8"/>
  <c r="X231" i="8"/>
  <c r="W231" i="8"/>
  <c r="V231" i="8"/>
  <c r="U231" i="8"/>
  <c r="T231" i="8"/>
  <c r="S231" i="8"/>
  <c r="Q231" i="8"/>
  <c r="O231" i="8"/>
  <c r="M231" i="8"/>
  <c r="K231" i="8"/>
  <c r="X230" i="8"/>
  <c r="W230" i="8"/>
  <c r="V230" i="8"/>
  <c r="U230" i="8"/>
  <c r="T230" i="8"/>
  <c r="S230" i="8"/>
  <c r="Q230" i="8"/>
  <c r="O230" i="8"/>
  <c r="M230" i="8"/>
  <c r="K230" i="8"/>
  <c r="X229" i="8"/>
  <c r="W229" i="8"/>
  <c r="V229" i="8"/>
  <c r="U229" i="8"/>
  <c r="T229" i="8"/>
  <c r="S229" i="8"/>
  <c r="Q229" i="8"/>
  <c r="O229" i="8"/>
  <c r="M229" i="8"/>
  <c r="K229" i="8"/>
  <c r="X228" i="8"/>
  <c r="W228" i="8"/>
  <c r="V228" i="8"/>
  <c r="U228" i="8"/>
  <c r="T228" i="8"/>
  <c r="S228" i="8"/>
  <c r="Q228" i="8"/>
  <c r="O228" i="8"/>
  <c r="M228" i="8"/>
  <c r="K228" i="8"/>
  <c r="X227" i="8"/>
  <c r="W227" i="8"/>
  <c r="V227" i="8"/>
  <c r="U227" i="8"/>
  <c r="T227" i="8"/>
  <c r="S227" i="8"/>
  <c r="Q227" i="8"/>
  <c r="O227" i="8"/>
  <c r="M227" i="8"/>
  <c r="K227" i="8"/>
  <c r="X226" i="8"/>
  <c r="W226" i="8"/>
  <c r="V226" i="8"/>
  <c r="U226" i="8"/>
  <c r="T226" i="8"/>
  <c r="S226" i="8"/>
  <c r="Q226" i="8"/>
  <c r="O226" i="8"/>
  <c r="M226" i="8"/>
  <c r="K226" i="8"/>
  <c r="X225" i="8"/>
  <c r="W225" i="8"/>
  <c r="V225" i="8"/>
  <c r="U225" i="8"/>
  <c r="T225" i="8"/>
  <c r="S225" i="8"/>
  <c r="Q225" i="8"/>
  <c r="O225" i="8"/>
  <c r="M225" i="8"/>
  <c r="K225" i="8"/>
  <c r="X224" i="8"/>
  <c r="W224" i="8"/>
  <c r="V224" i="8"/>
  <c r="U224" i="8"/>
  <c r="T224" i="8"/>
  <c r="S224" i="8"/>
  <c r="Q224" i="8"/>
  <c r="O224" i="8"/>
  <c r="M224" i="8"/>
  <c r="K224" i="8"/>
  <c r="X223" i="8"/>
  <c r="W223" i="8"/>
  <c r="V223" i="8"/>
  <c r="U223" i="8"/>
  <c r="T223" i="8"/>
  <c r="S223" i="8"/>
  <c r="Q223" i="8"/>
  <c r="O223" i="8"/>
  <c r="M223" i="8"/>
  <c r="K223" i="8"/>
  <c r="X222" i="8"/>
  <c r="W222" i="8"/>
  <c r="V222" i="8"/>
  <c r="U222" i="8"/>
  <c r="T222" i="8"/>
  <c r="S222" i="8"/>
  <c r="Q222" i="8"/>
  <c r="O222" i="8"/>
  <c r="M222" i="8"/>
  <c r="K222" i="8"/>
  <c r="X221" i="8"/>
  <c r="W221" i="8"/>
  <c r="V221" i="8"/>
  <c r="U221" i="8"/>
  <c r="T221" i="8"/>
  <c r="S221" i="8"/>
  <c r="Q221" i="8"/>
  <c r="O221" i="8"/>
  <c r="M221" i="8"/>
  <c r="K221" i="8"/>
  <c r="X220" i="8"/>
  <c r="W220" i="8"/>
  <c r="V220" i="8"/>
  <c r="U220" i="8"/>
  <c r="T220" i="8"/>
  <c r="S220" i="8"/>
  <c r="Q220" i="8"/>
  <c r="O220" i="8"/>
  <c r="M220" i="8"/>
  <c r="K220" i="8"/>
  <c r="X219" i="8"/>
  <c r="W219" i="8"/>
  <c r="V219" i="8"/>
  <c r="U219" i="8"/>
  <c r="T219" i="8"/>
  <c r="S219" i="8"/>
  <c r="Q219" i="8"/>
  <c r="O219" i="8"/>
  <c r="M219" i="8"/>
  <c r="K219" i="8"/>
  <c r="X218" i="8"/>
  <c r="W218" i="8"/>
  <c r="V218" i="8"/>
  <c r="U218" i="8"/>
  <c r="T218" i="8"/>
  <c r="S218" i="8"/>
  <c r="Q218" i="8"/>
  <c r="O218" i="8"/>
  <c r="M218" i="8"/>
  <c r="K218" i="8"/>
  <c r="X217" i="8"/>
  <c r="W217" i="8"/>
  <c r="V217" i="8"/>
  <c r="U217" i="8"/>
  <c r="T217" i="8"/>
  <c r="S217" i="8"/>
  <c r="Q217" i="8"/>
  <c r="O217" i="8"/>
  <c r="M217" i="8"/>
  <c r="K217" i="8"/>
  <c r="X216" i="8"/>
  <c r="W216" i="8"/>
  <c r="V216" i="8"/>
  <c r="U216" i="8"/>
  <c r="T216" i="8"/>
  <c r="S216" i="8"/>
  <c r="Q216" i="8"/>
  <c r="O216" i="8"/>
  <c r="M216" i="8"/>
  <c r="K216" i="8"/>
  <c r="X215" i="8"/>
  <c r="W215" i="8"/>
  <c r="V215" i="8"/>
  <c r="U215" i="8"/>
  <c r="T215" i="8"/>
  <c r="S215" i="8"/>
  <c r="Q215" i="8"/>
  <c r="O215" i="8"/>
  <c r="M215" i="8"/>
  <c r="K215" i="8"/>
  <c r="X214" i="8"/>
  <c r="W214" i="8"/>
  <c r="V214" i="8"/>
  <c r="U214" i="8"/>
  <c r="T214" i="8"/>
  <c r="S214" i="8"/>
  <c r="Q214" i="8"/>
  <c r="O214" i="8"/>
  <c r="M214" i="8"/>
  <c r="K214" i="8"/>
  <c r="X213" i="8"/>
  <c r="W213" i="8"/>
  <c r="V213" i="8"/>
  <c r="U213" i="8"/>
  <c r="T213" i="8"/>
  <c r="S213" i="8"/>
  <c r="Q213" i="8"/>
  <c r="O213" i="8"/>
  <c r="M213" i="8"/>
  <c r="K213" i="8"/>
  <c r="X212" i="8"/>
  <c r="W212" i="8"/>
  <c r="V212" i="8"/>
  <c r="U212" i="8"/>
  <c r="T212" i="8"/>
  <c r="S212" i="8"/>
  <c r="Q212" i="8"/>
  <c r="O212" i="8"/>
  <c r="M212" i="8"/>
  <c r="K212" i="8"/>
  <c r="X211" i="8"/>
  <c r="W211" i="8"/>
  <c r="V211" i="8"/>
  <c r="U211" i="8"/>
  <c r="T211" i="8"/>
  <c r="S211" i="8"/>
  <c r="Q211" i="8"/>
  <c r="O211" i="8"/>
  <c r="M211" i="8"/>
  <c r="K211" i="8"/>
  <c r="X210" i="8"/>
  <c r="W210" i="8"/>
  <c r="V210" i="8"/>
  <c r="U210" i="8"/>
  <c r="T210" i="8"/>
  <c r="S210" i="8"/>
  <c r="Q210" i="8"/>
  <c r="O210" i="8"/>
  <c r="M210" i="8"/>
  <c r="K210" i="8"/>
  <c r="X209" i="8"/>
  <c r="W209" i="8"/>
  <c r="V209" i="8"/>
  <c r="U209" i="8"/>
  <c r="T209" i="8"/>
  <c r="S209" i="8"/>
  <c r="Q209" i="8"/>
  <c r="O209" i="8"/>
  <c r="M209" i="8"/>
  <c r="K209" i="8"/>
  <c r="X208" i="8"/>
  <c r="W208" i="8"/>
  <c r="V208" i="8"/>
  <c r="U208" i="8"/>
  <c r="T208" i="8"/>
  <c r="S208" i="8"/>
  <c r="Q208" i="8"/>
  <c r="O208" i="8"/>
  <c r="M208" i="8"/>
  <c r="K208" i="8"/>
  <c r="X207" i="8"/>
  <c r="W207" i="8"/>
  <c r="V207" i="8"/>
  <c r="U207" i="8"/>
  <c r="T207" i="8"/>
  <c r="S207" i="8"/>
  <c r="Q207" i="8"/>
  <c r="O207" i="8"/>
  <c r="M207" i="8"/>
  <c r="K207" i="8"/>
  <c r="X206" i="8"/>
  <c r="W206" i="8"/>
  <c r="V206" i="8"/>
  <c r="U206" i="8"/>
  <c r="T206" i="8"/>
  <c r="S206" i="8"/>
  <c r="Q206" i="8"/>
  <c r="O206" i="8"/>
  <c r="M206" i="8"/>
  <c r="K206" i="8"/>
  <c r="X205" i="8"/>
  <c r="W205" i="8"/>
  <c r="V205" i="8"/>
  <c r="U205" i="8"/>
  <c r="T205" i="8"/>
  <c r="S205" i="8"/>
  <c r="Q205" i="8"/>
  <c r="O205" i="8"/>
  <c r="M205" i="8"/>
  <c r="K205" i="8"/>
  <c r="X204" i="8"/>
  <c r="W204" i="8"/>
  <c r="V204" i="8"/>
  <c r="U204" i="8"/>
  <c r="T204" i="8"/>
  <c r="S204" i="8"/>
  <c r="Q204" i="8"/>
  <c r="O204" i="8"/>
  <c r="M204" i="8"/>
  <c r="K204" i="8"/>
  <c r="X203" i="8"/>
  <c r="W203" i="8"/>
  <c r="V203" i="8"/>
  <c r="U203" i="8"/>
  <c r="T203" i="8"/>
  <c r="S203" i="8"/>
  <c r="Q203" i="8"/>
  <c r="O203" i="8"/>
  <c r="M203" i="8"/>
  <c r="K203" i="8"/>
  <c r="X202" i="8"/>
  <c r="W202" i="8"/>
  <c r="V202" i="8"/>
  <c r="U202" i="8"/>
  <c r="T202" i="8"/>
  <c r="S202" i="8"/>
  <c r="Q202" i="8"/>
  <c r="O202" i="8"/>
  <c r="M202" i="8"/>
  <c r="K202" i="8"/>
  <c r="X201" i="8"/>
  <c r="W201" i="8"/>
  <c r="V201" i="8"/>
  <c r="U201" i="8"/>
  <c r="T201" i="8"/>
  <c r="S201" i="8"/>
  <c r="Q201" i="8"/>
  <c r="O201" i="8"/>
  <c r="M201" i="8"/>
  <c r="K201" i="8"/>
  <c r="X200" i="8"/>
  <c r="W200" i="8"/>
  <c r="V200" i="8"/>
  <c r="U200" i="8"/>
  <c r="T200" i="8"/>
  <c r="S200" i="8"/>
  <c r="Q200" i="8"/>
  <c r="O200" i="8"/>
  <c r="M200" i="8"/>
  <c r="K200" i="8"/>
  <c r="X199" i="8"/>
  <c r="W199" i="8"/>
  <c r="V199" i="8"/>
  <c r="U199" i="8"/>
  <c r="T199" i="8"/>
  <c r="S199" i="8"/>
  <c r="Q199" i="8"/>
  <c r="O199" i="8"/>
  <c r="M199" i="8"/>
  <c r="K199" i="8"/>
  <c r="X198" i="8"/>
  <c r="W198" i="8"/>
  <c r="V198" i="8"/>
  <c r="U198" i="8"/>
  <c r="T198" i="8"/>
  <c r="S198" i="8"/>
  <c r="Q198" i="8"/>
  <c r="O198" i="8"/>
  <c r="M198" i="8"/>
  <c r="K198" i="8"/>
  <c r="X197" i="8"/>
  <c r="W197" i="8"/>
  <c r="V197" i="8"/>
  <c r="U197" i="8"/>
  <c r="T197" i="8"/>
  <c r="S197" i="8"/>
  <c r="Q197" i="8"/>
  <c r="O197" i="8"/>
  <c r="M197" i="8"/>
  <c r="K197" i="8"/>
  <c r="X196" i="8"/>
  <c r="W196" i="8"/>
  <c r="V196" i="8"/>
  <c r="U196" i="8"/>
  <c r="T196" i="8"/>
  <c r="S196" i="8"/>
  <c r="Q196" i="8"/>
  <c r="O196" i="8"/>
  <c r="M196" i="8"/>
  <c r="K196" i="8"/>
  <c r="X195" i="8"/>
  <c r="W195" i="8"/>
  <c r="V195" i="8"/>
  <c r="U195" i="8"/>
  <c r="T195" i="8"/>
  <c r="S195" i="8"/>
  <c r="Q195" i="8"/>
  <c r="O195" i="8"/>
  <c r="M195" i="8"/>
  <c r="K195" i="8"/>
  <c r="X194" i="8"/>
  <c r="W194" i="8"/>
  <c r="V194" i="8"/>
  <c r="U194" i="8"/>
  <c r="T194" i="8"/>
  <c r="S194" i="8"/>
  <c r="Q194" i="8"/>
  <c r="O194" i="8"/>
  <c r="M194" i="8"/>
  <c r="K194" i="8"/>
  <c r="X193" i="8"/>
  <c r="W193" i="8"/>
  <c r="V193" i="8"/>
  <c r="U193" i="8"/>
  <c r="T193" i="8"/>
  <c r="S193" i="8"/>
  <c r="Q193" i="8"/>
  <c r="O193" i="8"/>
  <c r="M193" i="8"/>
  <c r="K193" i="8"/>
  <c r="X192" i="8"/>
  <c r="W192" i="8"/>
  <c r="V192" i="8"/>
  <c r="U192" i="8"/>
  <c r="T192" i="8"/>
  <c r="S192" i="8"/>
  <c r="Q192" i="8"/>
  <c r="O192" i="8"/>
  <c r="M192" i="8"/>
  <c r="K192" i="8"/>
  <c r="X191" i="8"/>
  <c r="W191" i="8"/>
  <c r="V191" i="8"/>
  <c r="U191" i="8"/>
  <c r="T191" i="8"/>
  <c r="S191" i="8"/>
  <c r="Q191" i="8"/>
  <c r="O191" i="8"/>
  <c r="M191" i="8"/>
  <c r="K191" i="8"/>
  <c r="X190" i="8"/>
  <c r="W190" i="8"/>
  <c r="V190" i="8"/>
  <c r="U190" i="8"/>
  <c r="T190" i="8"/>
  <c r="S190" i="8"/>
  <c r="Q190" i="8"/>
  <c r="O190" i="8"/>
  <c r="M190" i="8"/>
  <c r="K190" i="8"/>
  <c r="X189" i="8"/>
  <c r="W189" i="8"/>
  <c r="V189" i="8"/>
  <c r="U189" i="8"/>
  <c r="T189" i="8"/>
  <c r="S189" i="8"/>
  <c r="Q189" i="8"/>
  <c r="O189" i="8"/>
  <c r="M189" i="8"/>
  <c r="K189" i="8"/>
  <c r="X188" i="8"/>
  <c r="W188" i="8"/>
  <c r="V188" i="8"/>
  <c r="U188" i="8"/>
  <c r="T188" i="8"/>
  <c r="S188" i="8"/>
  <c r="Q188" i="8"/>
  <c r="O188" i="8"/>
  <c r="M188" i="8"/>
  <c r="K188" i="8"/>
  <c r="X187" i="8"/>
  <c r="W187" i="8"/>
  <c r="V187" i="8"/>
  <c r="U187" i="8"/>
  <c r="T187" i="8"/>
  <c r="S187" i="8"/>
  <c r="Q187" i="8"/>
  <c r="O187" i="8"/>
  <c r="M187" i="8"/>
  <c r="K187" i="8"/>
  <c r="X186" i="8"/>
  <c r="W186" i="8"/>
  <c r="V186" i="8"/>
  <c r="U186" i="8"/>
  <c r="T186" i="8"/>
  <c r="S186" i="8"/>
  <c r="Q186" i="8"/>
  <c r="O186" i="8"/>
  <c r="M186" i="8"/>
  <c r="K186" i="8"/>
  <c r="X185" i="8"/>
  <c r="W185" i="8"/>
  <c r="V185" i="8"/>
  <c r="U185" i="8"/>
  <c r="T185" i="8"/>
  <c r="S185" i="8"/>
  <c r="Q185" i="8"/>
  <c r="O185" i="8"/>
  <c r="M185" i="8"/>
  <c r="K185" i="8"/>
  <c r="X184" i="8"/>
  <c r="W184" i="8"/>
  <c r="V184" i="8"/>
  <c r="U184" i="8"/>
  <c r="T184" i="8"/>
  <c r="S184" i="8"/>
  <c r="Q184" i="8"/>
  <c r="O184" i="8"/>
  <c r="M184" i="8"/>
  <c r="K184" i="8"/>
  <c r="X183" i="8"/>
  <c r="W183" i="8"/>
  <c r="V183" i="8"/>
  <c r="U183" i="8"/>
  <c r="T183" i="8"/>
  <c r="S183" i="8"/>
  <c r="Q183" i="8"/>
  <c r="O183" i="8"/>
  <c r="M183" i="8"/>
  <c r="K183" i="8"/>
  <c r="X182" i="8"/>
  <c r="W182" i="8"/>
  <c r="V182" i="8"/>
  <c r="U182" i="8"/>
  <c r="T182" i="8"/>
  <c r="S182" i="8"/>
  <c r="Q182" i="8"/>
  <c r="O182" i="8"/>
  <c r="M182" i="8"/>
  <c r="K182" i="8"/>
  <c r="X181" i="8"/>
  <c r="W181" i="8"/>
  <c r="V181" i="8"/>
  <c r="U181" i="8"/>
  <c r="T181" i="8"/>
  <c r="S181" i="8"/>
  <c r="Q181" i="8"/>
  <c r="O181" i="8"/>
  <c r="M181" i="8"/>
  <c r="K181" i="8"/>
  <c r="X180" i="8"/>
  <c r="W180" i="8"/>
  <c r="V180" i="8"/>
  <c r="U180" i="8"/>
  <c r="T180" i="8"/>
  <c r="S180" i="8"/>
  <c r="Q180" i="8"/>
  <c r="O180" i="8"/>
  <c r="M180" i="8"/>
  <c r="K180" i="8"/>
  <c r="X179" i="8"/>
  <c r="W179" i="8"/>
  <c r="V179" i="8"/>
  <c r="U179" i="8"/>
  <c r="T179" i="8"/>
  <c r="S179" i="8"/>
  <c r="Q179" i="8"/>
  <c r="O179" i="8"/>
  <c r="M179" i="8"/>
  <c r="K179" i="8"/>
  <c r="X178" i="8"/>
  <c r="W178" i="8"/>
  <c r="V178" i="8"/>
  <c r="U178" i="8"/>
  <c r="T178" i="8"/>
  <c r="S178" i="8"/>
  <c r="Q178" i="8"/>
  <c r="O178" i="8"/>
  <c r="M178" i="8"/>
  <c r="K178" i="8"/>
  <c r="X177" i="8"/>
  <c r="W177" i="8"/>
  <c r="V177" i="8"/>
  <c r="U177" i="8"/>
  <c r="T177" i="8"/>
  <c r="S177" i="8"/>
  <c r="Q177" i="8"/>
  <c r="O177" i="8"/>
  <c r="M177" i="8"/>
  <c r="K177" i="8"/>
  <c r="X176" i="8"/>
  <c r="W176" i="8"/>
  <c r="V176" i="8"/>
  <c r="U176" i="8"/>
  <c r="T176" i="8"/>
  <c r="S176" i="8"/>
  <c r="Q176" i="8"/>
  <c r="O176" i="8"/>
  <c r="M176" i="8"/>
  <c r="K176" i="8"/>
  <c r="X175" i="8"/>
  <c r="W175" i="8"/>
  <c r="V175" i="8"/>
  <c r="U175" i="8"/>
  <c r="T175" i="8"/>
  <c r="S175" i="8"/>
  <c r="Q175" i="8"/>
  <c r="O175" i="8"/>
  <c r="M175" i="8"/>
  <c r="K175" i="8"/>
  <c r="X174" i="8"/>
  <c r="W174" i="8"/>
  <c r="V174" i="8"/>
  <c r="U174" i="8"/>
  <c r="T174" i="8"/>
  <c r="S174" i="8"/>
  <c r="Q174" i="8"/>
  <c r="O174" i="8"/>
  <c r="M174" i="8"/>
  <c r="K174" i="8"/>
  <c r="X173" i="8"/>
  <c r="W173" i="8"/>
  <c r="V173" i="8"/>
  <c r="U173" i="8"/>
  <c r="T173" i="8"/>
  <c r="S173" i="8"/>
  <c r="Q173" i="8"/>
  <c r="O173" i="8"/>
  <c r="M173" i="8"/>
  <c r="K173" i="8"/>
  <c r="X172" i="8"/>
  <c r="W172" i="8"/>
  <c r="V172" i="8"/>
  <c r="U172" i="8"/>
  <c r="T172" i="8"/>
  <c r="S172" i="8"/>
  <c r="Q172" i="8"/>
  <c r="O172" i="8"/>
  <c r="M172" i="8"/>
  <c r="K172" i="8"/>
  <c r="X171" i="8"/>
  <c r="W171" i="8"/>
  <c r="V171" i="8"/>
  <c r="U171" i="8"/>
  <c r="T171" i="8"/>
  <c r="S171" i="8"/>
  <c r="Q171" i="8"/>
  <c r="O171" i="8"/>
  <c r="M171" i="8"/>
  <c r="K171" i="8"/>
  <c r="X170" i="8"/>
  <c r="W170" i="8"/>
  <c r="V170" i="8"/>
  <c r="U170" i="8"/>
  <c r="T170" i="8"/>
  <c r="S170" i="8"/>
  <c r="Q170" i="8"/>
  <c r="O170" i="8"/>
  <c r="M170" i="8"/>
  <c r="K170" i="8"/>
  <c r="X169" i="8"/>
  <c r="W169" i="8"/>
  <c r="V169" i="8"/>
  <c r="U169" i="8"/>
  <c r="T169" i="8"/>
  <c r="S169" i="8"/>
  <c r="Q169" i="8"/>
  <c r="O169" i="8"/>
  <c r="M169" i="8"/>
  <c r="K169" i="8"/>
  <c r="X168" i="8"/>
  <c r="W168" i="8"/>
  <c r="V168" i="8"/>
  <c r="U168" i="8"/>
  <c r="T168" i="8"/>
  <c r="S168" i="8"/>
  <c r="Q168" i="8"/>
  <c r="O168" i="8"/>
  <c r="M168" i="8"/>
  <c r="K168" i="8"/>
  <c r="X167" i="8"/>
  <c r="W167" i="8"/>
  <c r="V167" i="8"/>
  <c r="U167" i="8"/>
  <c r="T167" i="8"/>
  <c r="S167" i="8"/>
  <c r="Q167" i="8"/>
  <c r="O167" i="8"/>
  <c r="M167" i="8"/>
  <c r="K167" i="8"/>
  <c r="X166" i="8"/>
  <c r="W166" i="8"/>
  <c r="V166" i="8"/>
  <c r="U166" i="8"/>
  <c r="T166" i="8"/>
  <c r="S166" i="8"/>
  <c r="Q166" i="8"/>
  <c r="O166" i="8"/>
  <c r="M166" i="8"/>
  <c r="K166" i="8"/>
  <c r="X165" i="8"/>
  <c r="W165" i="8"/>
  <c r="V165" i="8"/>
  <c r="U165" i="8"/>
  <c r="T165" i="8"/>
  <c r="S165" i="8"/>
  <c r="Q165" i="8"/>
  <c r="O165" i="8"/>
  <c r="M165" i="8"/>
  <c r="K165" i="8"/>
  <c r="X164" i="8"/>
  <c r="W164" i="8"/>
  <c r="V164" i="8"/>
  <c r="U164" i="8"/>
  <c r="T164" i="8"/>
  <c r="S164" i="8"/>
  <c r="Q164" i="8"/>
  <c r="O164" i="8"/>
  <c r="M164" i="8"/>
  <c r="K164" i="8"/>
  <c r="X163" i="8"/>
  <c r="W163" i="8"/>
  <c r="V163" i="8"/>
  <c r="U163" i="8"/>
  <c r="T163" i="8"/>
  <c r="S163" i="8"/>
  <c r="Q163" i="8"/>
  <c r="O163" i="8"/>
  <c r="M163" i="8"/>
  <c r="K163" i="8"/>
  <c r="X162" i="8"/>
  <c r="W162" i="8"/>
  <c r="V162" i="8"/>
  <c r="U162" i="8"/>
  <c r="T162" i="8"/>
  <c r="S162" i="8"/>
  <c r="Q162" i="8"/>
  <c r="O162" i="8"/>
  <c r="M162" i="8"/>
  <c r="K162" i="8"/>
  <c r="X161" i="8"/>
  <c r="W161" i="8"/>
  <c r="V161" i="8"/>
  <c r="U161" i="8"/>
  <c r="T161" i="8"/>
  <c r="S161" i="8"/>
  <c r="Q161" i="8"/>
  <c r="O161" i="8"/>
  <c r="M161" i="8"/>
  <c r="K161" i="8"/>
  <c r="X160" i="8"/>
  <c r="W160" i="8"/>
  <c r="V160" i="8"/>
  <c r="U160" i="8"/>
  <c r="T160" i="8"/>
  <c r="S160" i="8"/>
  <c r="Q160" i="8"/>
  <c r="O160" i="8"/>
  <c r="M160" i="8"/>
  <c r="K160" i="8"/>
  <c r="X159" i="8"/>
  <c r="W159" i="8"/>
  <c r="V159" i="8"/>
  <c r="U159" i="8"/>
  <c r="T159" i="8"/>
  <c r="S159" i="8"/>
  <c r="Q159" i="8"/>
  <c r="O159" i="8"/>
  <c r="M159" i="8"/>
  <c r="K159" i="8"/>
  <c r="X158" i="8"/>
  <c r="W158" i="8"/>
  <c r="V158" i="8"/>
  <c r="U158" i="8"/>
  <c r="T158" i="8"/>
  <c r="S158" i="8"/>
  <c r="Q158" i="8"/>
  <c r="O158" i="8"/>
  <c r="M158" i="8"/>
  <c r="K158" i="8"/>
  <c r="X157" i="8"/>
  <c r="W157" i="8"/>
  <c r="V157" i="8"/>
  <c r="U157" i="8"/>
  <c r="T157" i="8"/>
  <c r="S157" i="8"/>
  <c r="Q157" i="8"/>
  <c r="O157" i="8"/>
  <c r="M157" i="8"/>
  <c r="K157" i="8"/>
  <c r="X156" i="8"/>
  <c r="W156" i="8"/>
  <c r="V156" i="8"/>
  <c r="U156" i="8"/>
  <c r="T156" i="8"/>
  <c r="S156" i="8"/>
  <c r="Q156" i="8"/>
  <c r="O156" i="8"/>
  <c r="M156" i="8"/>
  <c r="K156" i="8"/>
  <c r="X155" i="8"/>
  <c r="W155" i="8"/>
  <c r="V155" i="8"/>
  <c r="U155" i="8"/>
  <c r="T155" i="8"/>
  <c r="S155" i="8"/>
  <c r="Q155" i="8"/>
  <c r="O155" i="8"/>
  <c r="M155" i="8"/>
  <c r="K155" i="8"/>
  <c r="X154" i="8"/>
  <c r="W154" i="8"/>
  <c r="V154" i="8"/>
  <c r="U154" i="8"/>
  <c r="T154" i="8"/>
  <c r="S154" i="8"/>
  <c r="Q154" i="8"/>
  <c r="O154" i="8"/>
  <c r="M154" i="8"/>
  <c r="K154" i="8"/>
  <c r="X153" i="8"/>
  <c r="W153" i="8"/>
  <c r="V153" i="8"/>
  <c r="U153" i="8"/>
  <c r="T153" i="8"/>
  <c r="S153" i="8"/>
  <c r="Q153" i="8"/>
  <c r="O153" i="8"/>
  <c r="M153" i="8"/>
  <c r="K153" i="8"/>
  <c r="X152" i="8"/>
  <c r="W152" i="8"/>
  <c r="V152" i="8"/>
  <c r="U152" i="8"/>
  <c r="T152" i="8"/>
  <c r="S152" i="8"/>
  <c r="Q152" i="8"/>
  <c r="O152" i="8"/>
  <c r="M152" i="8"/>
  <c r="K152" i="8"/>
  <c r="X151" i="8"/>
  <c r="W151" i="8"/>
  <c r="V151" i="8"/>
  <c r="U151" i="8"/>
  <c r="T151" i="8"/>
  <c r="S151" i="8"/>
  <c r="Q151" i="8"/>
  <c r="O151" i="8"/>
  <c r="M151" i="8"/>
  <c r="K151" i="8"/>
  <c r="X150" i="8"/>
  <c r="W150" i="8"/>
  <c r="V150" i="8"/>
  <c r="U150" i="8"/>
  <c r="T150" i="8"/>
  <c r="S150" i="8"/>
  <c r="Q150" i="8"/>
  <c r="O150" i="8"/>
  <c r="M150" i="8"/>
  <c r="K150" i="8"/>
  <c r="X149" i="8"/>
  <c r="W149" i="8"/>
  <c r="V149" i="8"/>
  <c r="U149" i="8"/>
  <c r="T149" i="8"/>
  <c r="S149" i="8"/>
  <c r="Q149" i="8"/>
  <c r="O149" i="8"/>
  <c r="M149" i="8"/>
  <c r="K149" i="8"/>
  <c r="X148" i="8"/>
  <c r="W148" i="8"/>
  <c r="V148" i="8"/>
  <c r="U148" i="8"/>
  <c r="T148" i="8"/>
  <c r="S148" i="8"/>
  <c r="Q148" i="8"/>
  <c r="O148" i="8"/>
  <c r="M148" i="8"/>
  <c r="K148" i="8"/>
  <c r="X147" i="8"/>
  <c r="W147" i="8"/>
  <c r="V147" i="8"/>
  <c r="U147" i="8"/>
  <c r="T147" i="8"/>
  <c r="S147" i="8"/>
  <c r="Q147" i="8"/>
  <c r="O147" i="8"/>
  <c r="M147" i="8"/>
  <c r="K147" i="8"/>
  <c r="X146" i="8"/>
  <c r="W146" i="8"/>
  <c r="V146" i="8"/>
  <c r="U146" i="8"/>
  <c r="T146" i="8"/>
  <c r="S146" i="8"/>
  <c r="Q146" i="8"/>
  <c r="O146" i="8"/>
  <c r="M146" i="8"/>
  <c r="K146" i="8"/>
  <c r="X145" i="8"/>
  <c r="W145" i="8"/>
  <c r="V145" i="8"/>
  <c r="U145" i="8"/>
  <c r="T145" i="8"/>
  <c r="S145" i="8"/>
  <c r="Q145" i="8"/>
  <c r="O145" i="8"/>
  <c r="M145" i="8"/>
  <c r="K145" i="8"/>
  <c r="X144" i="8"/>
  <c r="W144" i="8"/>
  <c r="V144" i="8"/>
  <c r="U144" i="8"/>
  <c r="T144" i="8"/>
  <c r="S144" i="8"/>
  <c r="Q144" i="8"/>
  <c r="O144" i="8"/>
  <c r="M144" i="8"/>
  <c r="K144" i="8"/>
  <c r="X143" i="8"/>
  <c r="W143" i="8"/>
  <c r="V143" i="8"/>
  <c r="U143" i="8"/>
  <c r="T143" i="8"/>
  <c r="S143" i="8"/>
  <c r="Q143" i="8"/>
  <c r="O143" i="8"/>
  <c r="M143" i="8"/>
  <c r="K143" i="8"/>
  <c r="X142" i="8"/>
  <c r="W142" i="8"/>
  <c r="V142" i="8"/>
  <c r="U142" i="8"/>
  <c r="T142" i="8"/>
  <c r="S142" i="8"/>
  <c r="Q142" i="8"/>
  <c r="O142" i="8"/>
  <c r="M142" i="8"/>
  <c r="K142" i="8"/>
  <c r="X141" i="8"/>
  <c r="W141" i="8"/>
  <c r="V141" i="8"/>
  <c r="U141" i="8"/>
  <c r="T141" i="8"/>
  <c r="S141" i="8"/>
  <c r="Q141" i="8"/>
  <c r="O141" i="8"/>
  <c r="M141" i="8"/>
  <c r="K141" i="8"/>
  <c r="X140" i="8"/>
  <c r="W140" i="8"/>
  <c r="V140" i="8"/>
  <c r="U140" i="8"/>
  <c r="T140" i="8"/>
  <c r="S140" i="8"/>
  <c r="Q140" i="8"/>
  <c r="O140" i="8"/>
  <c r="M140" i="8"/>
  <c r="K140" i="8"/>
  <c r="X139" i="8"/>
  <c r="W139" i="8"/>
  <c r="V139" i="8"/>
  <c r="U139" i="8"/>
  <c r="T139" i="8"/>
  <c r="S139" i="8"/>
  <c r="Q139" i="8"/>
  <c r="O139" i="8"/>
  <c r="M139" i="8"/>
  <c r="K139" i="8"/>
  <c r="X138" i="8"/>
  <c r="W138" i="8"/>
  <c r="V138" i="8"/>
  <c r="U138" i="8"/>
  <c r="T138" i="8"/>
  <c r="S138" i="8"/>
  <c r="Q138" i="8"/>
  <c r="O138" i="8"/>
  <c r="M138" i="8"/>
  <c r="K138" i="8"/>
  <c r="X137" i="8"/>
  <c r="W137" i="8"/>
  <c r="V137" i="8"/>
  <c r="U137" i="8"/>
  <c r="T137" i="8"/>
  <c r="S137" i="8"/>
  <c r="Q137" i="8"/>
  <c r="O137" i="8"/>
  <c r="M137" i="8"/>
  <c r="K137" i="8"/>
  <c r="X136" i="8"/>
  <c r="W136" i="8"/>
  <c r="V136" i="8"/>
  <c r="U136" i="8"/>
  <c r="T136" i="8"/>
  <c r="S136" i="8"/>
  <c r="Q136" i="8"/>
  <c r="O136" i="8"/>
  <c r="M136" i="8"/>
  <c r="K136" i="8"/>
  <c r="X135" i="8"/>
  <c r="W135" i="8"/>
  <c r="V135" i="8"/>
  <c r="U135" i="8"/>
  <c r="T135" i="8"/>
  <c r="S135" i="8"/>
  <c r="Q135" i="8"/>
  <c r="O135" i="8"/>
  <c r="M135" i="8"/>
  <c r="K135" i="8"/>
  <c r="X134" i="8"/>
  <c r="W134" i="8"/>
  <c r="V134" i="8"/>
  <c r="U134" i="8"/>
  <c r="T134" i="8"/>
  <c r="S134" i="8"/>
  <c r="Q134" i="8"/>
  <c r="O134" i="8"/>
  <c r="M134" i="8"/>
  <c r="K134" i="8"/>
  <c r="X133" i="8"/>
  <c r="W133" i="8"/>
  <c r="V133" i="8"/>
  <c r="U133" i="8"/>
  <c r="T133" i="8"/>
  <c r="S133" i="8"/>
  <c r="Q133" i="8"/>
  <c r="O133" i="8"/>
  <c r="M133" i="8"/>
  <c r="K133" i="8"/>
  <c r="X132" i="8"/>
  <c r="W132" i="8"/>
  <c r="V132" i="8"/>
  <c r="U132" i="8"/>
  <c r="T132" i="8"/>
  <c r="S132" i="8"/>
  <c r="Q132" i="8"/>
  <c r="O132" i="8"/>
  <c r="M132" i="8"/>
  <c r="K132" i="8"/>
  <c r="X131" i="8"/>
  <c r="W131" i="8"/>
  <c r="V131" i="8"/>
  <c r="U131" i="8"/>
  <c r="T131" i="8"/>
  <c r="S131" i="8"/>
  <c r="Q131" i="8"/>
  <c r="O131" i="8"/>
  <c r="M131" i="8"/>
  <c r="K131" i="8"/>
  <c r="X130" i="8"/>
  <c r="W130" i="8"/>
  <c r="V130" i="8"/>
  <c r="U130" i="8"/>
  <c r="T130" i="8"/>
  <c r="S130" i="8"/>
  <c r="Q130" i="8"/>
  <c r="O130" i="8"/>
  <c r="M130" i="8"/>
  <c r="K130" i="8"/>
  <c r="X129" i="8"/>
  <c r="W129" i="8"/>
  <c r="V129" i="8"/>
  <c r="U129" i="8"/>
  <c r="T129" i="8"/>
  <c r="S129" i="8"/>
  <c r="Q129" i="8"/>
  <c r="O129" i="8"/>
  <c r="M129" i="8"/>
  <c r="K129" i="8"/>
  <c r="X128" i="8"/>
  <c r="W128" i="8"/>
  <c r="V128" i="8"/>
  <c r="U128" i="8"/>
  <c r="T128" i="8"/>
  <c r="S128" i="8"/>
  <c r="Q128" i="8"/>
  <c r="O128" i="8"/>
  <c r="M128" i="8"/>
  <c r="K128" i="8"/>
  <c r="X127" i="8"/>
  <c r="W127" i="8"/>
  <c r="V127" i="8"/>
  <c r="U127" i="8"/>
  <c r="T127" i="8"/>
  <c r="S127" i="8"/>
  <c r="Q127" i="8"/>
  <c r="O127" i="8"/>
  <c r="M127" i="8"/>
  <c r="K127" i="8"/>
  <c r="X126" i="8"/>
  <c r="W126" i="8"/>
  <c r="V126" i="8"/>
  <c r="U126" i="8"/>
  <c r="T126" i="8"/>
  <c r="S126" i="8"/>
  <c r="Q126" i="8"/>
  <c r="O126" i="8"/>
  <c r="M126" i="8"/>
  <c r="K126" i="8"/>
  <c r="X125" i="8"/>
  <c r="W125" i="8"/>
  <c r="V125" i="8"/>
  <c r="U125" i="8"/>
  <c r="T125" i="8"/>
  <c r="S125" i="8"/>
  <c r="Q125" i="8"/>
  <c r="O125" i="8"/>
  <c r="M125" i="8"/>
  <c r="K125" i="8"/>
  <c r="X124" i="8"/>
  <c r="W124" i="8"/>
  <c r="V124" i="8"/>
  <c r="U124" i="8"/>
  <c r="T124" i="8"/>
  <c r="S124" i="8"/>
  <c r="Q124" i="8"/>
  <c r="O124" i="8"/>
  <c r="M124" i="8"/>
  <c r="K124" i="8"/>
  <c r="X123" i="8"/>
  <c r="W123" i="8"/>
  <c r="V123" i="8"/>
  <c r="U123" i="8"/>
  <c r="T123" i="8"/>
  <c r="S123" i="8"/>
  <c r="Q123" i="8"/>
  <c r="O123" i="8"/>
  <c r="M123" i="8"/>
  <c r="K123" i="8"/>
  <c r="X122" i="8"/>
  <c r="W122" i="8"/>
  <c r="V122" i="8"/>
  <c r="U122" i="8"/>
  <c r="T122" i="8"/>
  <c r="S122" i="8"/>
  <c r="Q122" i="8"/>
  <c r="O122" i="8"/>
  <c r="M122" i="8"/>
  <c r="K122" i="8"/>
  <c r="X121" i="8"/>
  <c r="W121" i="8"/>
  <c r="V121" i="8"/>
  <c r="U121" i="8"/>
  <c r="T121" i="8"/>
  <c r="S121" i="8"/>
  <c r="Q121" i="8"/>
  <c r="O121" i="8"/>
  <c r="M121" i="8"/>
  <c r="K121" i="8"/>
  <c r="X120" i="8"/>
  <c r="W120" i="8"/>
  <c r="V120" i="8"/>
  <c r="U120" i="8"/>
  <c r="T120" i="8"/>
  <c r="S120" i="8"/>
  <c r="Q120" i="8"/>
  <c r="O120" i="8"/>
  <c r="M120" i="8"/>
  <c r="K120" i="8"/>
  <c r="X119" i="8"/>
  <c r="W119" i="8"/>
  <c r="V119" i="8"/>
  <c r="U119" i="8"/>
  <c r="T119" i="8"/>
  <c r="S119" i="8"/>
  <c r="Q119" i="8"/>
  <c r="O119" i="8"/>
  <c r="M119" i="8"/>
  <c r="K119" i="8"/>
  <c r="X118" i="8"/>
  <c r="W118" i="8"/>
  <c r="V118" i="8"/>
  <c r="U118" i="8"/>
  <c r="T118" i="8"/>
  <c r="S118" i="8"/>
  <c r="Q118" i="8"/>
  <c r="O118" i="8"/>
  <c r="M118" i="8"/>
  <c r="K118" i="8"/>
  <c r="X117" i="8"/>
  <c r="W117" i="8"/>
  <c r="V117" i="8"/>
  <c r="U117" i="8"/>
  <c r="T117" i="8"/>
  <c r="S117" i="8"/>
  <c r="Q117" i="8"/>
  <c r="O117" i="8"/>
  <c r="M117" i="8"/>
  <c r="K117" i="8"/>
  <c r="X116" i="8"/>
  <c r="W116" i="8"/>
  <c r="V116" i="8"/>
  <c r="U116" i="8"/>
  <c r="T116" i="8"/>
  <c r="S116" i="8"/>
  <c r="Q116" i="8"/>
  <c r="O116" i="8"/>
  <c r="M116" i="8"/>
  <c r="K116" i="8"/>
  <c r="X115" i="8"/>
  <c r="W115" i="8"/>
  <c r="V115" i="8"/>
  <c r="U115" i="8"/>
  <c r="T115" i="8"/>
  <c r="S115" i="8"/>
  <c r="Q115" i="8"/>
  <c r="O115" i="8"/>
  <c r="M115" i="8"/>
  <c r="K115" i="8"/>
  <c r="X114" i="8"/>
  <c r="W114" i="8"/>
  <c r="V114" i="8"/>
  <c r="U114" i="8"/>
  <c r="T114" i="8"/>
  <c r="S114" i="8"/>
  <c r="Q114" i="8"/>
  <c r="O114" i="8"/>
  <c r="M114" i="8"/>
  <c r="K114" i="8"/>
  <c r="X113" i="8"/>
  <c r="W113" i="8"/>
  <c r="V113" i="8"/>
  <c r="U113" i="8"/>
  <c r="T113" i="8"/>
  <c r="S113" i="8"/>
  <c r="Q113" i="8"/>
  <c r="O113" i="8"/>
  <c r="M113" i="8"/>
  <c r="K113" i="8"/>
  <c r="X112" i="8"/>
  <c r="W112" i="8"/>
  <c r="V112" i="8"/>
  <c r="U112" i="8"/>
  <c r="T112" i="8"/>
  <c r="S112" i="8"/>
  <c r="Q112" i="8"/>
  <c r="O112" i="8"/>
  <c r="M112" i="8"/>
  <c r="K112" i="8"/>
  <c r="X111" i="8"/>
  <c r="W111" i="8"/>
  <c r="V111" i="8"/>
  <c r="U111" i="8"/>
  <c r="T111" i="8"/>
  <c r="S111" i="8"/>
  <c r="Q111" i="8"/>
  <c r="O111" i="8"/>
  <c r="M111" i="8"/>
  <c r="K111" i="8"/>
  <c r="X110" i="8"/>
  <c r="W110" i="8"/>
  <c r="V110" i="8"/>
  <c r="U110" i="8"/>
  <c r="T110" i="8"/>
  <c r="S110" i="8"/>
  <c r="Q110" i="8"/>
  <c r="O110" i="8"/>
  <c r="M110" i="8"/>
  <c r="K110" i="8"/>
  <c r="X109" i="8"/>
  <c r="W109" i="8"/>
  <c r="V109" i="8"/>
  <c r="U109" i="8"/>
  <c r="T109" i="8"/>
  <c r="S109" i="8"/>
  <c r="Q109" i="8"/>
  <c r="O109" i="8"/>
  <c r="M109" i="8"/>
  <c r="K109" i="8"/>
  <c r="X108" i="8"/>
  <c r="W108" i="8"/>
  <c r="V108" i="8"/>
  <c r="U108" i="8"/>
  <c r="T108" i="8"/>
  <c r="S108" i="8"/>
  <c r="Q108" i="8"/>
  <c r="O108" i="8"/>
  <c r="M108" i="8"/>
  <c r="K108" i="8"/>
  <c r="X107" i="8"/>
  <c r="W107" i="8"/>
  <c r="V107" i="8"/>
  <c r="U107" i="8"/>
  <c r="T107" i="8"/>
  <c r="S107" i="8"/>
  <c r="Q107" i="8"/>
  <c r="O107" i="8"/>
  <c r="M107" i="8"/>
  <c r="K107" i="8"/>
  <c r="X106" i="8"/>
  <c r="W106" i="8"/>
  <c r="V106" i="8"/>
  <c r="U106" i="8"/>
  <c r="T106" i="8"/>
  <c r="S106" i="8"/>
  <c r="Q106" i="8"/>
  <c r="O106" i="8"/>
  <c r="M106" i="8"/>
  <c r="K106" i="8"/>
  <c r="X105" i="8"/>
  <c r="W105" i="8"/>
  <c r="V105" i="8"/>
  <c r="U105" i="8"/>
  <c r="T105" i="8"/>
  <c r="S105" i="8"/>
  <c r="Q105" i="8"/>
  <c r="O105" i="8"/>
  <c r="M105" i="8"/>
  <c r="K105" i="8"/>
  <c r="X104" i="8"/>
  <c r="W104" i="8"/>
  <c r="V104" i="8"/>
  <c r="U104" i="8"/>
  <c r="T104" i="8"/>
  <c r="S104" i="8"/>
  <c r="Q104" i="8"/>
  <c r="O104" i="8"/>
  <c r="M104" i="8"/>
  <c r="K104" i="8"/>
  <c r="X103" i="8"/>
  <c r="W103" i="8"/>
  <c r="V103" i="8"/>
  <c r="U103" i="8"/>
  <c r="T103" i="8"/>
  <c r="S103" i="8"/>
  <c r="Q103" i="8"/>
  <c r="O103" i="8"/>
  <c r="M103" i="8"/>
  <c r="K103" i="8"/>
  <c r="X102" i="8"/>
  <c r="W102" i="8"/>
  <c r="V102" i="8"/>
  <c r="U102" i="8"/>
  <c r="T102" i="8"/>
  <c r="S102" i="8"/>
  <c r="Q102" i="8"/>
  <c r="O102" i="8"/>
  <c r="M102" i="8"/>
  <c r="K102" i="8"/>
  <c r="X101" i="8"/>
  <c r="W101" i="8"/>
  <c r="V101" i="8"/>
  <c r="U101" i="8"/>
  <c r="T101" i="8"/>
  <c r="S101" i="8"/>
  <c r="Q101" i="8"/>
  <c r="O101" i="8"/>
  <c r="M101" i="8"/>
  <c r="K101" i="8"/>
  <c r="X100" i="8"/>
  <c r="W100" i="8"/>
  <c r="V100" i="8"/>
  <c r="U100" i="8"/>
  <c r="T100" i="8"/>
  <c r="S100" i="8"/>
  <c r="Q100" i="8"/>
  <c r="O100" i="8"/>
  <c r="M100" i="8"/>
  <c r="K100" i="8"/>
  <c r="X99" i="8"/>
  <c r="W99" i="8"/>
  <c r="V99" i="8"/>
  <c r="U99" i="8"/>
  <c r="T99" i="8"/>
  <c r="S99" i="8"/>
  <c r="Q99" i="8"/>
  <c r="O99" i="8"/>
  <c r="M99" i="8"/>
  <c r="K99" i="8"/>
  <c r="X98" i="8"/>
  <c r="W98" i="8"/>
  <c r="V98" i="8"/>
  <c r="U98" i="8"/>
  <c r="T98" i="8"/>
  <c r="S98" i="8"/>
  <c r="Q98" i="8"/>
  <c r="O98" i="8"/>
  <c r="M98" i="8"/>
  <c r="K98" i="8"/>
  <c r="X97" i="8"/>
  <c r="W97" i="8"/>
  <c r="V97" i="8"/>
  <c r="U97" i="8"/>
  <c r="T97" i="8"/>
  <c r="S97" i="8"/>
  <c r="Q97" i="8"/>
  <c r="O97" i="8"/>
  <c r="M97" i="8"/>
  <c r="K97" i="8"/>
  <c r="X96" i="8"/>
  <c r="W96" i="8"/>
  <c r="V96" i="8"/>
  <c r="U96" i="8"/>
  <c r="T96" i="8"/>
  <c r="S96" i="8"/>
  <c r="Q96" i="8"/>
  <c r="O96" i="8"/>
  <c r="M96" i="8"/>
  <c r="K96" i="8"/>
  <c r="X95" i="8"/>
  <c r="W95" i="8"/>
  <c r="V95" i="8"/>
  <c r="U95" i="8"/>
  <c r="T95" i="8"/>
  <c r="S95" i="8"/>
  <c r="Q95" i="8"/>
  <c r="O95" i="8"/>
  <c r="M95" i="8"/>
  <c r="K95" i="8"/>
  <c r="X94" i="8"/>
  <c r="W94" i="8"/>
  <c r="V94" i="8"/>
  <c r="U94" i="8"/>
  <c r="T94" i="8"/>
  <c r="S94" i="8"/>
  <c r="Q94" i="8"/>
  <c r="O94" i="8"/>
  <c r="M94" i="8"/>
  <c r="K94" i="8"/>
  <c r="X93" i="8"/>
  <c r="W93" i="8"/>
  <c r="V93" i="8"/>
  <c r="U93" i="8"/>
  <c r="T93" i="8"/>
  <c r="S93" i="8"/>
  <c r="Q93" i="8"/>
  <c r="O93" i="8"/>
  <c r="M93" i="8"/>
  <c r="K93" i="8"/>
  <c r="X92" i="8"/>
  <c r="W92" i="8"/>
  <c r="V92" i="8"/>
  <c r="U92" i="8"/>
  <c r="T92" i="8"/>
  <c r="S92" i="8"/>
  <c r="Q92" i="8"/>
  <c r="O92" i="8"/>
  <c r="M92" i="8"/>
  <c r="K92" i="8"/>
  <c r="X91" i="8"/>
  <c r="W91" i="8"/>
  <c r="V91" i="8"/>
  <c r="U91" i="8"/>
  <c r="T91" i="8"/>
  <c r="S91" i="8"/>
  <c r="Q91" i="8"/>
  <c r="O91" i="8"/>
  <c r="M91" i="8"/>
  <c r="K91" i="8"/>
  <c r="X90" i="8"/>
  <c r="W90" i="8"/>
  <c r="V90" i="8"/>
  <c r="U90" i="8"/>
  <c r="T90" i="8"/>
  <c r="S90" i="8"/>
  <c r="Q90" i="8"/>
  <c r="O90" i="8"/>
  <c r="M90" i="8"/>
  <c r="K90" i="8"/>
  <c r="X89" i="8"/>
  <c r="W89" i="8"/>
  <c r="V89" i="8"/>
  <c r="U89" i="8"/>
  <c r="T89" i="8"/>
  <c r="S89" i="8"/>
  <c r="Q89" i="8"/>
  <c r="O89" i="8"/>
  <c r="M89" i="8"/>
  <c r="K89" i="8"/>
  <c r="X88" i="8"/>
  <c r="W88" i="8"/>
  <c r="V88" i="8"/>
  <c r="U88" i="8"/>
  <c r="T88" i="8"/>
  <c r="S88" i="8"/>
  <c r="Q88" i="8"/>
  <c r="O88" i="8"/>
  <c r="M88" i="8"/>
  <c r="K88" i="8"/>
  <c r="X87" i="8"/>
  <c r="W87" i="8"/>
  <c r="V87" i="8"/>
  <c r="U87" i="8"/>
  <c r="T87" i="8"/>
  <c r="S87" i="8"/>
  <c r="Q87" i="8"/>
  <c r="O87" i="8"/>
  <c r="M87" i="8"/>
  <c r="K87" i="8"/>
  <c r="X86" i="8"/>
  <c r="W86" i="8"/>
  <c r="V86" i="8"/>
  <c r="U86" i="8"/>
  <c r="T86" i="8"/>
  <c r="S86" i="8"/>
  <c r="Q86" i="8"/>
  <c r="O86" i="8"/>
  <c r="M86" i="8"/>
  <c r="K86" i="8"/>
  <c r="X85" i="8"/>
  <c r="W85" i="8"/>
  <c r="V85" i="8"/>
  <c r="U85" i="8"/>
  <c r="T85" i="8"/>
  <c r="S85" i="8"/>
  <c r="Q85" i="8"/>
  <c r="O85" i="8"/>
  <c r="M85" i="8"/>
  <c r="K85" i="8"/>
  <c r="X84" i="8"/>
  <c r="W84" i="8"/>
  <c r="V84" i="8"/>
  <c r="U84" i="8"/>
  <c r="T84" i="8"/>
  <c r="S84" i="8"/>
  <c r="Q84" i="8"/>
  <c r="O84" i="8"/>
  <c r="M84" i="8"/>
  <c r="K84" i="8"/>
  <c r="X83" i="8"/>
  <c r="W83" i="8"/>
  <c r="V83" i="8"/>
  <c r="U83" i="8"/>
  <c r="T83" i="8"/>
  <c r="S83" i="8"/>
  <c r="Q83" i="8"/>
  <c r="O83" i="8"/>
  <c r="M83" i="8"/>
  <c r="K83" i="8"/>
  <c r="X82" i="8"/>
  <c r="W82" i="8"/>
  <c r="V82" i="8"/>
  <c r="U82" i="8"/>
  <c r="T82" i="8"/>
  <c r="S82" i="8"/>
  <c r="Q82" i="8"/>
  <c r="O82" i="8"/>
  <c r="M82" i="8"/>
  <c r="K82" i="8"/>
  <c r="X81" i="8"/>
  <c r="W81" i="8"/>
  <c r="V81" i="8"/>
  <c r="U81" i="8"/>
  <c r="T81" i="8"/>
  <c r="S81" i="8"/>
  <c r="Q81" i="8"/>
  <c r="O81" i="8"/>
  <c r="M81" i="8"/>
  <c r="K81" i="8"/>
  <c r="X80" i="8"/>
  <c r="W80" i="8"/>
  <c r="V80" i="8"/>
  <c r="U80" i="8"/>
  <c r="T80" i="8"/>
  <c r="S80" i="8"/>
  <c r="Q80" i="8"/>
  <c r="O80" i="8"/>
  <c r="M80" i="8"/>
  <c r="K80" i="8"/>
  <c r="X79" i="8"/>
  <c r="W79" i="8"/>
  <c r="V79" i="8"/>
  <c r="U79" i="8"/>
  <c r="T79" i="8"/>
  <c r="S79" i="8"/>
  <c r="Q79" i="8"/>
  <c r="O79" i="8"/>
  <c r="M79" i="8"/>
  <c r="K79" i="8"/>
  <c r="X78" i="8"/>
  <c r="W78" i="8"/>
  <c r="V78" i="8"/>
  <c r="U78" i="8"/>
  <c r="T78" i="8"/>
  <c r="S78" i="8"/>
  <c r="Q78" i="8"/>
  <c r="O78" i="8"/>
  <c r="M78" i="8"/>
  <c r="K78" i="8"/>
  <c r="X77" i="8"/>
  <c r="W77" i="8"/>
  <c r="V77" i="8"/>
  <c r="U77" i="8"/>
  <c r="T77" i="8"/>
  <c r="S77" i="8"/>
  <c r="Q77" i="8"/>
  <c r="O77" i="8"/>
  <c r="M77" i="8"/>
  <c r="K77" i="8"/>
  <c r="X76" i="8"/>
  <c r="W76" i="8"/>
  <c r="V76" i="8"/>
  <c r="U76" i="8"/>
  <c r="T76" i="8"/>
  <c r="S76" i="8"/>
  <c r="Q76" i="8"/>
  <c r="O76" i="8"/>
  <c r="M76" i="8"/>
  <c r="K76" i="8"/>
  <c r="X75" i="8"/>
  <c r="W75" i="8"/>
  <c r="V75" i="8"/>
  <c r="U75" i="8"/>
  <c r="T75" i="8"/>
  <c r="S75" i="8"/>
  <c r="Q75" i="8"/>
  <c r="O75" i="8"/>
  <c r="M75" i="8"/>
  <c r="K75" i="8"/>
  <c r="X74" i="8"/>
  <c r="W74" i="8"/>
  <c r="V74" i="8"/>
  <c r="U74" i="8"/>
  <c r="T74" i="8"/>
  <c r="S74" i="8"/>
  <c r="Q74" i="8"/>
  <c r="O74" i="8"/>
  <c r="M74" i="8"/>
  <c r="K74" i="8"/>
  <c r="X73" i="8"/>
  <c r="W73" i="8"/>
  <c r="V73" i="8"/>
  <c r="U73" i="8"/>
  <c r="T73" i="8"/>
  <c r="S73" i="8"/>
  <c r="Q73" i="8"/>
  <c r="O73" i="8"/>
  <c r="M73" i="8"/>
  <c r="K73" i="8"/>
  <c r="X72" i="8"/>
  <c r="W72" i="8"/>
  <c r="V72" i="8"/>
  <c r="U72" i="8"/>
  <c r="T72" i="8"/>
  <c r="S72" i="8"/>
  <c r="Q72" i="8"/>
  <c r="O72" i="8"/>
  <c r="M72" i="8"/>
  <c r="K72" i="8"/>
  <c r="X71" i="8"/>
  <c r="W71" i="8"/>
  <c r="V71" i="8"/>
  <c r="U71" i="8"/>
  <c r="T71" i="8"/>
  <c r="S71" i="8"/>
  <c r="Q71" i="8"/>
  <c r="O71" i="8"/>
  <c r="M71" i="8"/>
  <c r="K71" i="8"/>
  <c r="X70" i="8"/>
  <c r="W70" i="8"/>
  <c r="V70" i="8"/>
  <c r="U70" i="8"/>
  <c r="T70" i="8"/>
  <c r="S70" i="8"/>
  <c r="Q70" i="8"/>
  <c r="O70" i="8"/>
  <c r="M70" i="8"/>
  <c r="K70" i="8"/>
  <c r="X69" i="8"/>
  <c r="W69" i="8"/>
  <c r="V69" i="8"/>
  <c r="U69" i="8"/>
  <c r="T69" i="8"/>
  <c r="S69" i="8"/>
  <c r="Q69" i="8"/>
  <c r="O69" i="8"/>
  <c r="M69" i="8"/>
  <c r="K69" i="8"/>
  <c r="X68" i="8"/>
  <c r="W68" i="8"/>
  <c r="V68" i="8"/>
  <c r="U68" i="8"/>
  <c r="T68" i="8"/>
  <c r="S68" i="8"/>
  <c r="Q68" i="8"/>
  <c r="O68" i="8"/>
  <c r="M68" i="8"/>
  <c r="K68" i="8"/>
  <c r="X67" i="8"/>
  <c r="W67" i="8"/>
  <c r="V67" i="8"/>
  <c r="U67" i="8"/>
  <c r="T67" i="8"/>
  <c r="S67" i="8"/>
  <c r="Q67" i="8"/>
  <c r="O67" i="8"/>
  <c r="M67" i="8"/>
  <c r="K67" i="8"/>
  <c r="X66" i="8"/>
  <c r="W66" i="8"/>
  <c r="V66" i="8"/>
  <c r="U66" i="8"/>
  <c r="T66" i="8"/>
  <c r="S66" i="8"/>
  <c r="Q66" i="8"/>
  <c r="O66" i="8"/>
  <c r="M66" i="8"/>
  <c r="K66" i="8"/>
  <c r="X65" i="8"/>
  <c r="W65" i="8"/>
  <c r="V65" i="8"/>
  <c r="U65" i="8"/>
  <c r="T65" i="8"/>
  <c r="S65" i="8"/>
  <c r="Q65" i="8"/>
  <c r="O65" i="8"/>
  <c r="M65" i="8"/>
  <c r="K65" i="8"/>
  <c r="X64" i="8"/>
  <c r="W64" i="8"/>
  <c r="V64" i="8"/>
  <c r="U64" i="8"/>
  <c r="T64" i="8"/>
  <c r="S64" i="8"/>
  <c r="Q64" i="8"/>
  <c r="O64" i="8"/>
  <c r="M64" i="8"/>
  <c r="K64" i="8"/>
  <c r="X63" i="8"/>
  <c r="W63" i="8"/>
  <c r="V63" i="8"/>
  <c r="U63" i="8"/>
  <c r="T63" i="8"/>
  <c r="S63" i="8"/>
  <c r="Q63" i="8"/>
  <c r="O63" i="8"/>
  <c r="M63" i="8"/>
  <c r="K63" i="8"/>
  <c r="X62" i="8"/>
  <c r="W62" i="8"/>
  <c r="V62" i="8"/>
  <c r="U62" i="8"/>
  <c r="T62" i="8"/>
  <c r="S62" i="8"/>
  <c r="Q62" i="8"/>
  <c r="O62" i="8"/>
  <c r="M62" i="8"/>
  <c r="K62" i="8"/>
  <c r="X61" i="8"/>
  <c r="W61" i="8"/>
  <c r="V61" i="8"/>
  <c r="U61" i="8"/>
  <c r="T61" i="8"/>
  <c r="S61" i="8"/>
  <c r="Q61" i="8"/>
  <c r="O61" i="8"/>
  <c r="M61" i="8"/>
  <c r="K61" i="8"/>
  <c r="X60" i="8"/>
  <c r="W60" i="8"/>
  <c r="V60" i="8"/>
  <c r="U60" i="8"/>
  <c r="T60" i="8"/>
  <c r="S60" i="8"/>
  <c r="Q60" i="8"/>
  <c r="O60" i="8"/>
  <c r="M60" i="8"/>
  <c r="K60" i="8"/>
  <c r="X59" i="8"/>
  <c r="W59" i="8"/>
  <c r="V59" i="8"/>
  <c r="U59" i="8"/>
  <c r="T59" i="8"/>
  <c r="S59" i="8"/>
  <c r="Q59" i="8"/>
  <c r="O59" i="8"/>
  <c r="M59" i="8"/>
  <c r="K59" i="8"/>
  <c r="X58" i="8"/>
  <c r="W58" i="8"/>
  <c r="V58" i="8"/>
  <c r="U58" i="8"/>
  <c r="T58" i="8"/>
  <c r="S58" i="8"/>
  <c r="Q58" i="8"/>
  <c r="O58" i="8"/>
  <c r="M58" i="8"/>
  <c r="K58" i="8"/>
  <c r="X57" i="8"/>
  <c r="W57" i="8"/>
  <c r="V57" i="8"/>
  <c r="U57" i="8"/>
  <c r="T57" i="8"/>
  <c r="S57" i="8"/>
  <c r="Q57" i="8"/>
  <c r="O57" i="8"/>
  <c r="M57" i="8"/>
  <c r="K57" i="8"/>
  <c r="X56" i="8"/>
  <c r="W56" i="8"/>
  <c r="V56" i="8"/>
  <c r="U56" i="8"/>
  <c r="T56" i="8"/>
  <c r="S56" i="8"/>
  <c r="Q56" i="8"/>
  <c r="O56" i="8"/>
  <c r="M56" i="8"/>
  <c r="K56" i="8"/>
  <c r="X55" i="8"/>
  <c r="W55" i="8"/>
  <c r="V55" i="8"/>
  <c r="U55" i="8"/>
  <c r="T55" i="8"/>
  <c r="S55" i="8"/>
  <c r="Q55" i="8"/>
  <c r="O55" i="8"/>
  <c r="M55" i="8"/>
  <c r="K55" i="8"/>
  <c r="X54" i="8"/>
  <c r="W54" i="8"/>
  <c r="V54" i="8"/>
  <c r="U54" i="8"/>
  <c r="T54" i="8"/>
  <c r="S54" i="8"/>
  <c r="Q54" i="8"/>
  <c r="O54" i="8"/>
  <c r="M54" i="8"/>
  <c r="K54" i="8"/>
  <c r="X53" i="8"/>
  <c r="W53" i="8"/>
  <c r="V53" i="8"/>
  <c r="U53" i="8"/>
  <c r="T53" i="8"/>
  <c r="S53" i="8"/>
  <c r="Q53" i="8"/>
  <c r="O53" i="8"/>
  <c r="M53" i="8"/>
  <c r="K53" i="8"/>
  <c r="X52" i="8"/>
  <c r="W52" i="8"/>
  <c r="V52" i="8"/>
  <c r="U52" i="8"/>
  <c r="T52" i="8"/>
  <c r="S52" i="8"/>
  <c r="Q52" i="8"/>
  <c r="O52" i="8"/>
  <c r="M52" i="8"/>
  <c r="K52" i="8"/>
  <c r="X51" i="8"/>
  <c r="W51" i="8"/>
  <c r="V51" i="8"/>
  <c r="U51" i="8"/>
  <c r="T51" i="8"/>
  <c r="S51" i="8"/>
  <c r="Q51" i="8"/>
  <c r="O51" i="8"/>
  <c r="M51" i="8"/>
  <c r="K51" i="8"/>
  <c r="X50" i="8"/>
  <c r="W50" i="8"/>
  <c r="V50" i="8"/>
  <c r="U50" i="8"/>
  <c r="T50" i="8"/>
  <c r="S50" i="8"/>
  <c r="Q50" i="8"/>
  <c r="O50" i="8"/>
  <c r="M50" i="8"/>
  <c r="K50" i="8"/>
  <c r="X49" i="8"/>
  <c r="W49" i="8"/>
  <c r="V49" i="8"/>
  <c r="U49" i="8"/>
  <c r="T49" i="8"/>
  <c r="S49" i="8"/>
  <c r="Q49" i="8"/>
  <c r="O49" i="8"/>
  <c r="M49" i="8"/>
  <c r="K49" i="8"/>
  <c r="X48" i="8"/>
  <c r="W48" i="8"/>
  <c r="V48" i="8"/>
  <c r="U48" i="8"/>
  <c r="T48" i="8"/>
  <c r="S48" i="8"/>
  <c r="Q48" i="8"/>
  <c r="O48" i="8"/>
  <c r="M48" i="8"/>
  <c r="K48" i="8"/>
  <c r="X47" i="8"/>
  <c r="W47" i="8"/>
  <c r="V47" i="8"/>
  <c r="U47" i="8"/>
  <c r="T47" i="8"/>
  <c r="S47" i="8"/>
  <c r="Q47" i="8"/>
  <c r="O47" i="8"/>
  <c r="M47" i="8"/>
  <c r="K47" i="8"/>
  <c r="X46" i="8"/>
  <c r="W46" i="8"/>
  <c r="V46" i="8"/>
  <c r="U46" i="8"/>
  <c r="T46" i="8"/>
  <c r="S46" i="8"/>
  <c r="Q46" i="8"/>
  <c r="O46" i="8"/>
  <c r="M46" i="8"/>
  <c r="K46" i="8"/>
  <c r="X45" i="8"/>
  <c r="W45" i="8"/>
  <c r="V45" i="8"/>
  <c r="U45" i="8"/>
  <c r="T45" i="8"/>
  <c r="S45" i="8"/>
  <c r="Q45" i="8"/>
  <c r="O45" i="8"/>
  <c r="M45" i="8"/>
  <c r="K45" i="8"/>
  <c r="X44" i="8"/>
  <c r="W44" i="8"/>
  <c r="V44" i="8"/>
  <c r="U44" i="8"/>
  <c r="T44" i="8"/>
  <c r="S44" i="8"/>
  <c r="Q44" i="8"/>
  <c r="O44" i="8"/>
  <c r="M44" i="8"/>
  <c r="K44" i="8"/>
  <c r="X43" i="8"/>
  <c r="W43" i="8"/>
  <c r="V43" i="8"/>
  <c r="U43" i="8"/>
  <c r="T43" i="8"/>
  <c r="S43" i="8"/>
  <c r="Q43" i="8"/>
  <c r="O43" i="8"/>
  <c r="M43" i="8"/>
  <c r="K43" i="8"/>
  <c r="X42" i="8"/>
  <c r="W42" i="8"/>
  <c r="V42" i="8"/>
  <c r="U42" i="8"/>
  <c r="T42" i="8"/>
  <c r="S42" i="8"/>
  <c r="Q42" i="8"/>
  <c r="O42" i="8"/>
  <c r="M42" i="8"/>
  <c r="K42" i="8"/>
  <c r="X41" i="8"/>
  <c r="W41" i="8"/>
  <c r="V41" i="8"/>
  <c r="U41" i="8"/>
  <c r="T41" i="8"/>
  <c r="S41" i="8"/>
  <c r="Q41" i="8"/>
  <c r="O41" i="8"/>
  <c r="M41" i="8"/>
  <c r="K41" i="8"/>
  <c r="X40" i="8"/>
  <c r="W40" i="8"/>
  <c r="V40" i="8"/>
  <c r="U40" i="8"/>
  <c r="T40" i="8"/>
  <c r="S40" i="8"/>
  <c r="Q40" i="8"/>
  <c r="O40" i="8"/>
  <c r="M40" i="8"/>
  <c r="K40" i="8"/>
  <c r="X39" i="8"/>
  <c r="W39" i="8"/>
  <c r="V39" i="8"/>
  <c r="U39" i="8"/>
  <c r="T39" i="8"/>
  <c r="S39" i="8"/>
  <c r="Q39" i="8"/>
  <c r="O39" i="8"/>
  <c r="M39" i="8"/>
  <c r="K39" i="8"/>
  <c r="X38" i="8"/>
  <c r="W38" i="8"/>
  <c r="V38" i="8"/>
  <c r="U38" i="8"/>
  <c r="T38" i="8"/>
  <c r="S38" i="8"/>
  <c r="Q38" i="8"/>
  <c r="O38" i="8"/>
  <c r="M38" i="8"/>
  <c r="K38" i="8"/>
  <c r="X37" i="8"/>
  <c r="W37" i="8"/>
  <c r="V37" i="8"/>
  <c r="U37" i="8"/>
  <c r="T37" i="8"/>
  <c r="S37" i="8"/>
  <c r="Q37" i="8"/>
  <c r="O37" i="8"/>
  <c r="M37" i="8"/>
  <c r="K37" i="8"/>
  <c r="X36" i="8"/>
  <c r="W36" i="8"/>
  <c r="V36" i="8"/>
  <c r="U36" i="8"/>
  <c r="T36" i="8"/>
  <c r="S36" i="8"/>
  <c r="Q36" i="8"/>
  <c r="O36" i="8"/>
  <c r="M36" i="8"/>
  <c r="K36" i="8"/>
  <c r="X35" i="8"/>
  <c r="W35" i="8"/>
  <c r="V35" i="8"/>
  <c r="U35" i="8"/>
  <c r="T35" i="8"/>
  <c r="S35" i="8"/>
  <c r="Q35" i="8"/>
  <c r="O35" i="8"/>
  <c r="M35" i="8"/>
  <c r="K35" i="8"/>
  <c r="X34" i="8"/>
  <c r="W34" i="8"/>
  <c r="V34" i="8"/>
  <c r="U34" i="8"/>
  <c r="T34" i="8"/>
  <c r="S34" i="8"/>
  <c r="Q34" i="8"/>
  <c r="O34" i="8"/>
  <c r="M34" i="8"/>
  <c r="K34" i="8"/>
  <c r="X33" i="8"/>
  <c r="W33" i="8"/>
  <c r="V33" i="8"/>
  <c r="U33" i="8"/>
  <c r="T33" i="8"/>
  <c r="S33" i="8"/>
  <c r="Q33" i="8"/>
  <c r="O33" i="8"/>
  <c r="M33" i="8"/>
  <c r="K33" i="8"/>
  <c r="X32" i="8"/>
  <c r="W32" i="8"/>
  <c r="V32" i="8"/>
  <c r="U32" i="8"/>
  <c r="T32" i="8"/>
  <c r="S32" i="8"/>
  <c r="Q32" i="8"/>
  <c r="O32" i="8"/>
  <c r="M32" i="8"/>
  <c r="K32" i="8"/>
  <c r="X31" i="8"/>
  <c r="W31" i="8"/>
  <c r="V31" i="8"/>
  <c r="U31" i="8"/>
  <c r="T31" i="8"/>
  <c r="S31" i="8"/>
  <c r="Q31" i="8"/>
  <c r="O31" i="8"/>
  <c r="M31" i="8"/>
  <c r="K31" i="8"/>
  <c r="X30" i="8"/>
  <c r="W30" i="8"/>
  <c r="V30" i="8"/>
  <c r="U30" i="8"/>
  <c r="T30" i="8"/>
  <c r="S30" i="8"/>
  <c r="Q30" i="8"/>
  <c r="O30" i="8"/>
  <c r="M30" i="8"/>
  <c r="K30" i="8"/>
  <c r="X29" i="8"/>
  <c r="W29" i="8"/>
  <c r="V29" i="8"/>
  <c r="U29" i="8"/>
  <c r="T29" i="8"/>
  <c r="S29" i="8"/>
  <c r="Q29" i="8"/>
  <c r="O29" i="8"/>
  <c r="M29" i="8"/>
  <c r="K29" i="8"/>
  <c r="X28" i="8"/>
  <c r="W28" i="8"/>
  <c r="V28" i="8"/>
  <c r="U28" i="8"/>
  <c r="T28" i="8"/>
  <c r="S28" i="8"/>
  <c r="Q28" i="8"/>
  <c r="O28" i="8"/>
  <c r="M28" i="8"/>
  <c r="K28" i="8"/>
  <c r="X27" i="8"/>
  <c r="W27" i="8"/>
  <c r="V27" i="8"/>
  <c r="U27" i="8"/>
  <c r="T27" i="8"/>
  <c r="S27" i="8"/>
  <c r="Q27" i="8"/>
  <c r="O27" i="8"/>
  <c r="M27" i="8"/>
  <c r="K27" i="8"/>
  <c r="X26" i="8"/>
  <c r="W26" i="8"/>
  <c r="V26" i="8"/>
  <c r="U26" i="8"/>
  <c r="T26" i="8"/>
  <c r="S26" i="8"/>
  <c r="Q26" i="8"/>
  <c r="O26" i="8"/>
  <c r="M26" i="8"/>
  <c r="K26" i="8"/>
  <c r="X25" i="8"/>
  <c r="W25" i="8"/>
  <c r="V25" i="8"/>
  <c r="U25" i="8"/>
  <c r="T25" i="8"/>
  <c r="S25" i="8"/>
  <c r="Q25" i="8"/>
  <c r="O25" i="8"/>
  <c r="M25" i="8"/>
  <c r="K25" i="8"/>
  <c r="X24" i="8"/>
  <c r="W24" i="8"/>
  <c r="V24" i="8"/>
  <c r="U24" i="8"/>
  <c r="T24" i="8"/>
  <c r="S24" i="8"/>
  <c r="Q24" i="8"/>
  <c r="O24" i="8"/>
  <c r="M24" i="8"/>
  <c r="K24" i="8"/>
  <c r="X23" i="8"/>
  <c r="W23" i="8"/>
  <c r="V23" i="8"/>
  <c r="U23" i="8"/>
  <c r="T23" i="8"/>
  <c r="S23" i="8"/>
  <c r="Q23" i="8"/>
  <c r="O23" i="8"/>
  <c r="M23" i="8"/>
  <c r="K23" i="8"/>
  <c r="X22" i="8"/>
  <c r="W22" i="8"/>
  <c r="V22" i="8"/>
  <c r="U22" i="8"/>
  <c r="T22" i="8"/>
  <c r="S22" i="8"/>
  <c r="Q22" i="8"/>
  <c r="O22" i="8"/>
  <c r="M22" i="8"/>
  <c r="K22" i="8"/>
  <c r="X21" i="8"/>
  <c r="W21" i="8"/>
  <c r="V21" i="8"/>
  <c r="U21" i="8"/>
  <c r="T21" i="8"/>
  <c r="S21" i="8"/>
  <c r="Q21" i="8"/>
  <c r="O21" i="8"/>
  <c r="M21" i="8"/>
  <c r="K21" i="8"/>
  <c r="X20" i="8"/>
  <c r="W20" i="8"/>
  <c r="V20" i="8"/>
  <c r="U20" i="8"/>
  <c r="T20" i="8"/>
  <c r="S20" i="8"/>
  <c r="Q20" i="8"/>
  <c r="O20" i="8"/>
  <c r="M20" i="8"/>
  <c r="K20" i="8"/>
  <c r="X19" i="8"/>
  <c r="W19" i="8"/>
  <c r="V19" i="8"/>
  <c r="U19" i="8"/>
  <c r="T19" i="8"/>
  <c r="S19" i="8"/>
  <c r="Q19" i="8"/>
  <c r="O19" i="8"/>
  <c r="M19" i="8"/>
  <c r="K19" i="8"/>
  <c r="X18" i="8"/>
  <c r="W18" i="8"/>
  <c r="V18" i="8"/>
  <c r="U18" i="8"/>
  <c r="T18" i="8"/>
  <c r="S18" i="8"/>
  <c r="Q18" i="8"/>
  <c r="O18" i="8"/>
  <c r="M18" i="8"/>
  <c r="K18" i="8"/>
  <c r="X17" i="8"/>
  <c r="W17" i="8"/>
  <c r="V17" i="8"/>
  <c r="U17" i="8"/>
  <c r="T17" i="8"/>
  <c r="S17" i="8"/>
  <c r="Q17" i="8"/>
  <c r="O17" i="8"/>
  <c r="M17" i="8"/>
  <c r="K17" i="8"/>
  <c r="X16" i="8"/>
  <c r="W16" i="8"/>
  <c r="V16" i="8"/>
  <c r="U16" i="8"/>
  <c r="T16" i="8"/>
  <c r="S16" i="8"/>
  <c r="Q16" i="8"/>
  <c r="O16" i="8"/>
  <c r="M16" i="8"/>
  <c r="K16" i="8"/>
  <c r="X15" i="8"/>
  <c r="W15" i="8"/>
  <c r="V15" i="8"/>
  <c r="U15" i="8"/>
  <c r="T15" i="8"/>
  <c r="S15" i="8"/>
  <c r="Q15" i="8"/>
  <c r="O15" i="8"/>
  <c r="M15" i="8"/>
  <c r="K15" i="8"/>
  <c r="X14" i="8"/>
  <c r="W14" i="8"/>
  <c r="V14" i="8"/>
  <c r="U14" i="8"/>
  <c r="T14" i="8"/>
  <c r="S14" i="8"/>
  <c r="Q14" i="8"/>
  <c r="O14" i="8"/>
  <c r="M14" i="8"/>
  <c r="K14" i="8"/>
  <c r="X13" i="8"/>
  <c r="W13" i="8"/>
  <c r="V13" i="8"/>
  <c r="U13" i="8"/>
  <c r="T13" i="8"/>
  <c r="S13" i="8"/>
  <c r="Q13" i="8"/>
  <c r="O13" i="8"/>
  <c r="M13" i="8"/>
  <c r="K13" i="8"/>
  <c r="X12" i="8"/>
  <c r="W12" i="8"/>
  <c r="V12" i="8"/>
  <c r="U12" i="8"/>
  <c r="T12" i="8"/>
  <c r="S12" i="8"/>
  <c r="Q12" i="8"/>
  <c r="O12" i="8"/>
  <c r="M12" i="8"/>
  <c r="K12" i="8"/>
  <c r="X11" i="8"/>
  <c r="W11" i="8"/>
  <c r="V11" i="8"/>
  <c r="U11" i="8"/>
  <c r="T11" i="8"/>
  <c r="S11" i="8"/>
  <c r="Q11" i="8"/>
  <c r="O11" i="8"/>
  <c r="M11" i="8"/>
  <c r="K11" i="8"/>
  <c r="X10" i="8"/>
  <c r="W10" i="8"/>
  <c r="V10" i="8"/>
  <c r="U10" i="8"/>
  <c r="T10" i="8"/>
  <c r="S10" i="8"/>
  <c r="Q10" i="8"/>
  <c r="O10" i="8"/>
  <c r="M10" i="8"/>
  <c r="K10" i="8"/>
  <c r="X9" i="8"/>
  <c r="W9" i="8"/>
  <c r="V9" i="8"/>
  <c r="U9" i="8"/>
  <c r="T9" i="8"/>
  <c r="S9" i="8"/>
  <c r="Q9" i="8"/>
  <c r="O9" i="8"/>
  <c r="M9" i="8"/>
  <c r="K9" i="8"/>
  <c r="X8" i="8"/>
  <c r="W8" i="8"/>
  <c r="V8" i="8"/>
  <c r="U8" i="8"/>
  <c r="T8" i="8"/>
  <c r="S8" i="8"/>
  <c r="Q8" i="8"/>
  <c r="O8" i="8"/>
  <c r="M8" i="8"/>
  <c r="K8" i="8"/>
  <c r="X7" i="8"/>
  <c r="W7" i="8"/>
  <c r="V7" i="8"/>
  <c r="U7" i="8"/>
  <c r="T7" i="8"/>
  <c r="S7" i="8"/>
  <c r="Q7" i="8"/>
  <c r="O7" i="8"/>
  <c r="M7" i="8"/>
  <c r="K7" i="8"/>
  <c r="X251" i="7" l="1"/>
  <c r="W251" i="7"/>
  <c r="V251" i="7"/>
  <c r="U251" i="7"/>
  <c r="T251" i="7"/>
  <c r="S251" i="7"/>
  <c r="Q251" i="7"/>
  <c r="O251" i="7"/>
  <c r="M251" i="7"/>
  <c r="K251" i="7"/>
  <c r="X250" i="7"/>
  <c r="W250" i="7"/>
  <c r="V250" i="7"/>
  <c r="U250" i="7"/>
  <c r="T250" i="7"/>
  <c r="S250" i="7"/>
  <c r="Q250" i="7"/>
  <c r="O250" i="7"/>
  <c r="M250" i="7"/>
  <c r="K250" i="7"/>
  <c r="X249" i="7"/>
  <c r="W249" i="7"/>
  <c r="V249" i="7"/>
  <c r="U249" i="7"/>
  <c r="T249" i="7"/>
  <c r="S249" i="7"/>
  <c r="Q249" i="7"/>
  <c r="O249" i="7"/>
  <c r="M249" i="7"/>
  <c r="K249" i="7"/>
  <c r="X248" i="7"/>
  <c r="W248" i="7"/>
  <c r="V248" i="7"/>
  <c r="U248" i="7"/>
  <c r="T248" i="7"/>
  <c r="S248" i="7"/>
  <c r="Q248" i="7"/>
  <c r="O248" i="7"/>
  <c r="M248" i="7"/>
  <c r="K248" i="7"/>
  <c r="X247" i="7"/>
  <c r="W247" i="7"/>
  <c r="V247" i="7"/>
  <c r="U247" i="7"/>
  <c r="T247" i="7"/>
  <c r="S247" i="7"/>
  <c r="Q247" i="7"/>
  <c r="O247" i="7"/>
  <c r="M247" i="7"/>
  <c r="K247" i="7"/>
  <c r="X246" i="7"/>
  <c r="W246" i="7"/>
  <c r="V246" i="7"/>
  <c r="U246" i="7"/>
  <c r="T246" i="7"/>
  <c r="S246" i="7"/>
  <c r="Q246" i="7"/>
  <c r="O246" i="7"/>
  <c r="M246" i="7"/>
  <c r="K246" i="7"/>
  <c r="X245" i="7"/>
  <c r="W245" i="7"/>
  <c r="V245" i="7"/>
  <c r="U245" i="7"/>
  <c r="T245" i="7"/>
  <c r="S245" i="7"/>
  <c r="Q245" i="7"/>
  <c r="O245" i="7"/>
  <c r="M245" i="7"/>
  <c r="K245" i="7"/>
  <c r="X244" i="7"/>
  <c r="W244" i="7"/>
  <c r="V244" i="7"/>
  <c r="U244" i="7"/>
  <c r="T244" i="7"/>
  <c r="S244" i="7"/>
  <c r="Q244" i="7"/>
  <c r="O244" i="7"/>
  <c r="M244" i="7"/>
  <c r="K244" i="7"/>
  <c r="X243" i="7"/>
  <c r="W243" i="7"/>
  <c r="V243" i="7"/>
  <c r="U243" i="7"/>
  <c r="T243" i="7"/>
  <c r="S243" i="7"/>
  <c r="Q243" i="7"/>
  <c r="O243" i="7"/>
  <c r="M243" i="7"/>
  <c r="K243" i="7"/>
  <c r="X242" i="7"/>
  <c r="W242" i="7"/>
  <c r="V242" i="7"/>
  <c r="U242" i="7"/>
  <c r="T242" i="7"/>
  <c r="S242" i="7"/>
  <c r="Q242" i="7"/>
  <c r="O242" i="7"/>
  <c r="M242" i="7"/>
  <c r="K242" i="7"/>
  <c r="X241" i="7"/>
  <c r="W241" i="7"/>
  <c r="V241" i="7"/>
  <c r="U241" i="7"/>
  <c r="T241" i="7"/>
  <c r="S241" i="7"/>
  <c r="Q241" i="7"/>
  <c r="O241" i="7"/>
  <c r="M241" i="7"/>
  <c r="K241" i="7"/>
  <c r="X240" i="7"/>
  <c r="W240" i="7"/>
  <c r="V240" i="7"/>
  <c r="U240" i="7"/>
  <c r="T240" i="7"/>
  <c r="S240" i="7"/>
  <c r="Q240" i="7"/>
  <c r="O240" i="7"/>
  <c r="M240" i="7"/>
  <c r="K240" i="7"/>
  <c r="X239" i="7"/>
  <c r="W239" i="7"/>
  <c r="V239" i="7"/>
  <c r="U239" i="7"/>
  <c r="T239" i="7"/>
  <c r="S239" i="7"/>
  <c r="Q239" i="7"/>
  <c r="O239" i="7"/>
  <c r="M239" i="7"/>
  <c r="K239" i="7"/>
  <c r="X238" i="7"/>
  <c r="W238" i="7"/>
  <c r="V238" i="7"/>
  <c r="U238" i="7"/>
  <c r="T238" i="7"/>
  <c r="S238" i="7"/>
  <c r="Q238" i="7"/>
  <c r="O238" i="7"/>
  <c r="M238" i="7"/>
  <c r="K238" i="7"/>
  <c r="X237" i="7"/>
  <c r="W237" i="7"/>
  <c r="V237" i="7"/>
  <c r="U237" i="7"/>
  <c r="T237" i="7"/>
  <c r="S237" i="7"/>
  <c r="Q237" i="7"/>
  <c r="O237" i="7"/>
  <c r="M237" i="7"/>
  <c r="K237" i="7"/>
  <c r="X236" i="7"/>
  <c r="W236" i="7"/>
  <c r="V236" i="7"/>
  <c r="U236" i="7"/>
  <c r="T236" i="7"/>
  <c r="S236" i="7"/>
  <c r="Q236" i="7"/>
  <c r="O236" i="7"/>
  <c r="M236" i="7"/>
  <c r="K236" i="7"/>
  <c r="X235" i="7"/>
  <c r="W235" i="7"/>
  <c r="V235" i="7"/>
  <c r="U235" i="7"/>
  <c r="T235" i="7"/>
  <c r="S235" i="7"/>
  <c r="Q235" i="7"/>
  <c r="O235" i="7"/>
  <c r="M235" i="7"/>
  <c r="K235" i="7"/>
  <c r="X234" i="7"/>
  <c r="W234" i="7"/>
  <c r="V234" i="7"/>
  <c r="U234" i="7"/>
  <c r="T234" i="7"/>
  <c r="S234" i="7"/>
  <c r="Q234" i="7"/>
  <c r="O234" i="7"/>
  <c r="M234" i="7"/>
  <c r="K234" i="7"/>
  <c r="X233" i="7"/>
  <c r="W233" i="7"/>
  <c r="V233" i="7"/>
  <c r="U233" i="7"/>
  <c r="T233" i="7"/>
  <c r="S233" i="7"/>
  <c r="Q233" i="7"/>
  <c r="O233" i="7"/>
  <c r="M233" i="7"/>
  <c r="K233" i="7"/>
  <c r="X232" i="7"/>
  <c r="W232" i="7"/>
  <c r="V232" i="7"/>
  <c r="U232" i="7"/>
  <c r="T232" i="7"/>
  <c r="S232" i="7"/>
  <c r="Q232" i="7"/>
  <c r="O232" i="7"/>
  <c r="M232" i="7"/>
  <c r="K232" i="7"/>
  <c r="X231" i="7"/>
  <c r="W231" i="7"/>
  <c r="V231" i="7"/>
  <c r="U231" i="7"/>
  <c r="T231" i="7"/>
  <c r="S231" i="7"/>
  <c r="Q231" i="7"/>
  <c r="O231" i="7"/>
  <c r="M231" i="7"/>
  <c r="K231" i="7"/>
  <c r="X230" i="7"/>
  <c r="W230" i="7"/>
  <c r="V230" i="7"/>
  <c r="U230" i="7"/>
  <c r="T230" i="7"/>
  <c r="S230" i="7"/>
  <c r="Q230" i="7"/>
  <c r="O230" i="7"/>
  <c r="M230" i="7"/>
  <c r="K230" i="7"/>
  <c r="X229" i="7"/>
  <c r="W229" i="7"/>
  <c r="V229" i="7"/>
  <c r="U229" i="7"/>
  <c r="T229" i="7"/>
  <c r="S229" i="7"/>
  <c r="Q229" i="7"/>
  <c r="O229" i="7"/>
  <c r="M229" i="7"/>
  <c r="K229" i="7"/>
  <c r="X228" i="7"/>
  <c r="W228" i="7"/>
  <c r="V228" i="7"/>
  <c r="U228" i="7"/>
  <c r="T228" i="7"/>
  <c r="S228" i="7"/>
  <c r="Q228" i="7"/>
  <c r="O228" i="7"/>
  <c r="M228" i="7"/>
  <c r="K228" i="7"/>
  <c r="X227" i="7"/>
  <c r="W227" i="7"/>
  <c r="V227" i="7"/>
  <c r="U227" i="7"/>
  <c r="T227" i="7"/>
  <c r="S227" i="7"/>
  <c r="Q227" i="7"/>
  <c r="O227" i="7"/>
  <c r="M227" i="7"/>
  <c r="K227" i="7"/>
  <c r="X226" i="7"/>
  <c r="W226" i="7"/>
  <c r="V226" i="7"/>
  <c r="U226" i="7"/>
  <c r="T226" i="7"/>
  <c r="S226" i="7"/>
  <c r="Q226" i="7"/>
  <c r="O226" i="7"/>
  <c r="M226" i="7"/>
  <c r="K226" i="7"/>
  <c r="X225" i="7"/>
  <c r="W225" i="7"/>
  <c r="V225" i="7"/>
  <c r="U225" i="7"/>
  <c r="T225" i="7"/>
  <c r="S225" i="7"/>
  <c r="Q225" i="7"/>
  <c r="O225" i="7"/>
  <c r="M225" i="7"/>
  <c r="K225" i="7"/>
  <c r="X224" i="7"/>
  <c r="W224" i="7"/>
  <c r="V224" i="7"/>
  <c r="U224" i="7"/>
  <c r="T224" i="7"/>
  <c r="S224" i="7"/>
  <c r="Q224" i="7"/>
  <c r="O224" i="7"/>
  <c r="M224" i="7"/>
  <c r="K224" i="7"/>
  <c r="X223" i="7"/>
  <c r="W223" i="7"/>
  <c r="V223" i="7"/>
  <c r="U223" i="7"/>
  <c r="T223" i="7"/>
  <c r="S223" i="7"/>
  <c r="Q223" i="7"/>
  <c r="O223" i="7"/>
  <c r="M223" i="7"/>
  <c r="K223" i="7"/>
  <c r="X222" i="7"/>
  <c r="W222" i="7"/>
  <c r="V222" i="7"/>
  <c r="U222" i="7"/>
  <c r="T222" i="7"/>
  <c r="S222" i="7"/>
  <c r="Q222" i="7"/>
  <c r="O222" i="7"/>
  <c r="M222" i="7"/>
  <c r="K222" i="7"/>
  <c r="X221" i="7"/>
  <c r="W221" i="7"/>
  <c r="V221" i="7"/>
  <c r="U221" i="7"/>
  <c r="T221" i="7"/>
  <c r="S221" i="7"/>
  <c r="Q221" i="7"/>
  <c r="O221" i="7"/>
  <c r="M221" i="7"/>
  <c r="K221" i="7"/>
  <c r="X220" i="7"/>
  <c r="W220" i="7"/>
  <c r="V220" i="7"/>
  <c r="U220" i="7"/>
  <c r="T220" i="7"/>
  <c r="S220" i="7"/>
  <c r="Q220" i="7"/>
  <c r="O220" i="7"/>
  <c r="M220" i="7"/>
  <c r="K220" i="7"/>
  <c r="X219" i="7"/>
  <c r="W219" i="7"/>
  <c r="V219" i="7"/>
  <c r="U219" i="7"/>
  <c r="T219" i="7"/>
  <c r="S219" i="7"/>
  <c r="Q219" i="7"/>
  <c r="O219" i="7"/>
  <c r="M219" i="7"/>
  <c r="K219" i="7"/>
  <c r="X218" i="7"/>
  <c r="W218" i="7"/>
  <c r="V218" i="7"/>
  <c r="U218" i="7"/>
  <c r="T218" i="7"/>
  <c r="S218" i="7"/>
  <c r="Q218" i="7"/>
  <c r="O218" i="7"/>
  <c r="M218" i="7"/>
  <c r="K218" i="7"/>
  <c r="X217" i="7"/>
  <c r="W217" i="7"/>
  <c r="V217" i="7"/>
  <c r="U217" i="7"/>
  <c r="T217" i="7"/>
  <c r="S217" i="7"/>
  <c r="Q217" i="7"/>
  <c r="O217" i="7"/>
  <c r="M217" i="7"/>
  <c r="K217" i="7"/>
  <c r="X216" i="7"/>
  <c r="W216" i="7"/>
  <c r="V216" i="7"/>
  <c r="U216" i="7"/>
  <c r="T216" i="7"/>
  <c r="S216" i="7"/>
  <c r="Q216" i="7"/>
  <c r="O216" i="7"/>
  <c r="M216" i="7"/>
  <c r="K216" i="7"/>
  <c r="X215" i="7"/>
  <c r="W215" i="7"/>
  <c r="V215" i="7"/>
  <c r="U215" i="7"/>
  <c r="T215" i="7"/>
  <c r="S215" i="7"/>
  <c r="Q215" i="7"/>
  <c r="O215" i="7"/>
  <c r="M215" i="7"/>
  <c r="K215" i="7"/>
  <c r="X214" i="7"/>
  <c r="W214" i="7"/>
  <c r="V214" i="7"/>
  <c r="U214" i="7"/>
  <c r="T214" i="7"/>
  <c r="S214" i="7"/>
  <c r="Q214" i="7"/>
  <c r="O214" i="7"/>
  <c r="M214" i="7"/>
  <c r="K214" i="7"/>
  <c r="X213" i="7"/>
  <c r="W213" i="7"/>
  <c r="V213" i="7"/>
  <c r="U213" i="7"/>
  <c r="T213" i="7"/>
  <c r="S213" i="7"/>
  <c r="Q213" i="7"/>
  <c r="O213" i="7"/>
  <c r="M213" i="7"/>
  <c r="K213" i="7"/>
  <c r="X212" i="7"/>
  <c r="W212" i="7"/>
  <c r="V212" i="7"/>
  <c r="U212" i="7"/>
  <c r="T212" i="7"/>
  <c r="S212" i="7"/>
  <c r="Q212" i="7"/>
  <c r="O212" i="7"/>
  <c r="M212" i="7"/>
  <c r="K212" i="7"/>
  <c r="X211" i="7"/>
  <c r="W211" i="7"/>
  <c r="V211" i="7"/>
  <c r="U211" i="7"/>
  <c r="T211" i="7"/>
  <c r="S211" i="7"/>
  <c r="Q211" i="7"/>
  <c r="O211" i="7"/>
  <c r="M211" i="7"/>
  <c r="K211" i="7"/>
  <c r="X210" i="7"/>
  <c r="W210" i="7"/>
  <c r="V210" i="7"/>
  <c r="U210" i="7"/>
  <c r="T210" i="7"/>
  <c r="S210" i="7"/>
  <c r="Q210" i="7"/>
  <c r="O210" i="7"/>
  <c r="M210" i="7"/>
  <c r="K210" i="7"/>
  <c r="X209" i="7"/>
  <c r="W209" i="7"/>
  <c r="V209" i="7"/>
  <c r="U209" i="7"/>
  <c r="T209" i="7"/>
  <c r="S209" i="7"/>
  <c r="Q209" i="7"/>
  <c r="O209" i="7"/>
  <c r="M209" i="7"/>
  <c r="K209" i="7"/>
  <c r="X208" i="7"/>
  <c r="W208" i="7"/>
  <c r="V208" i="7"/>
  <c r="U208" i="7"/>
  <c r="T208" i="7"/>
  <c r="S208" i="7"/>
  <c r="Q208" i="7"/>
  <c r="O208" i="7"/>
  <c r="M208" i="7"/>
  <c r="K208" i="7"/>
  <c r="X207" i="7"/>
  <c r="W207" i="7"/>
  <c r="V207" i="7"/>
  <c r="U207" i="7"/>
  <c r="T207" i="7"/>
  <c r="S207" i="7"/>
  <c r="Q207" i="7"/>
  <c r="O207" i="7"/>
  <c r="M207" i="7"/>
  <c r="K207" i="7"/>
  <c r="X206" i="7"/>
  <c r="W206" i="7"/>
  <c r="V206" i="7"/>
  <c r="U206" i="7"/>
  <c r="T206" i="7"/>
  <c r="S206" i="7"/>
  <c r="Q206" i="7"/>
  <c r="O206" i="7"/>
  <c r="M206" i="7"/>
  <c r="K206" i="7"/>
  <c r="X205" i="7"/>
  <c r="W205" i="7"/>
  <c r="V205" i="7"/>
  <c r="U205" i="7"/>
  <c r="T205" i="7"/>
  <c r="S205" i="7"/>
  <c r="Q205" i="7"/>
  <c r="O205" i="7"/>
  <c r="M205" i="7"/>
  <c r="K205" i="7"/>
  <c r="X204" i="7"/>
  <c r="W204" i="7"/>
  <c r="V204" i="7"/>
  <c r="U204" i="7"/>
  <c r="T204" i="7"/>
  <c r="S204" i="7"/>
  <c r="Q204" i="7"/>
  <c r="O204" i="7"/>
  <c r="M204" i="7"/>
  <c r="K204" i="7"/>
  <c r="X203" i="7"/>
  <c r="W203" i="7"/>
  <c r="V203" i="7"/>
  <c r="U203" i="7"/>
  <c r="T203" i="7"/>
  <c r="S203" i="7"/>
  <c r="Q203" i="7"/>
  <c r="O203" i="7"/>
  <c r="M203" i="7"/>
  <c r="K203" i="7"/>
  <c r="X202" i="7"/>
  <c r="W202" i="7"/>
  <c r="V202" i="7"/>
  <c r="U202" i="7"/>
  <c r="T202" i="7"/>
  <c r="S202" i="7"/>
  <c r="Q202" i="7"/>
  <c r="O202" i="7"/>
  <c r="M202" i="7"/>
  <c r="K202" i="7"/>
  <c r="X201" i="7"/>
  <c r="W201" i="7"/>
  <c r="V201" i="7"/>
  <c r="U201" i="7"/>
  <c r="T201" i="7"/>
  <c r="S201" i="7"/>
  <c r="Q201" i="7"/>
  <c r="O201" i="7"/>
  <c r="M201" i="7"/>
  <c r="K201" i="7"/>
  <c r="X200" i="7"/>
  <c r="W200" i="7"/>
  <c r="V200" i="7"/>
  <c r="U200" i="7"/>
  <c r="T200" i="7"/>
  <c r="S200" i="7"/>
  <c r="Q200" i="7"/>
  <c r="O200" i="7"/>
  <c r="M200" i="7"/>
  <c r="K200" i="7"/>
  <c r="X199" i="7"/>
  <c r="W199" i="7"/>
  <c r="V199" i="7"/>
  <c r="U199" i="7"/>
  <c r="T199" i="7"/>
  <c r="S199" i="7"/>
  <c r="Q199" i="7"/>
  <c r="O199" i="7"/>
  <c r="M199" i="7"/>
  <c r="K199" i="7"/>
  <c r="X198" i="7"/>
  <c r="W198" i="7"/>
  <c r="V198" i="7"/>
  <c r="U198" i="7"/>
  <c r="T198" i="7"/>
  <c r="S198" i="7"/>
  <c r="Q198" i="7"/>
  <c r="O198" i="7"/>
  <c r="M198" i="7"/>
  <c r="K198" i="7"/>
  <c r="X197" i="7"/>
  <c r="W197" i="7"/>
  <c r="V197" i="7"/>
  <c r="U197" i="7"/>
  <c r="T197" i="7"/>
  <c r="S197" i="7"/>
  <c r="Q197" i="7"/>
  <c r="O197" i="7"/>
  <c r="M197" i="7"/>
  <c r="K197" i="7"/>
  <c r="X196" i="7"/>
  <c r="W196" i="7"/>
  <c r="V196" i="7"/>
  <c r="U196" i="7"/>
  <c r="T196" i="7"/>
  <c r="S196" i="7"/>
  <c r="Q196" i="7"/>
  <c r="O196" i="7"/>
  <c r="M196" i="7"/>
  <c r="K196" i="7"/>
  <c r="X195" i="7"/>
  <c r="W195" i="7"/>
  <c r="V195" i="7"/>
  <c r="U195" i="7"/>
  <c r="T195" i="7"/>
  <c r="S195" i="7"/>
  <c r="Q195" i="7"/>
  <c r="O195" i="7"/>
  <c r="M195" i="7"/>
  <c r="K195" i="7"/>
  <c r="X194" i="7"/>
  <c r="W194" i="7"/>
  <c r="V194" i="7"/>
  <c r="U194" i="7"/>
  <c r="T194" i="7"/>
  <c r="S194" i="7"/>
  <c r="Q194" i="7"/>
  <c r="O194" i="7"/>
  <c r="M194" i="7"/>
  <c r="K194" i="7"/>
  <c r="X193" i="7"/>
  <c r="W193" i="7"/>
  <c r="V193" i="7"/>
  <c r="U193" i="7"/>
  <c r="T193" i="7"/>
  <c r="S193" i="7"/>
  <c r="Q193" i="7"/>
  <c r="O193" i="7"/>
  <c r="M193" i="7"/>
  <c r="K193" i="7"/>
  <c r="X192" i="7"/>
  <c r="W192" i="7"/>
  <c r="V192" i="7"/>
  <c r="U192" i="7"/>
  <c r="T192" i="7"/>
  <c r="S192" i="7"/>
  <c r="Q192" i="7"/>
  <c r="O192" i="7"/>
  <c r="M192" i="7"/>
  <c r="K192" i="7"/>
  <c r="X191" i="7"/>
  <c r="W191" i="7"/>
  <c r="V191" i="7"/>
  <c r="U191" i="7"/>
  <c r="T191" i="7"/>
  <c r="S191" i="7"/>
  <c r="Q191" i="7"/>
  <c r="O191" i="7"/>
  <c r="M191" i="7"/>
  <c r="K191" i="7"/>
  <c r="X190" i="7"/>
  <c r="W190" i="7"/>
  <c r="V190" i="7"/>
  <c r="U190" i="7"/>
  <c r="T190" i="7"/>
  <c r="S190" i="7"/>
  <c r="Q190" i="7"/>
  <c r="O190" i="7"/>
  <c r="M190" i="7"/>
  <c r="K190" i="7"/>
  <c r="X189" i="7"/>
  <c r="W189" i="7"/>
  <c r="V189" i="7"/>
  <c r="U189" i="7"/>
  <c r="T189" i="7"/>
  <c r="S189" i="7"/>
  <c r="Q189" i="7"/>
  <c r="O189" i="7"/>
  <c r="M189" i="7"/>
  <c r="K189" i="7"/>
  <c r="X188" i="7"/>
  <c r="W188" i="7"/>
  <c r="V188" i="7"/>
  <c r="U188" i="7"/>
  <c r="T188" i="7"/>
  <c r="S188" i="7"/>
  <c r="Q188" i="7"/>
  <c r="O188" i="7"/>
  <c r="M188" i="7"/>
  <c r="K188" i="7"/>
  <c r="X187" i="7"/>
  <c r="W187" i="7"/>
  <c r="V187" i="7"/>
  <c r="U187" i="7"/>
  <c r="T187" i="7"/>
  <c r="S187" i="7"/>
  <c r="Q187" i="7"/>
  <c r="O187" i="7"/>
  <c r="M187" i="7"/>
  <c r="K187" i="7"/>
  <c r="X186" i="7"/>
  <c r="W186" i="7"/>
  <c r="V186" i="7"/>
  <c r="U186" i="7"/>
  <c r="T186" i="7"/>
  <c r="S186" i="7"/>
  <c r="Q186" i="7"/>
  <c r="O186" i="7"/>
  <c r="M186" i="7"/>
  <c r="K186" i="7"/>
  <c r="X185" i="7"/>
  <c r="W185" i="7"/>
  <c r="V185" i="7"/>
  <c r="U185" i="7"/>
  <c r="T185" i="7"/>
  <c r="S185" i="7"/>
  <c r="Q185" i="7"/>
  <c r="O185" i="7"/>
  <c r="M185" i="7"/>
  <c r="K185" i="7"/>
  <c r="X184" i="7"/>
  <c r="W184" i="7"/>
  <c r="V184" i="7"/>
  <c r="U184" i="7"/>
  <c r="T184" i="7"/>
  <c r="S184" i="7"/>
  <c r="Q184" i="7"/>
  <c r="O184" i="7"/>
  <c r="M184" i="7"/>
  <c r="K184" i="7"/>
  <c r="X183" i="7"/>
  <c r="W183" i="7"/>
  <c r="V183" i="7"/>
  <c r="U183" i="7"/>
  <c r="T183" i="7"/>
  <c r="S183" i="7"/>
  <c r="Q183" i="7"/>
  <c r="O183" i="7"/>
  <c r="M183" i="7"/>
  <c r="K183" i="7"/>
  <c r="X182" i="7"/>
  <c r="W182" i="7"/>
  <c r="V182" i="7"/>
  <c r="U182" i="7"/>
  <c r="T182" i="7"/>
  <c r="S182" i="7"/>
  <c r="Q182" i="7"/>
  <c r="O182" i="7"/>
  <c r="M182" i="7"/>
  <c r="K182" i="7"/>
  <c r="X181" i="7"/>
  <c r="W181" i="7"/>
  <c r="V181" i="7"/>
  <c r="U181" i="7"/>
  <c r="T181" i="7"/>
  <c r="S181" i="7"/>
  <c r="Q181" i="7"/>
  <c r="O181" i="7"/>
  <c r="M181" i="7"/>
  <c r="K181" i="7"/>
  <c r="X180" i="7"/>
  <c r="W180" i="7"/>
  <c r="V180" i="7"/>
  <c r="U180" i="7"/>
  <c r="T180" i="7"/>
  <c r="S180" i="7"/>
  <c r="Q180" i="7"/>
  <c r="O180" i="7"/>
  <c r="M180" i="7"/>
  <c r="K180" i="7"/>
  <c r="X179" i="7"/>
  <c r="W179" i="7"/>
  <c r="V179" i="7"/>
  <c r="U179" i="7"/>
  <c r="T179" i="7"/>
  <c r="S179" i="7"/>
  <c r="Q179" i="7"/>
  <c r="O179" i="7"/>
  <c r="M179" i="7"/>
  <c r="K179" i="7"/>
  <c r="X178" i="7"/>
  <c r="W178" i="7"/>
  <c r="V178" i="7"/>
  <c r="U178" i="7"/>
  <c r="T178" i="7"/>
  <c r="S178" i="7"/>
  <c r="Q178" i="7"/>
  <c r="O178" i="7"/>
  <c r="M178" i="7"/>
  <c r="K178" i="7"/>
  <c r="X177" i="7"/>
  <c r="W177" i="7"/>
  <c r="V177" i="7"/>
  <c r="U177" i="7"/>
  <c r="T177" i="7"/>
  <c r="S177" i="7"/>
  <c r="Q177" i="7"/>
  <c r="O177" i="7"/>
  <c r="M177" i="7"/>
  <c r="K177" i="7"/>
  <c r="X176" i="7"/>
  <c r="W176" i="7"/>
  <c r="V176" i="7"/>
  <c r="U176" i="7"/>
  <c r="T176" i="7"/>
  <c r="S176" i="7"/>
  <c r="Q176" i="7"/>
  <c r="O176" i="7"/>
  <c r="M176" i="7"/>
  <c r="K176" i="7"/>
  <c r="X175" i="7"/>
  <c r="W175" i="7"/>
  <c r="V175" i="7"/>
  <c r="U175" i="7"/>
  <c r="T175" i="7"/>
  <c r="S175" i="7"/>
  <c r="Q175" i="7"/>
  <c r="O175" i="7"/>
  <c r="M175" i="7"/>
  <c r="K175" i="7"/>
  <c r="X174" i="7"/>
  <c r="W174" i="7"/>
  <c r="V174" i="7"/>
  <c r="U174" i="7"/>
  <c r="T174" i="7"/>
  <c r="S174" i="7"/>
  <c r="Q174" i="7"/>
  <c r="O174" i="7"/>
  <c r="M174" i="7"/>
  <c r="K174" i="7"/>
  <c r="X173" i="7"/>
  <c r="W173" i="7"/>
  <c r="V173" i="7"/>
  <c r="U173" i="7"/>
  <c r="T173" i="7"/>
  <c r="S173" i="7"/>
  <c r="Q173" i="7"/>
  <c r="O173" i="7"/>
  <c r="M173" i="7"/>
  <c r="K173" i="7"/>
  <c r="X172" i="7"/>
  <c r="W172" i="7"/>
  <c r="V172" i="7"/>
  <c r="U172" i="7"/>
  <c r="T172" i="7"/>
  <c r="S172" i="7"/>
  <c r="Q172" i="7"/>
  <c r="O172" i="7"/>
  <c r="M172" i="7"/>
  <c r="K172" i="7"/>
  <c r="X171" i="7"/>
  <c r="W171" i="7"/>
  <c r="V171" i="7"/>
  <c r="U171" i="7"/>
  <c r="T171" i="7"/>
  <c r="S171" i="7"/>
  <c r="Q171" i="7"/>
  <c r="O171" i="7"/>
  <c r="M171" i="7"/>
  <c r="K171" i="7"/>
  <c r="X170" i="7"/>
  <c r="W170" i="7"/>
  <c r="V170" i="7"/>
  <c r="U170" i="7"/>
  <c r="T170" i="7"/>
  <c r="S170" i="7"/>
  <c r="Q170" i="7"/>
  <c r="O170" i="7"/>
  <c r="M170" i="7"/>
  <c r="K170" i="7"/>
  <c r="X169" i="7"/>
  <c r="W169" i="7"/>
  <c r="V169" i="7"/>
  <c r="U169" i="7"/>
  <c r="T169" i="7"/>
  <c r="S169" i="7"/>
  <c r="Q169" i="7"/>
  <c r="O169" i="7"/>
  <c r="M169" i="7"/>
  <c r="K169" i="7"/>
  <c r="X168" i="7"/>
  <c r="W168" i="7"/>
  <c r="V168" i="7"/>
  <c r="U168" i="7"/>
  <c r="T168" i="7"/>
  <c r="S168" i="7"/>
  <c r="Q168" i="7"/>
  <c r="O168" i="7"/>
  <c r="M168" i="7"/>
  <c r="K168" i="7"/>
  <c r="X167" i="7"/>
  <c r="W167" i="7"/>
  <c r="V167" i="7"/>
  <c r="U167" i="7"/>
  <c r="T167" i="7"/>
  <c r="S167" i="7"/>
  <c r="Q167" i="7"/>
  <c r="O167" i="7"/>
  <c r="M167" i="7"/>
  <c r="K167" i="7"/>
  <c r="X166" i="7"/>
  <c r="W166" i="7"/>
  <c r="V166" i="7"/>
  <c r="U166" i="7"/>
  <c r="T166" i="7"/>
  <c r="S166" i="7"/>
  <c r="Q166" i="7"/>
  <c r="O166" i="7"/>
  <c r="M166" i="7"/>
  <c r="K166" i="7"/>
  <c r="X165" i="7"/>
  <c r="W165" i="7"/>
  <c r="V165" i="7"/>
  <c r="U165" i="7"/>
  <c r="T165" i="7"/>
  <c r="S165" i="7"/>
  <c r="Q165" i="7"/>
  <c r="O165" i="7"/>
  <c r="M165" i="7"/>
  <c r="K165" i="7"/>
  <c r="X164" i="7"/>
  <c r="W164" i="7"/>
  <c r="V164" i="7"/>
  <c r="U164" i="7"/>
  <c r="T164" i="7"/>
  <c r="S164" i="7"/>
  <c r="Q164" i="7"/>
  <c r="O164" i="7"/>
  <c r="M164" i="7"/>
  <c r="K164" i="7"/>
  <c r="X163" i="7"/>
  <c r="W163" i="7"/>
  <c r="V163" i="7"/>
  <c r="U163" i="7"/>
  <c r="T163" i="7"/>
  <c r="S163" i="7"/>
  <c r="Q163" i="7"/>
  <c r="O163" i="7"/>
  <c r="M163" i="7"/>
  <c r="K163" i="7"/>
  <c r="X162" i="7"/>
  <c r="W162" i="7"/>
  <c r="V162" i="7"/>
  <c r="U162" i="7"/>
  <c r="T162" i="7"/>
  <c r="S162" i="7"/>
  <c r="Q162" i="7"/>
  <c r="O162" i="7"/>
  <c r="M162" i="7"/>
  <c r="K162" i="7"/>
  <c r="X161" i="7"/>
  <c r="W161" i="7"/>
  <c r="V161" i="7"/>
  <c r="U161" i="7"/>
  <c r="T161" i="7"/>
  <c r="S161" i="7"/>
  <c r="Q161" i="7"/>
  <c r="O161" i="7"/>
  <c r="M161" i="7"/>
  <c r="K161" i="7"/>
  <c r="X160" i="7"/>
  <c r="W160" i="7"/>
  <c r="V160" i="7"/>
  <c r="U160" i="7"/>
  <c r="T160" i="7"/>
  <c r="S160" i="7"/>
  <c r="Q160" i="7"/>
  <c r="O160" i="7"/>
  <c r="M160" i="7"/>
  <c r="K160" i="7"/>
  <c r="X159" i="7"/>
  <c r="W159" i="7"/>
  <c r="V159" i="7"/>
  <c r="U159" i="7"/>
  <c r="T159" i="7"/>
  <c r="S159" i="7"/>
  <c r="Q159" i="7"/>
  <c r="O159" i="7"/>
  <c r="M159" i="7"/>
  <c r="K159" i="7"/>
  <c r="X158" i="7"/>
  <c r="W158" i="7"/>
  <c r="V158" i="7"/>
  <c r="U158" i="7"/>
  <c r="T158" i="7"/>
  <c r="S158" i="7"/>
  <c r="Q158" i="7"/>
  <c r="O158" i="7"/>
  <c r="M158" i="7"/>
  <c r="K158" i="7"/>
  <c r="X157" i="7"/>
  <c r="W157" i="7"/>
  <c r="V157" i="7"/>
  <c r="U157" i="7"/>
  <c r="T157" i="7"/>
  <c r="S157" i="7"/>
  <c r="Q157" i="7"/>
  <c r="O157" i="7"/>
  <c r="M157" i="7"/>
  <c r="K157" i="7"/>
  <c r="X156" i="7"/>
  <c r="W156" i="7"/>
  <c r="V156" i="7"/>
  <c r="U156" i="7"/>
  <c r="T156" i="7"/>
  <c r="S156" i="7"/>
  <c r="Q156" i="7"/>
  <c r="O156" i="7"/>
  <c r="M156" i="7"/>
  <c r="K156" i="7"/>
  <c r="X155" i="7"/>
  <c r="W155" i="7"/>
  <c r="V155" i="7"/>
  <c r="U155" i="7"/>
  <c r="T155" i="7"/>
  <c r="S155" i="7"/>
  <c r="Q155" i="7"/>
  <c r="O155" i="7"/>
  <c r="M155" i="7"/>
  <c r="K155" i="7"/>
  <c r="X154" i="7"/>
  <c r="W154" i="7"/>
  <c r="V154" i="7"/>
  <c r="U154" i="7"/>
  <c r="T154" i="7"/>
  <c r="S154" i="7"/>
  <c r="Q154" i="7"/>
  <c r="O154" i="7"/>
  <c r="M154" i="7"/>
  <c r="K154" i="7"/>
  <c r="X153" i="7"/>
  <c r="W153" i="7"/>
  <c r="V153" i="7"/>
  <c r="U153" i="7"/>
  <c r="T153" i="7"/>
  <c r="S153" i="7"/>
  <c r="Q153" i="7"/>
  <c r="O153" i="7"/>
  <c r="M153" i="7"/>
  <c r="K153" i="7"/>
  <c r="X152" i="7"/>
  <c r="W152" i="7"/>
  <c r="V152" i="7"/>
  <c r="U152" i="7"/>
  <c r="T152" i="7"/>
  <c r="S152" i="7"/>
  <c r="Q152" i="7"/>
  <c r="O152" i="7"/>
  <c r="M152" i="7"/>
  <c r="K152" i="7"/>
  <c r="X151" i="7"/>
  <c r="W151" i="7"/>
  <c r="V151" i="7"/>
  <c r="U151" i="7"/>
  <c r="T151" i="7"/>
  <c r="S151" i="7"/>
  <c r="Q151" i="7"/>
  <c r="O151" i="7"/>
  <c r="M151" i="7"/>
  <c r="K151" i="7"/>
  <c r="X150" i="7"/>
  <c r="W150" i="7"/>
  <c r="V150" i="7"/>
  <c r="U150" i="7"/>
  <c r="T150" i="7"/>
  <c r="S150" i="7"/>
  <c r="Q150" i="7"/>
  <c r="O150" i="7"/>
  <c r="M150" i="7"/>
  <c r="K150" i="7"/>
  <c r="X149" i="7"/>
  <c r="W149" i="7"/>
  <c r="V149" i="7"/>
  <c r="U149" i="7"/>
  <c r="T149" i="7"/>
  <c r="S149" i="7"/>
  <c r="Q149" i="7"/>
  <c r="O149" i="7"/>
  <c r="M149" i="7"/>
  <c r="K149" i="7"/>
  <c r="X148" i="7"/>
  <c r="W148" i="7"/>
  <c r="V148" i="7"/>
  <c r="U148" i="7"/>
  <c r="T148" i="7"/>
  <c r="S148" i="7"/>
  <c r="Q148" i="7"/>
  <c r="O148" i="7"/>
  <c r="M148" i="7"/>
  <c r="K148" i="7"/>
  <c r="X147" i="7"/>
  <c r="W147" i="7"/>
  <c r="V147" i="7"/>
  <c r="U147" i="7"/>
  <c r="T147" i="7"/>
  <c r="S147" i="7"/>
  <c r="Q147" i="7"/>
  <c r="O147" i="7"/>
  <c r="M147" i="7"/>
  <c r="K147" i="7"/>
  <c r="X146" i="7"/>
  <c r="W146" i="7"/>
  <c r="V146" i="7"/>
  <c r="U146" i="7"/>
  <c r="T146" i="7"/>
  <c r="S146" i="7"/>
  <c r="Q146" i="7"/>
  <c r="O146" i="7"/>
  <c r="M146" i="7"/>
  <c r="K146" i="7"/>
  <c r="X145" i="7"/>
  <c r="W145" i="7"/>
  <c r="V145" i="7"/>
  <c r="U145" i="7"/>
  <c r="T145" i="7"/>
  <c r="S145" i="7"/>
  <c r="Q145" i="7"/>
  <c r="O145" i="7"/>
  <c r="M145" i="7"/>
  <c r="K145" i="7"/>
  <c r="X144" i="7"/>
  <c r="W144" i="7"/>
  <c r="V144" i="7"/>
  <c r="U144" i="7"/>
  <c r="T144" i="7"/>
  <c r="S144" i="7"/>
  <c r="Q144" i="7"/>
  <c r="O144" i="7"/>
  <c r="M144" i="7"/>
  <c r="K144" i="7"/>
  <c r="X143" i="7"/>
  <c r="W143" i="7"/>
  <c r="V143" i="7"/>
  <c r="U143" i="7"/>
  <c r="T143" i="7"/>
  <c r="S143" i="7"/>
  <c r="Q143" i="7"/>
  <c r="O143" i="7"/>
  <c r="M143" i="7"/>
  <c r="K143" i="7"/>
  <c r="X142" i="7"/>
  <c r="W142" i="7"/>
  <c r="V142" i="7"/>
  <c r="U142" i="7"/>
  <c r="T142" i="7"/>
  <c r="S142" i="7"/>
  <c r="Q142" i="7"/>
  <c r="O142" i="7"/>
  <c r="M142" i="7"/>
  <c r="K142" i="7"/>
  <c r="X141" i="7"/>
  <c r="W141" i="7"/>
  <c r="V141" i="7"/>
  <c r="U141" i="7"/>
  <c r="T141" i="7"/>
  <c r="S141" i="7"/>
  <c r="Q141" i="7"/>
  <c r="O141" i="7"/>
  <c r="M141" i="7"/>
  <c r="K141" i="7"/>
  <c r="X140" i="7"/>
  <c r="W140" i="7"/>
  <c r="V140" i="7"/>
  <c r="U140" i="7"/>
  <c r="T140" i="7"/>
  <c r="S140" i="7"/>
  <c r="Q140" i="7"/>
  <c r="O140" i="7"/>
  <c r="M140" i="7"/>
  <c r="K140" i="7"/>
  <c r="X139" i="7"/>
  <c r="W139" i="7"/>
  <c r="V139" i="7"/>
  <c r="U139" i="7"/>
  <c r="T139" i="7"/>
  <c r="S139" i="7"/>
  <c r="Q139" i="7"/>
  <c r="O139" i="7"/>
  <c r="M139" i="7"/>
  <c r="K139" i="7"/>
  <c r="X138" i="7"/>
  <c r="W138" i="7"/>
  <c r="V138" i="7"/>
  <c r="U138" i="7"/>
  <c r="T138" i="7"/>
  <c r="S138" i="7"/>
  <c r="Q138" i="7"/>
  <c r="O138" i="7"/>
  <c r="M138" i="7"/>
  <c r="K138" i="7"/>
  <c r="X137" i="7"/>
  <c r="W137" i="7"/>
  <c r="V137" i="7"/>
  <c r="U137" i="7"/>
  <c r="T137" i="7"/>
  <c r="S137" i="7"/>
  <c r="Q137" i="7"/>
  <c r="O137" i="7"/>
  <c r="M137" i="7"/>
  <c r="K137" i="7"/>
  <c r="X136" i="7"/>
  <c r="W136" i="7"/>
  <c r="V136" i="7"/>
  <c r="U136" i="7"/>
  <c r="T136" i="7"/>
  <c r="S136" i="7"/>
  <c r="Q136" i="7"/>
  <c r="O136" i="7"/>
  <c r="M136" i="7"/>
  <c r="K136" i="7"/>
  <c r="X135" i="7"/>
  <c r="W135" i="7"/>
  <c r="V135" i="7"/>
  <c r="U135" i="7"/>
  <c r="T135" i="7"/>
  <c r="S135" i="7"/>
  <c r="Q135" i="7"/>
  <c r="O135" i="7"/>
  <c r="M135" i="7"/>
  <c r="K135" i="7"/>
  <c r="X134" i="7"/>
  <c r="W134" i="7"/>
  <c r="V134" i="7"/>
  <c r="U134" i="7"/>
  <c r="T134" i="7"/>
  <c r="S134" i="7"/>
  <c r="Q134" i="7"/>
  <c r="O134" i="7"/>
  <c r="M134" i="7"/>
  <c r="K134" i="7"/>
  <c r="X133" i="7"/>
  <c r="W133" i="7"/>
  <c r="V133" i="7"/>
  <c r="U133" i="7"/>
  <c r="T133" i="7"/>
  <c r="S133" i="7"/>
  <c r="Q133" i="7"/>
  <c r="O133" i="7"/>
  <c r="M133" i="7"/>
  <c r="K133" i="7"/>
  <c r="X132" i="7"/>
  <c r="W132" i="7"/>
  <c r="V132" i="7"/>
  <c r="U132" i="7"/>
  <c r="T132" i="7"/>
  <c r="S132" i="7"/>
  <c r="Q132" i="7"/>
  <c r="O132" i="7"/>
  <c r="M132" i="7"/>
  <c r="K132" i="7"/>
  <c r="X131" i="7"/>
  <c r="W131" i="7"/>
  <c r="V131" i="7"/>
  <c r="U131" i="7"/>
  <c r="T131" i="7"/>
  <c r="S131" i="7"/>
  <c r="Q131" i="7"/>
  <c r="O131" i="7"/>
  <c r="M131" i="7"/>
  <c r="K131" i="7"/>
  <c r="X130" i="7"/>
  <c r="W130" i="7"/>
  <c r="V130" i="7"/>
  <c r="U130" i="7"/>
  <c r="T130" i="7"/>
  <c r="S130" i="7"/>
  <c r="Q130" i="7"/>
  <c r="O130" i="7"/>
  <c r="M130" i="7"/>
  <c r="K130" i="7"/>
  <c r="X129" i="7"/>
  <c r="W129" i="7"/>
  <c r="V129" i="7"/>
  <c r="U129" i="7"/>
  <c r="T129" i="7"/>
  <c r="S129" i="7"/>
  <c r="Q129" i="7"/>
  <c r="O129" i="7"/>
  <c r="M129" i="7"/>
  <c r="K129" i="7"/>
  <c r="X128" i="7"/>
  <c r="W128" i="7"/>
  <c r="V128" i="7"/>
  <c r="U128" i="7"/>
  <c r="T128" i="7"/>
  <c r="S128" i="7"/>
  <c r="Q128" i="7"/>
  <c r="O128" i="7"/>
  <c r="M128" i="7"/>
  <c r="K128" i="7"/>
  <c r="X127" i="7"/>
  <c r="W127" i="7"/>
  <c r="V127" i="7"/>
  <c r="U127" i="7"/>
  <c r="T127" i="7"/>
  <c r="S127" i="7"/>
  <c r="Q127" i="7"/>
  <c r="O127" i="7"/>
  <c r="M127" i="7"/>
  <c r="K127" i="7"/>
  <c r="X126" i="7"/>
  <c r="W126" i="7"/>
  <c r="V126" i="7"/>
  <c r="U126" i="7"/>
  <c r="T126" i="7"/>
  <c r="S126" i="7"/>
  <c r="Q126" i="7"/>
  <c r="O126" i="7"/>
  <c r="M126" i="7"/>
  <c r="K126" i="7"/>
  <c r="X125" i="7"/>
  <c r="W125" i="7"/>
  <c r="V125" i="7"/>
  <c r="U125" i="7"/>
  <c r="T125" i="7"/>
  <c r="S125" i="7"/>
  <c r="Q125" i="7"/>
  <c r="O125" i="7"/>
  <c r="M125" i="7"/>
  <c r="K125" i="7"/>
  <c r="X124" i="7"/>
  <c r="W124" i="7"/>
  <c r="V124" i="7"/>
  <c r="U124" i="7"/>
  <c r="T124" i="7"/>
  <c r="S124" i="7"/>
  <c r="Q124" i="7"/>
  <c r="O124" i="7"/>
  <c r="M124" i="7"/>
  <c r="K124" i="7"/>
  <c r="X123" i="7"/>
  <c r="W123" i="7"/>
  <c r="V123" i="7"/>
  <c r="U123" i="7"/>
  <c r="T123" i="7"/>
  <c r="S123" i="7"/>
  <c r="Q123" i="7"/>
  <c r="O123" i="7"/>
  <c r="M123" i="7"/>
  <c r="K123" i="7"/>
  <c r="X122" i="7"/>
  <c r="W122" i="7"/>
  <c r="V122" i="7"/>
  <c r="U122" i="7"/>
  <c r="T122" i="7"/>
  <c r="S122" i="7"/>
  <c r="Q122" i="7"/>
  <c r="O122" i="7"/>
  <c r="M122" i="7"/>
  <c r="K122" i="7"/>
  <c r="X121" i="7"/>
  <c r="W121" i="7"/>
  <c r="V121" i="7"/>
  <c r="U121" i="7"/>
  <c r="T121" i="7"/>
  <c r="S121" i="7"/>
  <c r="Q121" i="7"/>
  <c r="O121" i="7"/>
  <c r="M121" i="7"/>
  <c r="K121" i="7"/>
  <c r="X120" i="7"/>
  <c r="W120" i="7"/>
  <c r="V120" i="7"/>
  <c r="U120" i="7"/>
  <c r="T120" i="7"/>
  <c r="S120" i="7"/>
  <c r="Q120" i="7"/>
  <c r="O120" i="7"/>
  <c r="M120" i="7"/>
  <c r="K120" i="7"/>
  <c r="X119" i="7"/>
  <c r="W119" i="7"/>
  <c r="V119" i="7"/>
  <c r="U119" i="7"/>
  <c r="T119" i="7"/>
  <c r="S119" i="7"/>
  <c r="Q119" i="7"/>
  <c r="O119" i="7"/>
  <c r="M119" i="7"/>
  <c r="K119" i="7"/>
  <c r="X118" i="7"/>
  <c r="W118" i="7"/>
  <c r="V118" i="7"/>
  <c r="U118" i="7"/>
  <c r="T118" i="7"/>
  <c r="S118" i="7"/>
  <c r="Q118" i="7"/>
  <c r="O118" i="7"/>
  <c r="M118" i="7"/>
  <c r="K118" i="7"/>
  <c r="X117" i="7"/>
  <c r="W117" i="7"/>
  <c r="V117" i="7"/>
  <c r="U117" i="7"/>
  <c r="T117" i="7"/>
  <c r="S117" i="7"/>
  <c r="Q117" i="7"/>
  <c r="O117" i="7"/>
  <c r="M117" i="7"/>
  <c r="K117" i="7"/>
  <c r="X116" i="7"/>
  <c r="W116" i="7"/>
  <c r="V116" i="7"/>
  <c r="U116" i="7"/>
  <c r="T116" i="7"/>
  <c r="S116" i="7"/>
  <c r="Q116" i="7"/>
  <c r="O116" i="7"/>
  <c r="M116" i="7"/>
  <c r="K116" i="7"/>
  <c r="X115" i="7"/>
  <c r="W115" i="7"/>
  <c r="V115" i="7"/>
  <c r="U115" i="7"/>
  <c r="T115" i="7"/>
  <c r="S115" i="7"/>
  <c r="Q115" i="7"/>
  <c r="O115" i="7"/>
  <c r="M115" i="7"/>
  <c r="K115" i="7"/>
  <c r="X114" i="7"/>
  <c r="W114" i="7"/>
  <c r="V114" i="7"/>
  <c r="U114" i="7"/>
  <c r="T114" i="7"/>
  <c r="S114" i="7"/>
  <c r="Q114" i="7"/>
  <c r="O114" i="7"/>
  <c r="M114" i="7"/>
  <c r="K114" i="7"/>
  <c r="X113" i="7"/>
  <c r="W113" i="7"/>
  <c r="V113" i="7"/>
  <c r="U113" i="7"/>
  <c r="T113" i="7"/>
  <c r="S113" i="7"/>
  <c r="Q113" i="7"/>
  <c r="O113" i="7"/>
  <c r="M113" i="7"/>
  <c r="K113" i="7"/>
  <c r="X112" i="7"/>
  <c r="W112" i="7"/>
  <c r="V112" i="7"/>
  <c r="U112" i="7"/>
  <c r="T112" i="7"/>
  <c r="S112" i="7"/>
  <c r="Q112" i="7"/>
  <c r="O112" i="7"/>
  <c r="M112" i="7"/>
  <c r="K112" i="7"/>
  <c r="X111" i="7"/>
  <c r="W111" i="7"/>
  <c r="V111" i="7"/>
  <c r="U111" i="7"/>
  <c r="T111" i="7"/>
  <c r="S111" i="7"/>
  <c r="Q111" i="7"/>
  <c r="O111" i="7"/>
  <c r="M111" i="7"/>
  <c r="K111" i="7"/>
  <c r="X110" i="7"/>
  <c r="W110" i="7"/>
  <c r="V110" i="7"/>
  <c r="U110" i="7"/>
  <c r="T110" i="7"/>
  <c r="S110" i="7"/>
  <c r="Q110" i="7"/>
  <c r="O110" i="7"/>
  <c r="M110" i="7"/>
  <c r="K110" i="7"/>
  <c r="X109" i="7"/>
  <c r="W109" i="7"/>
  <c r="V109" i="7"/>
  <c r="U109" i="7"/>
  <c r="T109" i="7"/>
  <c r="S109" i="7"/>
  <c r="Q109" i="7"/>
  <c r="O109" i="7"/>
  <c r="M109" i="7"/>
  <c r="K109" i="7"/>
  <c r="X108" i="7"/>
  <c r="W108" i="7"/>
  <c r="V108" i="7"/>
  <c r="U108" i="7"/>
  <c r="T108" i="7"/>
  <c r="S108" i="7"/>
  <c r="Q108" i="7"/>
  <c r="O108" i="7"/>
  <c r="M108" i="7"/>
  <c r="K108" i="7"/>
  <c r="X107" i="7"/>
  <c r="W107" i="7"/>
  <c r="V107" i="7"/>
  <c r="U107" i="7"/>
  <c r="T107" i="7"/>
  <c r="S107" i="7"/>
  <c r="Q107" i="7"/>
  <c r="O107" i="7"/>
  <c r="M107" i="7"/>
  <c r="K107" i="7"/>
  <c r="X106" i="7"/>
  <c r="W106" i="7"/>
  <c r="V106" i="7"/>
  <c r="U106" i="7"/>
  <c r="T106" i="7"/>
  <c r="S106" i="7"/>
  <c r="Q106" i="7"/>
  <c r="O106" i="7"/>
  <c r="M106" i="7"/>
  <c r="K106" i="7"/>
  <c r="X105" i="7"/>
  <c r="W105" i="7"/>
  <c r="V105" i="7"/>
  <c r="U105" i="7"/>
  <c r="T105" i="7"/>
  <c r="S105" i="7"/>
  <c r="Q105" i="7"/>
  <c r="O105" i="7"/>
  <c r="M105" i="7"/>
  <c r="K105" i="7"/>
  <c r="X104" i="7"/>
  <c r="W104" i="7"/>
  <c r="V104" i="7"/>
  <c r="U104" i="7"/>
  <c r="T104" i="7"/>
  <c r="S104" i="7"/>
  <c r="Q104" i="7"/>
  <c r="O104" i="7"/>
  <c r="M104" i="7"/>
  <c r="K104" i="7"/>
  <c r="X103" i="7"/>
  <c r="W103" i="7"/>
  <c r="V103" i="7"/>
  <c r="U103" i="7"/>
  <c r="T103" i="7"/>
  <c r="S103" i="7"/>
  <c r="Q103" i="7"/>
  <c r="O103" i="7"/>
  <c r="M103" i="7"/>
  <c r="K103" i="7"/>
  <c r="X102" i="7"/>
  <c r="W102" i="7"/>
  <c r="V102" i="7"/>
  <c r="U102" i="7"/>
  <c r="T102" i="7"/>
  <c r="S102" i="7"/>
  <c r="Q102" i="7"/>
  <c r="O102" i="7"/>
  <c r="M102" i="7"/>
  <c r="K102" i="7"/>
  <c r="X101" i="7"/>
  <c r="W101" i="7"/>
  <c r="V101" i="7"/>
  <c r="U101" i="7"/>
  <c r="T101" i="7"/>
  <c r="S101" i="7"/>
  <c r="Q101" i="7"/>
  <c r="O101" i="7"/>
  <c r="M101" i="7"/>
  <c r="K101" i="7"/>
  <c r="X100" i="7"/>
  <c r="W100" i="7"/>
  <c r="V100" i="7"/>
  <c r="U100" i="7"/>
  <c r="T100" i="7"/>
  <c r="S100" i="7"/>
  <c r="Q100" i="7"/>
  <c r="O100" i="7"/>
  <c r="M100" i="7"/>
  <c r="K100" i="7"/>
  <c r="X99" i="7"/>
  <c r="W99" i="7"/>
  <c r="V99" i="7"/>
  <c r="U99" i="7"/>
  <c r="T99" i="7"/>
  <c r="S99" i="7"/>
  <c r="Q99" i="7"/>
  <c r="O99" i="7"/>
  <c r="M99" i="7"/>
  <c r="K99" i="7"/>
  <c r="X98" i="7"/>
  <c r="W98" i="7"/>
  <c r="V98" i="7"/>
  <c r="U98" i="7"/>
  <c r="T98" i="7"/>
  <c r="S98" i="7"/>
  <c r="Q98" i="7"/>
  <c r="O98" i="7"/>
  <c r="M98" i="7"/>
  <c r="K98" i="7"/>
  <c r="X97" i="7"/>
  <c r="W97" i="7"/>
  <c r="V97" i="7"/>
  <c r="U97" i="7"/>
  <c r="T97" i="7"/>
  <c r="S97" i="7"/>
  <c r="Q97" i="7"/>
  <c r="O97" i="7"/>
  <c r="M97" i="7"/>
  <c r="K97" i="7"/>
  <c r="X96" i="7"/>
  <c r="W96" i="7"/>
  <c r="V96" i="7"/>
  <c r="U96" i="7"/>
  <c r="T96" i="7"/>
  <c r="S96" i="7"/>
  <c r="Q96" i="7"/>
  <c r="O96" i="7"/>
  <c r="M96" i="7"/>
  <c r="K96" i="7"/>
  <c r="X95" i="7"/>
  <c r="W95" i="7"/>
  <c r="V95" i="7"/>
  <c r="U95" i="7"/>
  <c r="T95" i="7"/>
  <c r="S95" i="7"/>
  <c r="Q95" i="7"/>
  <c r="O95" i="7"/>
  <c r="M95" i="7"/>
  <c r="K95" i="7"/>
  <c r="X94" i="7"/>
  <c r="W94" i="7"/>
  <c r="V94" i="7"/>
  <c r="U94" i="7"/>
  <c r="T94" i="7"/>
  <c r="S94" i="7"/>
  <c r="Q94" i="7"/>
  <c r="O94" i="7"/>
  <c r="M94" i="7"/>
  <c r="K94" i="7"/>
  <c r="X93" i="7"/>
  <c r="W93" i="7"/>
  <c r="V93" i="7"/>
  <c r="U93" i="7"/>
  <c r="T93" i="7"/>
  <c r="S93" i="7"/>
  <c r="Q93" i="7"/>
  <c r="O93" i="7"/>
  <c r="M93" i="7"/>
  <c r="K93" i="7"/>
  <c r="X92" i="7"/>
  <c r="W92" i="7"/>
  <c r="V92" i="7"/>
  <c r="U92" i="7"/>
  <c r="T92" i="7"/>
  <c r="S92" i="7"/>
  <c r="Q92" i="7"/>
  <c r="O92" i="7"/>
  <c r="M92" i="7"/>
  <c r="K92" i="7"/>
  <c r="X91" i="7"/>
  <c r="W91" i="7"/>
  <c r="V91" i="7"/>
  <c r="U91" i="7"/>
  <c r="T91" i="7"/>
  <c r="S91" i="7"/>
  <c r="Q91" i="7"/>
  <c r="O91" i="7"/>
  <c r="M91" i="7"/>
  <c r="K91" i="7"/>
  <c r="X90" i="7"/>
  <c r="W90" i="7"/>
  <c r="V90" i="7"/>
  <c r="U90" i="7"/>
  <c r="T90" i="7"/>
  <c r="S90" i="7"/>
  <c r="Q90" i="7"/>
  <c r="O90" i="7"/>
  <c r="M90" i="7"/>
  <c r="K90" i="7"/>
  <c r="X89" i="7"/>
  <c r="W89" i="7"/>
  <c r="V89" i="7"/>
  <c r="U89" i="7"/>
  <c r="T89" i="7"/>
  <c r="S89" i="7"/>
  <c r="Q89" i="7"/>
  <c r="O89" i="7"/>
  <c r="M89" i="7"/>
  <c r="K89" i="7"/>
  <c r="X88" i="7"/>
  <c r="W88" i="7"/>
  <c r="V88" i="7"/>
  <c r="U88" i="7"/>
  <c r="T88" i="7"/>
  <c r="S88" i="7"/>
  <c r="Q88" i="7"/>
  <c r="O88" i="7"/>
  <c r="M88" i="7"/>
  <c r="K88" i="7"/>
  <c r="X87" i="7"/>
  <c r="W87" i="7"/>
  <c r="V87" i="7"/>
  <c r="U87" i="7"/>
  <c r="T87" i="7"/>
  <c r="S87" i="7"/>
  <c r="Q87" i="7"/>
  <c r="O87" i="7"/>
  <c r="M87" i="7"/>
  <c r="K87" i="7"/>
  <c r="X86" i="7"/>
  <c r="W86" i="7"/>
  <c r="V86" i="7"/>
  <c r="U86" i="7"/>
  <c r="T86" i="7"/>
  <c r="S86" i="7"/>
  <c r="Q86" i="7"/>
  <c r="O86" i="7"/>
  <c r="M86" i="7"/>
  <c r="K86" i="7"/>
  <c r="X85" i="7"/>
  <c r="W85" i="7"/>
  <c r="V85" i="7"/>
  <c r="U85" i="7"/>
  <c r="T85" i="7"/>
  <c r="S85" i="7"/>
  <c r="Q85" i="7"/>
  <c r="O85" i="7"/>
  <c r="M85" i="7"/>
  <c r="K85" i="7"/>
  <c r="X84" i="7"/>
  <c r="W84" i="7"/>
  <c r="V84" i="7"/>
  <c r="U84" i="7"/>
  <c r="T84" i="7"/>
  <c r="S84" i="7"/>
  <c r="Q84" i="7"/>
  <c r="O84" i="7"/>
  <c r="M84" i="7"/>
  <c r="K84" i="7"/>
  <c r="X83" i="7"/>
  <c r="W83" i="7"/>
  <c r="V83" i="7"/>
  <c r="U83" i="7"/>
  <c r="T83" i="7"/>
  <c r="S83" i="7"/>
  <c r="Q83" i="7"/>
  <c r="O83" i="7"/>
  <c r="M83" i="7"/>
  <c r="K83" i="7"/>
  <c r="X82" i="7"/>
  <c r="W82" i="7"/>
  <c r="V82" i="7"/>
  <c r="U82" i="7"/>
  <c r="T82" i="7"/>
  <c r="S82" i="7"/>
  <c r="Q82" i="7"/>
  <c r="O82" i="7"/>
  <c r="M82" i="7"/>
  <c r="K82" i="7"/>
  <c r="X81" i="7"/>
  <c r="W81" i="7"/>
  <c r="V81" i="7"/>
  <c r="U81" i="7"/>
  <c r="T81" i="7"/>
  <c r="S81" i="7"/>
  <c r="Q81" i="7"/>
  <c r="O81" i="7"/>
  <c r="M81" i="7"/>
  <c r="K81" i="7"/>
  <c r="X80" i="7"/>
  <c r="W80" i="7"/>
  <c r="V80" i="7"/>
  <c r="U80" i="7"/>
  <c r="T80" i="7"/>
  <c r="S80" i="7"/>
  <c r="Q80" i="7"/>
  <c r="O80" i="7"/>
  <c r="M80" i="7"/>
  <c r="K80" i="7"/>
  <c r="X79" i="7"/>
  <c r="W79" i="7"/>
  <c r="V79" i="7"/>
  <c r="U79" i="7"/>
  <c r="T79" i="7"/>
  <c r="S79" i="7"/>
  <c r="Q79" i="7"/>
  <c r="O79" i="7"/>
  <c r="M79" i="7"/>
  <c r="K79" i="7"/>
  <c r="X78" i="7"/>
  <c r="W78" i="7"/>
  <c r="V78" i="7"/>
  <c r="U78" i="7"/>
  <c r="T78" i="7"/>
  <c r="S78" i="7"/>
  <c r="Q78" i="7"/>
  <c r="O78" i="7"/>
  <c r="M78" i="7"/>
  <c r="K78" i="7"/>
  <c r="X77" i="7"/>
  <c r="W77" i="7"/>
  <c r="V77" i="7"/>
  <c r="U77" i="7"/>
  <c r="T77" i="7"/>
  <c r="S77" i="7"/>
  <c r="Q77" i="7"/>
  <c r="O77" i="7"/>
  <c r="M77" i="7"/>
  <c r="K77" i="7"/>
  <c r="X76" i="7"/>
  <c r="W76" i="7"/>
  <c r="V76" i="7"/>
  <c r="U76" i="7"/>
  <c r="T76" i="7"/>
  <c r="S76" i="7"/>
  <c r="Q76" i="7"/>
  <c r="O76" i="7"/>
  <c r="M76" i="7"/>
  <c r="K76" i="7"/>
  <c r="X75" i="7"/>
  <c r="W75" i="7"/>
  <c r="V75" i="7"/>
  <c r="U75" i="7"/>
  <c r="T75" i="7"/>
  <c r="S75" i="7"/>
  <c r="Q75" i="7"/>
  <c r="O75" i="7"/>
  <c r="M75" i="7"/>
  <c r="K75" i="7"/>
  <c r="X74" i="7"/>
  <c r="W74" i="7"/>
  <c r="V74" i="7"/>
  <c r="U74" i="7"/>
  <c r="T74" i="7"/>
  <c r="S74" i="7"/>
  <c r="Q74" i="7"/>
  <c r="O74" i="7"/>
  <c r="M74" i="7"/>
  <c r="K74" i="7"/>
  <c r="X73" i="7"/>
  <c r="W73" i="7"/>
  <c r="V73" i="7"/>
  <c r="U73" i="7"/>
  <c r="T73" i="7"/>
  <c r="S73" i="7"/>
  <c r="Q73" i="7"/>
  <c r="O73" i="7"/>
  <c r="M73" i="7"/>
  <c r="K73" i="7"/>
  <c r="X72" i="7"/>
  <c r="W72" i="7"/>
  <c r="V72" i="7"/>
  <c r="U72" i="7"/>
  <c r="T72" i="7"/>
  <c r="S72" i="7"/>
  <c r="Q72" i="7"/>
  <c r="O72" i="7"/>
  <c r="M72" i="7"/>
  <c r="K72" i="7"/>
  <c r="X71" i="7"/>
  <c r="W71" i="7"/>
  <c r="V71" i="7"/>
  <c r="U71" i="7"/>
  <c r="T71" i="7"/>
  <c r="S71" i="7"/>
  <c r="Q71" i="7"/>
  <c r="O71" i="7"/>
  <c r="M71" i="7"/>
  <c r="K71" i="7"/>
  <c r="X70" i="7"/>
  <c r="W70" i="7"/>
  <c r="V70" i="7"/>
  <c r="U70" i="7"/>
  <c r="T70" i="7"/>
  <c r="S70" i="7"/>
  <c r="Q70" i="7"/>
  <c r="O70" i="7"/>
  <c r="M70" i="7"/>
  <c r="K70" i="7"/>
  <c r="X69" i="7"/>
  <c r="W69" i="7"/>
  <c r="V69" i="7"/>
  <c r="U69" i="7"/>
  <c r="T69" i="7"/>
  <c r="S69" i="7"/>
  <c r="Q69" i="7"/>
  <c r="O69" i="7"/>
  <c r="M69" i="7"/>
  <c r="K69" i="7"/>
  <c r="X68" i="7"/>
  <c r="W68" i="7"/>
  <c r="V68" i="7"/>
  <c r="U68" i="7"/>
  <c r="T68" i="7"/>
  <c r="S68" i="7"/>
  <c r="Q68" i="7"/>
  <c r="O68" i="7"/>
  <c r="M68" i="7"/>
  <c r="K68" i="7"/>
  <c r="X67" i="7"/>
  <c r="W67" i="7"/>
  <c r="V67" i="7"/>
  <c r="U67" i="7"/>
  <c r="T67" i="7"/>
  <c r="S67" i="7"/>
  <c r="Q67" i="7"/>
  <c r="O67" i="7"/>
  <c r="M67" i="7"/>
  <c r="K67" i="7"/>
  <c r="X66" i="7"/>
  <c r="W66" i="7"/>
  <c r="V66" i="7"/>
  <c r="U66" i="7"/>
  <c r="T66" i="7"/>
  <c r="S66" i="7"/>
  <c r="Q66" i="7"/>
  <c r="O66" i="7"/>
  <c r="M66" i="7"/>
  <c r="K66" i="7"/>
  <c r="X65" i="7"/>
  <c r="W65" i="7"/>
  <c r="V65" i="7"/>
  <c r="U65" i="7"/>
  <c r="T65" i="7"/>
  <c r="S65" i="7"/>
  <c r="Q65" i="7"/>
  <c r="O65" i="7"/>
  <c r="M65" i="7"/>
  <c r="K65" i="7"/>
  <c r="X64" i="7"/>
  <c r="W64" i="7"/>
  <c r="V64" i="7"/>
  <c r="U64" i="7"/>
  <c r="T64" i="7"/>
  <c r="S64" i="7"/>
  <c r="Q64" i="7"/>
  <c r="O64" i="7"/>
  <c r="M64" i="7"/>
  <c r="K64" i="7"/>
  <c r="X63" i="7"/>
  <c r="W63" i="7"/>
  <c r="V63" i="7"/>
  <c r="U63" i="7"/>
  <c r="T63" i="7"/>
  <c r="S63" i="7"/>
  <c r="Q63" i="7"/>
  <c r="O63" i="7"/>
  <c r="M63" i="7"/>
  <c r="K63" i="7"/>
  <c r="X62" i="7"/>
  <c r="W62" i="7"/>
  <c r="V62" i="7"/>
  <c r="U62" i="7"/>
  <c r="T62" i="7"/>
  <c r="S62" i="7"/>
  <c r="Q62" i="7"/>
  <c r="O62" i="7"/>
  <c r="M62" i="7"/>
  <c r="K62" i="7"/>
  <c r="X61" i="7"/>
  <c r="W61" i="7"/>
  <c r="V61" i="7"/>
  <c r="U61" i="7"/>
  <c r="T61" i="7"/>
  <c r="S61" i="7"/>
  <c r="Q61" i="7"/>
  <c r="O61" i="7"/>
  <c r="M61" i="7"/>
  <c r="K61" i="7"/>
  <c r="X60" i="7"/>
  <c r="W60" i="7"/>
  <c r="V60" i="7"/>
  <c r="U60" i="7"/>
  <c r="T60" i="7"/>
  <c r="S60" i="7"/>
  <c r="Q60" i="7"/>
  <c r="O60" i="7"/>
  <c r="M60" i="7"/>
  <c r="K60" i="7"/>
  <c r="X59" i="7"/>
  <c r="W59" i="7"/>
  <c r="V59" i="7"/>
  <c r="U59" i="7"/>
  <c r="T59" i="7"/>
  <c r="S59" i="7"/>
  <c r="Q59" i="7"/>
  <c r="O59" i="7"/>
  <c r="M59" i="7"/>
  <c r="K59" i="7"/>
  <c r="X58" i="7"/>
  <c r="W58" i="7"/>
  <c r="V58" i="7"/>
  <c r="U58" i="7"/>
  <c r="T58" i="7"/>
  <c r="S58" i="7"/>
  <c r="Q58" i="7"/>
  <c r="O58" i="7"/>
  <c r="M58" i="7"/>
  <c r="K58" i="7"/>
  <c r="X57" i="7"/>
  <c r="W57" i="7"/>
  <c r="V57" i="7"/>
  <c r="U57" i="7"/>
  <c r="T57" i="7"/>
  <c r="S57" i="7"/>
  <c r="Q57" i="7"/>
  <c r="O57" i="7"/>
  <c r="M57" i="7"/>
  <c r="K57" i="7"/>
  <c r="X56" i="7"/>
  <c r="W56" i="7"/>
  <c r="V56" i="7"/>
  <c r="U56" i="7"/>
  <c r="T56" i="7"/>
  <c r="S56" i="7"/>
  <c r="Q56" i="7"/>
  <c r="O56" i="7"/>
  <c r="M56" i="7"/>
  <c r="K56" i="7"/>
  <c r="X55" i="7"/>
  <c r="W55" i="7"/>
  <c r="V55" i="7"/>
  <c r="U55" i="7"/>
  <c r="T55" i="7"/>
  <c r="S55" i="7"/>
  <c r="Q55" i="7"/>
  <c r="O55" i="7"/>
  <c r="M55" i="7"/>
  <c r="K55" i="7"/>
  <c r="X54" i="7"/>
  <c r="W54" i="7"/>
  <c r="V54" i="7"/>
  <c r="U54" i="7"/>
  <c r="T54" i="7"/>
  <c r="S54" i="7"/>
  <c r="Q54" i="7"/>
  <c r="O54" i="7"/>
  <c r="M54" i="7"/>
  <c r="K54" i="7"/>
  <c r="X53" i="7"/>
  <c r="W53" i="7"/>
  <c r="V53" i="7"/>
  <c r="U53" i="7"/>
  <c r="T53" i="7"/>
  <c r="S53" i="7"/>
  <c r="Q53" i="7"/>
  <c r="O53" i="7"/>
  <c r="M53" i="7"/>
  <c r="K53" i="7"/>
  <c r="X52" i="7"/>
  <c r="W52" i="7"/>
  <c r="V52" i="7"/>
  <c r="U52" i="7"/>
  <c r="T52" i="7"/>
  <c r="S52" i="7"/>
  <c r="Q52" i="7"/>
  <c r="O52" i="7"/>
  <c r="M52" i="7"/>
  <c r="K52" i="7"/>
  <c r="X51" i="7"/>
  <c r="W51" i="7"/>
  <c r="V51" i="7"/>
  <c r="U51" i="7"/>
  <c r="T51" i="7"/>
  <c r="S51" i="7"/>
  <c r="Q51" i="7"/>
  <c r="O51" i="7"/>
  <c r="M51" i="7"/>
  <c r="K51" i="7"/>
  <c r="X50" i="7"/>
  <c r="W50" i="7"/>
  <c r="V50" i="7"/>
  <c r="U50" i="7"/>
  <c r="T50" i="7"/>
  <c r="S50" i="7"/>
  <c r="Q50" i="7"/>
  <c r="O50" i="7"/>
  <c r="M50" i="7"/>
  <c r="K50" i="7"/>
  <c r="X49" i="7"/>
  <c r="W49" i="7"/>
  <c r="V49" i="7"/>
  <c r="U49" i="7"/>
  <c r="T49" i="7"/>
  <c r="S49" i="7"/>
  <c r="Q49" i="7"/>
  <c r="O49" i="7"/>
  <c r="M49" i="7"/>
  <c r="K49" i="7"/>
  <c r="X48" i="7"/>
  <c r="W48" i="7"/>
  <c r="V48" i="7"/>
  <c r="U48" i="7"/>
  <c r="T48" i="7"/>
  <c r="S48" i="7"/>
  <c r="Q48" i="7"/>
  <c r="O48" i="7"/>
  <c r="M48" i="7"/>
  <c r="K48" i="7"/>
  <c r="X47" i="7"/>
  <c r="W47" i="7"/>
  <c r="V47" i="7"/>
  <c r="U47" i="7"/>
  <c r="T47" i="7"/>
  <c r="S47" i="7"/>
  <c r="Q47" i="7"/>
  <c r="O47" i="7"/>
  <c r="M47" i="7"/>
  <c r="K47" i="7"/>
  <c r="X46" i="7"/>
  <c r="W46" i="7"/>
  <c r="V46" i="7"/>
  <c r="U46" i="7"/>
  <c r="T46" i="7"/>
  <c r="S46" i="7"/>
  <c r="Q46" i="7"/>
  <c r="O46" i="7"/>
  <c r="M46" i="7"/>
  <c r="K46" i="7"/>
  <c r="X45" i="7"/>
  <c r="W45" i="7"/>
  <c r="V45" i="7"/>
  <c r="U45" i="7"/>
  <c r="T45" i="7"/>
  <c r="S45" i="7"/>
  <c r="Q45" i="7"/>
  <c r="O45" i="7"/>
  <c r="M45" i="7"/>
  <c r="K45" i="7"/>
  <c r="X44" i="7"/>
  <c r="W44" i="7"/>
  <c r="V44" i="7"/>
  <c r="U44" i="7"/>
  <c r="T44" i="7"/>
  <c r="S44" i="7"/>
  <c r="Q44" i="7"/>
  <c r="O44" i="7"/>
  <c r="M44" i="7"/>
  <c r="K44" i="7"/>
  <c r="X43" i="7"/>
  <c r="W43" i="7"/>
  <c r="V43" i="7"/>
  <c r="U43" i="7"/>
  <c r="T43" i="7"/>
  <c r="S43" i="7"/>
  <c r="Q43" i="7"/>
  <c r="O43" i="7"/>
  <c r="M43" i="7"/>
  <c r="K43" i="7"/>
  <c r="X42" i="7"/>
  <c r="W42" i="7"/>
  <c r="V42" i="7"/>
  <c r="U42" i="7"/>
  <c r="T42" i="7"/>
  <c r="S42" i="7"/>
  <c r="Q42" i="7"/>
  <c r="O42" i="7"/>
  <c r="M42" i="7"/>
  <c r="K42" i="7"/>
  <c r="X41" i="7"/>
  <c r="W41" i="7"/>
  <c r="V41" i="7"/>
  <c r="U41" i="7"/>
  <c r="T41" i="7"/>
  <c r="S41" i="7"/>
  <c r="Q41" i="7"/>
  <c r="O41" i="7"/>
  <c r="M41" i="7"/>
  <c r="K41" i="7"/>
  <c r="X40" i="7"/>
  <c r="W40" i="7"/>
  <c r="V40" i="7"/>
  <c r="U40" i="7"/>
  <c r="T40" i="7"/>
  <c r="S40" i="7"/>
  <c r="Q40" i="7"/>
  <c r="O40" i="7"/>
  <c r="M40" i="7"/>
  <c r="K40" i="7"/>
  <c r="X39" i="7"/>
  <c r="W39" i="7"/>
  <c r="V39" i="7"/>
  <c r="U39" i="7"/>
  <c r="T39" i="7"/>
  <c r="S39" i="7"/>
  <c r="Q39" i="7"/>
  <c r="O39" i="7"/>
  <c r="M39" i="7"/>
  <c r="K39" i="7"/>
  <c r="X38" i="7"/>
  <c r="W38" i="7"/>
  <c r="V38" i="7"/>
  <c r="U38" i="7"/>
  <c r="T38" i="7"/>
  <c r="S38" i="7"/>
  <c r="Q38" i="7"/>
  <c r="O38" i="7"/>
  <c r="M38" i="7"/>
  <c r="K38" i="7"/>
  <c r="X37" i="7"/>
  <c r="W37" i="7"/>
  <c r="V37" i="7"/>
  <c r="U37" i="7"/>
  <c r="T37" i="7"/>
  <c r="S37" i="7"/>
  <c r="Q37" i="7"/>
  <c r="O37" i="7"/>
  <c r="M37" i="7"/>
  <c r="K37" i="7"/>
  <c r="X36" i="7"/>
  <c r="W36" i="7"/>
  <c r="V36" i="7"/>
  <c r="U36" i="7"/>
  <c r="T36" i="7"/>
  <c r="S36" i="7"/>
  <c r="Q36" i="7"/>
  <c r="O36" i="7"/>
  <c r="M36" i="7"/>
  <c r="K36" i="7"/>
  <c r="X35" i="7"/>
  <c r="W35" i="7"/>
  <c r="V35" i="7"/>
  <c r="U35" i="7"/>
  <c r="T35" i="7"/>
  <c r="S35" i="7"/>
  <c r="Q35" i="7"/>
  <c r="O35" i="7"/>
  <c r="M35" i="7"/>
  <c r="K35" i="7"/>
  <c r="X34" i="7"/>
  <c r="W34" i="7"/>
  <c r="V34" i="7"/>
  <c r="U34" i="7"/>
  <c r="T34" i="7"/>
  <c r="S34" i="7"/>
  <c r="Q34" i="7"/>
  <c r="O34" i="7"/>
  <c r="M34" i="7"/>
  <c r="K34" i="7"/>
  <c r="X33" i="7"/>
  <c r="W33" i="7"/>
  <c r="V33" i="7"/>
  <c r="U33" i="7"/>
  <c r="T33" i="7"/>
  <c r="S33" i="7"/>
  <c r="Q33" i="7"/>
  <c r="O33" i="7"/>
  <c r="M33" i="7"/>
  <c r="K33" i="7"/>
  <c r="X32" i="7"/>
  <c r="W32" i="7"/>
  <c r="V32" i="7"/>
  <c r="U32" i="7"/>
  <c r="T32" i="7"/>
  <c r="S32" i="7"/>
  <c r="Q32" i="7"/>
  <c r="O32" i="7"/>
  <c r="M32" i="7"/>
  <c r="K32" i="7"/>
  <c r="X31" i="7"/>
  <c r="W31" i="7"/>
  <c r="V31" i="7"/>
  <c r="U31" i="7"/>
  <c r="T31" i="7"/>
  <c r="S31" i="7"/>
  <c r="Q31" i="7"/>
  <c r="O31" i="7"/>
  <c r="M31" i="7"/>
  <c r="K31" i="7"/>
  <c r="X30" i="7"/>
  <c r="W30" i="7"/>
  <c r="V30" i="7"/>
  <c r="U30" i="7"/>
  <c r="T30" i="7"/>
  <c r="S30" i="7"/>
  <c r="Q30" i="7"/>
  <c r="O30" i="7"/>
  <c r="M30" i="7"/>
  <c r="K30" i="7"/>
  <c r="X29" i="7"/>
  <c r="W29" i="7"/>
  <c r="V29" i="7"/>
  <c r="U29" i="7"/>
  <c r="T29" i="7"/>
  <c r="S29" i="7"/>
  <c r="Q29" i="7"/>
  <c r="O29" i="7"/>
  <c r="M29" i="7"/>
  <c r="K29" i="7"/>
  <c r="X28" i="7"/>
  <c r="W28" i="7"/>
  <c r="V28" i="7"/>
  <c r="U28" i="7"/>
  <c r="T28" i="7"/>
  <c r="S28" i="7"/>
  <c r="Q28" i="7"/>
  <c r="O28" i="7"/>
  <c r="M28" i="7"/>
  <c r="K28" i="7"/>
  <c r="X27" i="7"/>
  <c r="W27" i="7"/>
  <c r="V27" i="7"/>
  <c r="U27" i="7"/>
  <c r="T27" i="7"/>
  <c r="S27" i="7"/>
  <c r="Q27" i="7"/>
  <c r="O27" i="7"/>
  <c r="M27" i="7"/>
  <c r="K27" i="7"/>
  <c r="X26" i="7"/>
  <c r="W26" i="7"/>
  <c r="V26" i="7"/>
  <c r="U26" i="7"/>
  <c r="T26" i="7"/>
  <c r="S26" i="7"/>
  <c r="Q26" i="7"/>
  <c r="O26" i="7"/>
  <c r="M26" i="7"/>
  <c r="K26" i="7"/>
  <c r="X25" i="7"/>
  <c r="W25" i="7"/>
  <c r="V25" i="7"/>
  <c r="U25" i="7"/>
  <c r="T25" i="7"/>
  <c r="S25" i="7"/>
  <c r="Q25" i="7"/>
  <c r="O25" i="7"/>
  <c r="M25" i="7"/>
  <c r="K25" i="7"/>
  <c r="X24" i="7"/>
  <c r="W24" i="7"/>
  <c r="V24" i="7"/>
  <c r="U24" i="7"/>
  <c r="T24" i="7"/>
  <c r="S24" i="7"/>
  <c r="Q24" i="7"/>
  <c r="O24" i="7"/>
  <c r="M24" i="7"/>
  <c r="K24" i="7"/>
  <c r="X23" i="7"/>
  <c r="W23" i="7"/>
  <c r="V23" i="7"/>
  <c r="U23" i="7"/>
  <c r="T23" i="7"/>
  <c r="S23" i="7"/>
  <c r="Q23" i="7"/>
  <c r="O23" i="7"/>
  <c r="M23" i="7"/>
  <c r="K23" i="7"/>
  <c r="X22" i="7"/>
  <c r="W22" i="7"/>
  <c r="V22" i="7"/>
  <c r="U22" i="7"/>
  <c r="T22" i="7"/>
  <c r="S22" i="7"/>
  <c r="Q22" i="7"/>
  <c r="O22" i="7"/>
  <c r="M22" i="7"/>
  <c r="K22" i="7"/>
  <c r="X21" i="7"/>
  <c r="W21" i="7"/>
  <c r="V21" i="7"/>
  <c r="U21" i="7"/>
  <c r="T21" i="7"/>
  <c r="S21" i="7"/>
  <c r="Q21" i="7"/>
  <c r="O21" i="7"/>
  <c r="M21" i="7"/>
  <c r="K21" i="7"/>
  <c r="X20" i="7"/>
  <c r="W20" i="7"/>
  <c r="V20" i="7"/>
  <c r="U20" i="7"/>
  <c r="T20" i="7"/>
  <c r="S20" i="7"/>
  <c r="Q20" i="7"/>
  <c r="O20" i="7"/>
  <c r="M20" i="7"/>
  <c r="K20" i="7"/>
  <c r="X19" i="7"/>
  <c r="W19" i="7"/>
  <c r="V19" i="7"/>
  <c r="U19" i="7"/>
  <c r="T19" i="7"/>
  <c r="S19" i="7"/>
  <c r="Q19" i="7"/>
  <c r="O19" i="7"/>
  <c r="M19" i="7"/>
  <c r="K19" i="7"/>
  <c r="X18" i="7"/>
  <c r="W18" i="7"/>
  <c r="V18" i="7"/>
  <c r="U18" i="7"/>
  <c r="T18" i="7"/>
  <c r="S18" i="7"/>
  <c r="Q18" i="7"/>
  <c r="O18" i="7"/>
  <c r="M18" i="7"/>
  <c r="K18" i="7"/>
  <c r="X17" i="7"/>
  <c r="W17" i="7"/>
  <c r="V17" i="7"/>
  <c r="U17" i="7"/>
  <c r="T17" i="7"/>
  <c r="S17" i="7"/>
  <c r="Q17" i="7"/>
  <c r="O17" i="7"/>
  <c r="M17" i="7"/>
  <c r="K17" i="7"/>
  <c r="X16" i="7"/>
  <c r="W16" i="7"/>
  <c r="V16" i="7"/>
  <c r="U16" i="7"/>
  <c r="T16" i="7"/>
  <c r="S16" i="7"/>
  <c r="Q16" i="7"/>
  <c r="O16" i="7"/>
  <c r="M16" i="7"/>
  <c r="K16" i="7"/>
  <c r="X15" i="7"/>
  <c r="W15" i="7"/>
  <c r="V15" i="7"/>
  <c r="U15" i="7"/>
  <c r="T15" i="7"/>
  <c r="S15" i="7"/>
  <c r="Q15" i="7"/>
  <c r="O15" i="7"/>
  <c r="M15" i="7"/>
  <c r="K15" i="7"/>
  <c r="X14" i="7"/>
  <c r="W14" i="7"/>
  <c r="V14" i="7"/>
  <c r="U14" i="7"/>
  <c r="T14" i="7"/>
  <c r="S14" i="7"/>
  <c r="Q14" i="7"/>
  <c r="O14" i="7"/>
  <c r="M14" i="7"/>
  <c r="K14" i="7"/>
  <c r="X13" i="7"/>
  <c r="W13" i="7"/>
  <c r="V13" i="7"/>
  <c r="U13" i="7"/>
  <c r="T13" i="7"/>
  <c r="S13" i="7"/>
  <c r="Q13" i="7"/>
  <c r="O13" i="7"/>
  <c r="M13" i="7"/>
  <c r="K13" i="7"/>
  <c r="X12" i="7"/>
  <c r="W12" i="7"/>
  <c r="V12" i="7"/>
  <c r="U12" i="7"/>
  <c r="T12" i="7"/>
  <c r="S12" i="7"/>
  <c r="Q12" i="7"/>
  <c r="O12" i="7"/>
  <c r="M12" i="7"/>
  <c r="K12" i="7"/>
  <c r="X11" i="7"/>
  <c r="W11" i="7"/>
  <c r="V11" i="7"/>
  <c r="U11" i="7"/>
  <c r="T11" i="7"/>
  <c r="S11" i="7"/>
  <c r="Q11" i="7"/>
  <c r="O11" i="7"/>
  <c r="M11" i="7"/>
  <c r="K11" i="7"/>
  <c r="X10" i="7"/>
  <c r="W10" i="7"/>
  <c r="V10" i="7"/>
  <c r="U10" i="7"/>
  <c r="T10" i="7"/>
  <c r="S10" i="7"/>
  <c r="Q10" i="7"/>
  <c r="O10" i="7"/>
  <c r="M10" i="7"/>
  <c r="K10" i="7"/>
  <c r="X9" i="7"/>
  <c r="W9" i="7"/>
  <c r="V9" i="7"/>
  <c r="U9" i="7"/>
  <c r="T9" i="7"/>
  <c r="S9" i="7"/>
  <c r="Q9" i="7"/>
  <c r="O9" i="7"/>
  <c r="M9" i="7"/>
  <c r="K9" i="7"/>
  <c r="X8" i="7"/>
  <c r="W8" i="7"/>
  <c r="V8" i="7"/>
  <c r="U8" i="7"/>
  <c r="T8" i="7"/>
  <c r="S8" i="7"/>
  <c r="Q8" i="7"/>
  <c r="O8" i="7"/>
  <c r="M8" i="7"/>
  <c r="K8" i="7"/>
  <c r="X7" i="7"/>
  <c r="W7" i="7"/>
  <c r="V7" i="7"/>
  <c r="U7" i="7"/>
  <c r="T7" i="7"/>
  <c r="S7" i="7"/>
  <c r="Q7" i="7"/>
  <c r="O7" i="7"/>
  <c r="M7" i="7"/>
  <c r="K7" i="7"/>
  <c r="X251" i="6" l="1"/>
  <c r="W251" i="6"/>
  <c r="V251" i="6"/>
  <c r="U251" i="6"/>
  <c r="T251" i="6"/>
  <c r="S251" i="6"/>
  <c r="Q251" i="6"/>
  <c r="O251" i="6"/>
  <c r="M251" i="6"/>
  <c r="K251" i="6"/>
  <c r="X250" i="6"/>
  <c r="W250" i="6"/>
  <c r="V250" i="6"/>
  <c r="U250" i="6"/>
  <c r="T250" i="6"/>
  <c r="S250" i="6"/>
  <c r="Q250" i="6"/>
  <c r="O250" i="6"/>
  <c r="M250" i="6"/>
  <c r="K250" i="6"/>
  <c r="X249" i="6"/>
  <c r="W249" i="6"/>
  <c r="V249" i="6"/>
  <c r="U249" i="6"/>
  <c r="T249" i="6"/>
  <c r="S249" i="6"/>
  <c r="Q249" i="6"/>
  <c r="O249" i="6"/>
  <c r="M249" i="6"/>
  <c r="K249" i="6"/>
  <c r="X248" i="6"/>
  <c r="W248" i="6"/>
  <c r="V248" i="6"/>
  <c r="U248" i="6"/>
  <c r="T248" i="6"/>
  <c r="S248" i="6"/>
  <c r="Q248" i="6"/>
  <c r="O248" i="6"/>
  <c r="M248" i="6"/>
  <c r="K248" i="6"/>
  <c r="X247" i="6"/>
  <c r="W247" i="6"/>
  <c r="V247" i="6"/>
  <c r="U247" i="6"/>
  <c r="T247" i="6"/>
  <c r="S247" i="6"/>
  <c r="Q247" i="6"/>
  <c r="O247" i="6"/>
  <c r="M247" i="6"/>
  <c r="K247" i="6"/>
  <c r="X246" i="6"/>
  <c r="W246" i="6"/>
  <c r="V246" i="6"/>
  <c r="U246" i="6"/>
  <c r="T246" i="6"/>
  <c r="S246" i="6"/>
  <c r="Q246" i="6"/>
  <c r="O246" i="6"/>
  <c r="M246" i="6"/>
  <c r="K246" i="6"/>
  <c r="X245" i="6"/>
  <c r="W245" i="6"/>
  <c r="V245" i="6"/>
  <c r="U245" i="6"/>
  <c r="T245" i="6"/>
  <c r="S245" i="6"/>
  <c r="Q245" i="6"/>
  <c r="O245" i="6"/>
  <c r="M245" i="6"/>
  <c r="K245" i="6"/>
  <c r="X244" i="6"/>
  <c r="W244" i="6"/>
  <c r="V244" i="6"/>
  <c r="U244" i="6"/>
  <c r="T244" i="6"/>
  <c r="S244" i="6"/>
  <c r="Q244" i="6"/>
  <c r="O244" i="6"/>
  <c r="M244" i="6"/>
  <c r="K244" i="6"/>
  <c r="X243" i="6"/>
  <c r="W243" i="6"/>
  <c r="V243" i="6"/>
  <c r="U243" i="6"/>
  <c r="T243" i="6"/>
  <c r="S243" i="6"/>
  <c r="Q243" i="6"/>
  <c r="O243" i="6"/>
  <c r="M243" i="6"/>
  <c r="K243" i="6"/>
  <c r="X242" i="6"/>
  <c r="W242" i="6"/>
  <c r="V242" i="6"/>
  <c r="U242" i="6"/>
  <c r="T242" i="6"/>
  <c r="S242" i="6"/>
  <c r="Q242" i="6"/>
  <c r="O242" i="6"/>
  <c r="M242" i="6"/>
  <c r="K242" i="6"/>
  <c r="X241" i="6"/>
  <c r="W241" i="6"/>
  <c r="V241" i="6"/>
  <c r="U241" i="6"/>
  <c r="T241" i="6"/>
  <c r="S241" i="6"/>
  <c r="Q241" i="6"/>
  <c r="O241" i="6"/>
  <c r="M241" i="6"/>
  <c r="K241" i="6"/>
  <c r="X240" i="6"/>
  <c r="W240" i="6"/>
  <c r="V240" i="6"/>
  <c r="U240" i="6"/>
  <c r="T240" i="6"/>
  <c r="S240" i="6"/>
  <c r="Q240" i="6"/>
  <c r="O240" i="6"/>
  <c r="M240" i="6"/>
  <c r="K240" i="6"/>
  <c r="X239" i="6"/>
  <c r="W239" i="6"/>
  <c r="V239" i="6"/>
  <c r="U239" i="6"/>
  <c r="T239" i="6"/>
  <c r="S239" i="6"/>
  <c r="Q239" i="6"/>
  <c r="O239" i="6"/>
  <c r="M239" i="6"/>
  <c r="K239" i="6"/>
  <c r="X238" i="6"/>
  <c r="W238" i="6"/>
  <c r="V238" i="6"/>
  <c r="U238" i="6"/>
  <c r="T238" i="6"/>
  <c r="S238" i="6"/>
  <c r="Q238" i="6"/>
  <c r="O238" i="6"/>
  <c r="M238" i="6"/>
  <c r="K238" i="6"/>
  <c r="X237" i="6"/>
  <c r="W237" i="6"/>
  <c r="V237" i="6"/>
  <c r="U237" i="6"/>
  <c r="T237" i="6"/>
  <c r="S237" i="6"/>
  <c r="Q237" i="6"/>
  <c r="O237" i="6"/>
  <c r="M237" i="6"/>
  <c r="K237" i="6"/>
  <c r="X236" i="6"/>
  <c r="W236" i="6"/>
  <c r="V236" i="6"/>
  <c r="U236" i="6"/>
  <c r="T236" i="6"/>
  <c r="S236" i="6"/>
  <c r="Q236" i="6"/>
  <c r="O236" i="6"/>
  <c r="M236" i="6"/>
  <c r="K236" i="6"/>
  <c r="X235" i="6"/>
  <c r="W235" i="6"/>
  <c r="V235" i="6"/>
  <c r="U235" i="6"/>
  <c r="T235" i="6"/>
  <c r="S235" i="6"/>
  <c r="Q235" i="6"/>
  <c r="O235" i="6"/>
  <c r="M235" i="6"/>
  <c r="K235" i="6"/>
  <c r="X234" i="6"/>
  <c r="W234" i="6"/>
  <c r="V234" i="6"/>
  <c r="U234" i="6"/>
  <c r="T234" i="6"/>
  <c r="S234" i="6"/>
  <c r="Q234" i="6"/>
  <c r="O234" i="6"/>
  <c r="M234" i="6"/>
  <c r="K234" i="6"/>
  <c r="X233" i="6"/>
  <c r="W233" i="6"/>
  <c r="V233" i="6"/>
  <c r="U233" i="6"/>
  <c r="T233" i="6"/>
  <c r="S233" i="6"/>
  <c r="Q233" i="6"/>
  <c r="O233" i="6"/>
  <c r="M233" i="6"/>
  <c r="K233" i="6"/>
  <c r="X232" i="6"/>
  <c r="W232" i="6"/>
  <c r="V232" i="6"/>
  <c r="U232" i="6"/>
  <c r="T232" i="6"/>
  <c r="S232" i="6"/>
  <c r="Q232" i="6"/>
  <c r="O232" i="6"/>
  <c r="M232" i="6"/>
  <c r="K232" i="6"/>
  <c r="X231" i="6"/>
  <c r="W231" i="6"/>
  <c r="V231" i="6"/>
  <c r="U231" i="6"/>
  <c r="T231" i="6"/>
  <c r="S231" i="6"/>
  <c r="Q231" i="6"/>
  <c r="O231" i="6"/>
  <c r="M231" i="6"/>
  <c r="K231" i="6"/>
  <c r="X230" i="6"/>
  <c r="W230" i="6"/>
  <c r="V230" i="6"/>
  <c r="U230" i="6"/>
  <c r="T230" i="6"/>
  <c r="S230" i="6"/>
  <c r="Q230" i="6"/>
  <c r="O230" i="6"/>
  <c r="M230" i="6"/>
  <c r="K230" i="6"/>
  <c r="X229" i="6"/>
  <c r="W229" i="6"/>
  <c r="V229" i="6"/>
  <c r="U229" i="6"/>
  <c r="T229" i="6"/>
  <c r="S229" i="6"/>
  <c r="Q229" i="6"/>
  <c r="O229" i="6"/>
  <c r="M229" i="6"/>
  <c r="K229" i="6"/>
  <c r="X228" i="6"/>
  <c r="W228" i="6"/>
  <c r="V228" i="6"/>
  <c r="U228" i="6"/>
  <c r="T228" i="6"/>
  <c r="S228" i="6"/>
  <c r="Q228" i="6"/>
  <c r="O228" i="6"/>
  <c r="M228" i="6"/>
  <c r="K228" i="6"/>
  <c r="X227" i="6"/>
  <c r="W227" i="6"/>
  <c r="V227" i="6"/>
  <c r="U227" i="6"/>
  <c r="T227" i="6"/>
  <c r="S227" i="6"/>
  <c r="Q227" i="6"/>
  <c r="O227" i="6"/>
  <c r="M227" i="6"/>
  <c r="K227" i="6"/>
  <c r="X226" i="6"/>
  <c r="W226" i="6"/>
  <c r="V226" i="6"/>
  <c r="U226" i="6"/>
  <c r="T226" i="6"/>
  <c r="S226" i="6"/>
  <c r="Q226" i="6"/>
  <c r="O226" i="6"/>
  <c r="M226" i="6"/>
  <c r="K226" i="6"/>
  <c r="X225" i="6"/>
  <c r="W225" i="6"/>
  <c r="V225" i="6"/>
  <c r="U225" i="6"/>
  <c r="T225" i="6"/>
  <c r="S225" i="6"/>
  <c r="Q225" i="6"/>
  <c r="O225" i="6"/>
  <c r="M225" i="6"/>
  <c r="K225" i="6"/>
  <c r="X224" i="6"/>
  <c r="W224" i="6"/>
  <c r="V224" i="6"/>
  <c r="U224" i="6"/>
  <c r="T224" i="6"/>
  <c r="S224" i="6"/>
  <c r="Q224" i="6"/>
  <c r="O224" i="6"/>
  <c r="M224" i="6"/>
  <c r="K224" i="6"/>
  <c r="X223" i="6"/>
  <c r="W223" i="6"/>
  <c r="V223" i="6"/>
  <c r="U223" i="6"/>
  <c r="T223" i="6"/>
  <c r="S223" i="6"/>
  <c r="Q223" i="6"/>
  <c r="O223" i="6"/>
  <c r="M223" i="6"/>
  <c r="K223" i="6"/>
  <c r="X222" i="6"/>
  <c r="W222" i="6"/>
  <c r="V222" i="6"/>
  <c r="U222" i="6"/>
  <c r="T222" i="6"/>
  <c r="S222" i="6"/>
  <c r="Q222" i="6"/>
  <c r="O222" i="6"/>
  <c r="M222" i="6"/>
  <c r="K222" i="6"/>
  <c r="X221" i="6"/>
  <c r="W221" i="6"/>
  <c r="V221" i="6"/>
  <c r="U221" i="6"/>
  <c r="T221" i="6"/>
  <c r="S221" i="6"/>
  <c r="Q221" i="6"/>
  <c r="O221" i="6"/>
  <c r="M221" i="6"/>
  <c r="K221" i="6"/>
  <c r="X220" i="6"/>
  <c r="W220" i="6"/>
  <c r="V220" i="6"/>
  <c r="U220" i="6"/>
  <c r="T220" i="6"/>
  <c r="S220" i="6"/>
  <c r="Q220" i="6"/>
  <c r="O220" i="6"/>
  <c r="M220" i="6"/>
  <c r="K220" i="6"/>
  <c r="X219" i="6"/>
  <c r="W219" i="6"/>
  <c r="V219" i="6"/>
  <c r="U219" i="6"/>
  <c r="T219" i="6"/>
  <c r="S219" i="6"/>
  <c r="Q219" i="6"/>
  <c r="O219" i="6"/>
  <c r="M219" i="6"/>
  <c r="K219" i="6"/>
  <c r="X218" i="6"/>
  <c r="W218" i="6"/>
  <c r="V218" i="6"/>
  <c r="U218" i="6"/>
  <c r="T218" i="6"/>
  <c r="S218" i="6"/>
  <c r="Q218" i="6"/>
  <c r="O218" i="6"/>
  <c r="M218" i="6"/>
  <c r="K218" i="6"/>
  <c r="X217" i="6"/>
  <c r="W217" i="6"/>
  <c r="V217" i="6"/>
  <c r="U217" i="6"/>
  <c r="T217" i="6"/>
  <c r="S217" i="6"/>
  <c r="Q217" i="6"/>
  <c r="O217" i="6"/>
  <c r="M217" i="6"/>
  <c r="K217" i="6"/>
  <c r="X216" i="6"/>
  <c r="W216" i="6"/>
  <c r="V216" i="6"/>
  <c r="U216" i="6"/>
  <c r="T216" i="6"/>
  <c r="S216" i="6"/>
  <c r="Q216" i="6"/>
  <c r="O216" i="6"/>
  <c r="M216" i="6"/>
  <c r="K216" i="6"/>
  <c r="X215" i="6"/>
  <c r="W215" i="6"/>
  <c r="V215" i="6"/>
  <c r="U215" i="6"/>
  <c r="T215" i="6"/>
  <c r="S215" i="6"/>
  <c r="Q215" i="6"/>
  <c r="O215" i="6"/>
  <c r="M215" i="6"/>
  <c r="K215" i="6"/>
  <c r="X214" i="6"/>
  <c r="W214" i="6"/>
  <c r="V214" i="6"/>
  <c r="U214" i="6"/>
  <c r="T214" i="6"/>
  <c r="S214" i="6"/>
  <c r="Q214" i="6"/>
  <c r="O214" i="6"/>
  <c r="M214" i="6"/>
  <c r="K214" i="6"/>
  <c r="X213" i="6"/>
  <c r="W213" i="6"/>
  <c r="V213" i="6"/>
  <c r="U213" i="6"/>
  <c r="T213" i="6"/>
  <c r="S213" i="6"/>
  <c r="Q213" i="6"/>
  <c r="O213" i="6"/>
  <c r="M213" i="6"/>
  <c r="K213" i="6"/>
  <c r="X212" i="6"/>
  <c r="W212" i="6"/>
  <c r="V212" i="6"/>
  <c r="U212" i="6"/>
  <c r="T212" i="6"/>
  <c r="S212" i="6"/>
  <c r="Q212" i="6"/>
  <c r="O212" i="6"/>
  <c r="M212" i="6"/>
  <c r="K212" i="6"/>
  <c r="X211" i="6"/>
  <c r="W211" i="6"/>
  <c r="V211" i="6"/>
  <c r="U211" i="6"/>
  <c r="T211" i="6"/>
  <c r="S211" i="6"/>
  <c r="Q211" i="6"/>
  <c r="O211" i="6"/>
  <c r="M211" i="6"/>
  <c r="K211" i="6"/>
  <c r="X210" i="6"/>
  <c r="W210" i="6"/>
  <c r="V210" i="6"/>
  <c r="U210" i="6"/>
  <c r="T210" i="6"/>
  <c r="S210" i="6"/>
  <c r="Q210" i="6"/>
  <c r="O210" i="6"/>
  <c r="M210" i="6"/>
  <c r="K210" i="6"/>
  <c r="X209" i="6"/>
  <c r="W209" i="6"/>
  <c r="V209" i="6"/>
  <c r="U209" i="6"/>
  <c r="T209" i="6"/>
  <c r="S209" i="6"/>
  <c r="Q209" i="6"/>
  <c r="O209" i="6"/>
  <c r="M209" i="6"/>
  <c r="K209" i="6"/>
  <c r="X208" i="6"/>
  <c r="W208" i="6"/>
  <c r="V208" i="6"/>
  <c r="U208" i="6"/>
  <c r="T208" i="6"/>
  <c r="S208" i="6"/>
  <c r="Q208" i="6"/>
  <c r="O208" i="6"/>
  <c r="M208" i="6"/>
  <c r="K208" i="6"/>
  <c r="X207" i="6"/>
  <c r="W207" i="6"/>
  <c r="V207" i="6"/>
  <c r="U207" i="6"/>
  <c r="T207" i="6"/>
  <c r="S207" i="6"/>
  <c r="Q207" i="6"/>
  <c r="O207" i="6"/>
  <c r="M207" i="6"/>
  <c r="K207" i="6"/>
  <c r="X206" i="6"/>
  <c r="W206" i="6"/>
  <c r="V206" i="6"/>
  <c r="U206" i="6"/>
  <c r="T206" i="6"/>
  <c r="S206" i="6"/>
  <c r="Q206" i="6"/>
  <c r="O206" i="6"/>
  <c r="M206" i="6"/>
  <c r="K206" i="6"/>
  <c r="X205" i="6"/>
  <c r="W205" i="6"/>
  <c r="V205" i="6"/>
  <c r="U205" i="6"/>
  <c r="T205" i="6"/>
  <c r="S205" i="6"/>
  <c r="Q205" i="6"/>
  <c r="O205" i="6"/>
  <c r="M205" i="6"/>
  <c r="K205" i="6"/>
  <c r="X204" i="6"/>
  <c r="W204" i="6"/>
  <c r="V204" i="6"/>
  <c r="U204" i="6"/>
  <c r="T204" i="6"/>
  <c r="S204" i="6"/>
  <c r="Q204" i="6"/>
  <c r="O204" i="6"/>
  <c r="M204" i="6"/>
  <c r="K204" i="6"/>
  <c r="X203" i="6"/>
  <c r="W203" i="6"/>
  <c r="V203" i="6"/>
  <c r="U203" i="6"/>
  <c r="T203" i="6"/>
  <c r="S203" i="6"/>
  <c r="Q203" i="6"/>
  <c r="O203" i="6"/>
  <c r="M203" i="6"/>
  <c r="K203" i="6"/>
  <c r="X202" i="6"/>
  <c r="W202" i="6"/>
  <c r="V202" i="6"/>
  <c r="U202" i="6"/>
  <c r="T202" i="6"/>
  <c r="S202" i="6"/>
  <c r="Q202" i="6"/>
  <c r="O202" i="6"/>
  <c r="M202" i="6"/>
  <c r="K202" i="6"/>
  <c r="X201" i="6"/>
  <c r="W201" i="6"/>
  <c r="V201" i="6"/>
  <c r="U201" i="6"/>
  <c r="T201" i="6"/>
  <c r="S201" i="6"/>
  <c r="Q201" i="6"/>
  <c r="O201" i="6"/>
  <c r="M201" i="6"/>
  <c r="K201" i="6"/>
  <c r="X200" i="6"/>
  <c r="W200" i="6"/>
  <c r="V200" i="6"/>
  <c r="U200" i="6"/>
  <c r="T200" i="6"/>
  <c r="S200" i="6"/>
  <c r="Q200" i="6"/>
  <c r="O200" i="6"/>
  <c r="M200" i="6"/>
  <c r="K200" i="6"/>
  <c r="X199" i="6"/>
  <c r="W199" i="6"/>
  <c r="V199" i="6"/>
  <c r="U199" i="6"/>
  <c r="T199" i="6"/>
  <c r="S199" i="6"/>
  <c r="Q199" i="6"/>
  <c r="O199" i="6"/>
  <c r="M199" i="6"/>
  <c r="K199" i="6"/>
  <c r="X198" i="6"/>
  <c r="W198" i="6"/>
  <c r="V198" i="6"/>
  <c r="U198" i="6"/>
  <c r="T198" i="6"/>
  <c r="S198" i="6"/>
  <c r="Q198" i="6"/>
  <c r="O198" i="6"/>
  <c r="M198" i="6"/>
  <c r="K198" i="6"/>
  <c r="X197" i="6"/>
  <c r="W197" i="6"/>
  <c r="V197" i="6"/>
  <c r="U197" i="6"/>
  <c r="T197" i="6"/>
  <c r="S197" i="6"/>
  <c r="Q197" i="6"/>
  <c r="O197" i="6"/>
  <c r="M197" i="6"/>
  <c r="K197" i="6"/>
  <c r="X196" i="6"/>
  <c r="W196" i="6"/>
  <c r="V196" i="6"/>
  <c r="U196" i="6"/>
  <c r="T196" i="6"/>
  <c r="S196" i="6"/>
  <c r="Q196" i="6"/>
  <c r="O196" i="6"/>
  <c r="M196" i="6"/>
  <c r="K196" i="6"/>
  <c r="X195" i="6"/>
  <c r="W195" i="6"/>
  <c r="V195" i="6"/>
  <c r="U195" i="6"/>
  <c r="T195" i="6"/>
  <c r="S195" i="6"/>
  <c r="Q195" i="6"/>
  <c r="O195" i="6"/>
  <c r="M195" i="6"/>
  <c r="K195" i="6"/>
  <c r="X194" i="6"/>
  <c r="W194" i="6"/>
  <c r="V194" i="6"/>
  <c r="U194" i="6"/>
  <c r="T194" i="6"/>
  <c r="S194" i="6"/>
  <c r="Q194" i="6"/>
  <c r="O194" i="6"/>
  <c r="M194" i="6"/>
  <c r="K194" i="6"/>
  <c r="X193" i="6"/>
  <c r="W193" i="6"/>
  <c r="V193" i="6"/>
  <c r="U193" i="6"/>
  <c r="T193" i="6"/>
  <c r="S193" i="6"/>
  <c r="Q193" i="6"/>
  <c r="O193" i="6"/>
  <c r="M193" i="6"/>
  <c r="K193" i="6"/>
  <c r="X192" i="6"/>
  <c r="W192" i="6"/>
  <c r="V192" i="6"/>
  <c r="U192" i="6"/>
  <c r="T192" i="6"/>
  <c r="S192" i="6"/>
  <c r="Q192" i="6"/>
  <c r="O192" i="6"/>
  <c r="M192" i="6"/>
  <c r="K192" i="6"/>
  <c r="X191" i="6"/>
  <c r="W191" i="6"/>
  <c r="V191" i="6"/>
  <c r="U191" i="6"/>
  <c r="T191" i="6"/>
  <c r="S191" i="6"/>
  <c r="Q191" i="6"/>
  <c r="O191" i="6"/>
  <c r="M191" i="6"/>
  <c r="K191" i="6"/>
  <c r="X190" i="6"/>
  <c r="W190" i="6"/>
  <c r="V190" i="6"/>
  <c r="U190" i="6"/>
  <c r="T190" i="6"/>
  <c r="S190" i="6"/>
  <c r="Q190" i="6"/>
  <c r="O190" i="6"/>
  <c r="M190" i="6"/>
  <c r="K190" i="6"/>
  <c r="X189" i="6"/>
  <c r="W189" i="6"/>
  <c r="V189" i="6"/>
  <c r="U189" i="6"/>
  <c r="T189" i="6"/>
  <c r="S189" i="6"/>
  <c r="Q189" i="6"/>
  <c r="O189" i="6"/>
  <c r="M189" i="6"/>
  <c r="K189" i="6"/>
  <c r="X188" i="6"/>
  <c r="W188" i="6"/>
  <c r="V188" i="6"/>
  <c r="U188" i="6"/>
  <c r="T188" i="6"/>
  <c r="S188" i="6"/>
  <c r="Q188" i="6"/>
  <c r="O188" i="6"/>
  <c r="M188" i="6"/>
  <c r="K188" i="6"/>
  <c r="X187" i="6"/>
  <c r="W187" i="6"/>
  <c r="V187" i="6"/>
  <c r="U187" i="6"/>
  <c r="T187" i="6"/>
  <c r="S187" i="6"/>
  <c r="Q187" i="6"/>
  <c r="O187" i="6"/>
  <c r="M187" i="6"/>
  <c r="K187" i="6"/>
  <c r="X186" i="6"/>
  <c r="W186" i="6"/>
  <c r="V186" i="6"/>
  <c r="U186" i="6"/>
  <c r="T186" i="6"/>
  <c r="S186" i="6"/>
  <c r="Q186" i="6"/>
  <c r="O186" i="6"/>
  <c r="M186" i="6"/>
  <c r="K186" i="6"/>
  <c r="X185" i="6"/>
  <c r="W185" i="6"/>
  <c r="V185" i="6"/>
  <c r="U185" i="6"/>
  <c r="T185" i="6"/>
  <c r="S185" i="6"/>
  <c r="Q185" i="6"/>
  <c r="O185" i="6"/>
  <c r="M185" i="6"/>
  <c r="K185" i="6"/>
  <c r="X184" i="6"/>
  <c r="W184" i="6"/>
  <c r="V184" i="6"/>
  <c r="U184" i="6"/>
  <c r="T184" i="6"/>
  <c r="S184" i="6"/>
  <c r="Q184" i="6"/>
  <c r="O184" i="6"/>
  <c r="M184" i="6"/>
  <c r="K184" i="6"/>
  <c r="X183" i="6"/>
  <c r="W183" i="6"/>
  <c r="V183" i="6"/>
  <c r="U183" i="6"/>
  <c r="T183" i="6"/>
  <c r="S183" i="6"/>
  <c r="Q183" i="6"/>
  <c r="O183" i="6"/>
  <c r="M183" i="6"/>
  <c r="K183" i="6"/>
  <c r="X182" i="6"/>
  <c r="W182" i="6"/>
  <c r="V182" i="6"/>
  <c r="U182" i="6"/>
  <c r="T182" i="6"/>
  <c r="S182" i="6"/>
  <c r="Q182" i="6"/>
  <c r="O182" i="6"/>
  <c r="M182" i="6"/>
  <c r="K182" i="6"/>
  <c r="X181" i="6"/>
  <c r="W181" i="6"/>
  <c r="V181" i="6"/>
  <c r="U181" i="6"/>
  <c r="T181" i="6"/>
  <c r="S181" i="6"/>
  <c r="Q181" i="6"/>
  <c r="O181" i="6"/>
  <c r="M181" i="6"/>
  <c r="K181" i="6"/>
  <c r="X180" i="6"/>
  <c r="W180" i="6"/>
  <c r="V180" i="6"/>
  <c r="U180" i="6"/>
  <c r="T180" i="6"/>
  <c r="S180" i="6"/>
  <c r="Q180" i="6"/>
  <c r="O180" i="6"/>
  <c r="M180" i="6"/>
  <c r="K180" i="6"/>
  <c r="X179" i="6"/>
  <c r="W179" i="6"/>
  <c r="V179" i="6"/>
  <c r="U179" i="6"/>
  <c r="T179" i="6"/>
  <c r="S179" i="6"/>
  <c r="Q179" i="6"/>
  <c r="O179" i="6"/>
  <c r="M179" i="6"/>
  <c r="K179" i="6"/>
  <c r="X178" i="6"/>
  <c r="W178" i="6"/>
  <c r="V178" i="6"/>
  <c r="U178" i="6"/>
  <c r="T178" i="6"/>
  <c r="S178" i="6"/>
  <c r="Q178" i="6"/>
  <c r="O178" i="6"/>
  <c r="M178" i="6"/>
  <c r="K178" i="6"/>
  <c r="X177" i="6"/>
  <c r="W177" i="6"/>
  <c r="V177" i="6"/>
  <c r="U177" i="6"/>
  <c r="T177" i="6"/>
  <c r="S177" i="6"/>
  <c r="Q177" i="6"/>
  <c r="O177" i="6"/>
  <c r="M177" i="6"/>
  <c r="K177" i="6"/>
  <c r="X176" i="6"/>
  <c r="W176" i="6"/>
  <c r="V176" i="6"/>
  <c r="U176" i="6"/>
  <c r="T176" i="6"/>
  <c r="S176" i="6"/>
  <c r="Q176" i="6"/>
  <c r="O176" i="6"/>
  <c r="M176" i="6"/>
  <c r="K176" i="6"/>
  <c r="X175" i="6"/>
  <c r="W175" i="6"/>
  <c r="V175" i="6"/>
  <c r="U175" i="6"/>
  <c r="T175" i="6"/>
  <c r="S175" i="6"/>
  <c r="Q175" i="6"/>
  <c r="O175" i="6"/>
  <c r="M175" i="6"/>
  <c r="K175" i="6"/>
  <c r="X174" i="6"/>
  <c r="W174" i="6"/>
  <c r="V174" i="6"/>
  <c r="U174" i="6"/>
  <c r="T174" i="6"/>
  <c r="S174" i="6"/>
  <c r="Q174" i="6"/>
  <c r="O174" i="6"/>
  <c r="M174" i="6"/>
  <c r="K174" i="6"/>
  <c r="X173" i="6"/>
  <c r="W173" i="6"/>
  <c r="V173" i="6"/>
  <c r="U173" i="6"/>
  <c r="T173" i="6"/>
  <c r="S173" i="6"/>
  <c r="Q173" i="6"/>
  <c r="O173" i="6"/>
  <c r="M173" i="6"/>
  <c r="K173" i="6"/>
  <c r="X172" i="6"/>
  <c r="W172" i="6"/>
  <c r="V172" i="6"/>
  <c r="U172" i="6"/>
  <c r="T172" i="6"/>
  <c r="S172" i="6"/>
  <c r="Q172" i="6"/>
  <c r="O172" i="6"/>
  <c r="M172" i="6"/>
  <c r="K172" i="6"/>
  <c r="X171" i="6"/>
  <c r="W171" i="6"/>
  <c r="V171" i="6"/>
  <c r="U171" i="6"/>
  <c r="T171" i="6"/>
  <c r="S171" i="6"/>
  <c r="Q171" i="6"/>
  <c r="O171" i="6"/>
  <c r="M171" i="6"/>
  <c r="K171" i="6"/>
  <c r="X170" i="6"/>
  <c r="W170" i="6"/>
  <c r="V170" i="6"/>
  <c r="U170" i="6"/>
  <c r="T170" i="6"/>
  <c r="S170" i="6"/>
  <c r="Q170" i="6"/>
  <c r="O170" i="6"/>
  <c r="M170" i="6"/>
  <c r="K170" i="6"/>
  <c r="X169" i="6"/>
  <c r="W169" i="6"/>
  <c r="V169" i="6"/>
  <c r="U169" i="6"/>
  <c r="T169" i="6"/>
  <c r="S169" i="6"/>
  <c r="Q169" i="6"/>
  <c r="O169" i="6"/>
  <c r="M169" i="6"/>
  <c r="K169" i="6"/>
  <c r="X168" i="6"/>
  <c r="W168" i="6"/>
  <c r="V168" i="6"/>
  <c r="U168" i="6"/>
  <c r="T168" i="6"/>
  <c r="S168" i="6"/>
  <c r="Q168" i="6"/>
  <c r="O168" i="6"/>
  <c r="M168" i="6"/>
  <c r="K168" i="6"/>
  <c r="X167" i="6"/>
  <c r="W167" i="6"/>
  <c r="V167" i="6"/>
  <c r="U167" i="6"/>
  <c r="T167" i="6"/>
  <c r="S167" i="6"/>
  <c r="Q167" i="6"/>
  <c r="O167" i="6"/>
  <c r="M167" i="6"/>
  <c r="K167" i="6"/>
  <c r="X166" i="6"/>
  <c r="W166" i="6"/>
  <c r="V166" i="6"/>
  <c r="U166" i="6"/>
  <c r="T166" i="6"/>
  <c r="S166" i="6"/>
  <c r="Q166" i="6"/>
  <c r="O166" i="6"/>
  <c r="M166" i="6"/>
  <c r="K166" i="6"/>
  <c r="X165" i="6"/>
  <c r="W165" i="6"/>
  <c r="V165" i="6"/>
  <c r="U165" i="6"/>
  <c r="T165" i="6"/>
  <c r="S165" i="6"/>
  <c r="Q165" i="6"/>
  <c r="O165" i="6"/>
  <c r="M165" i="6"/>
  <c r="K165" i="6"/>
  <c r="X164" i="6"/>
  <c r="W164" i="6"/>
  <c r="V164" i="6"/>
  <c r="U164" i="6"/>
  <c r="T164" i="6"/>
  <c r="S164" i="6"/>
  <c r="Q164" i="6"/>
  <c r="O164" i="6"/>
  <c r="M164" i="6"/>
  <c r="K164" i="6"/>
  <c r="X163" i="6"/>
  <c r="W163" i="6"/>
  <c r="V163" i="6"/>
  <c r="U163" i="6"/>
  <c r="T163" i="6"/>
  <c r="S163" i="6"/>
  <c r="Q163" i="6"/>
  <c r="O163" i="6"/>
  <c r="M163" i="6"/>
  <c r="K163" i="6"/>
  <c r="X162" i="6"/>
  <c r="W162" i="6"/>
  <c r="V162" i="6"/>
  <c r="U162" i="6"/>
  <c r="T162" i="6"/>
  <c r="S162" i="6"/>
  <c r="Q162" i="6"/>
  <c r="O162" i="6"/>
  <c r="M162" i="6"/>
  <c r="K162" i="6"/>
  <c r="X161" i="6"/>
  <c r="W161" i="6"/>
  <c r="V161" i="6"/>
  <c r="U161" i="6"/>
  <c r="T161" i="6"/>
  <c r="S161" i="6"/>
  <c r="Q161" i="6"/>
  <c r="O161" i="6"/>
  <c r="M161" i="6"/>
  <c r="K161" i="6"/>
  <c r="X160" i="6"/>
  <c r="W160" i="6"/>
  <c r="V160" i="6"/>
  <c r="U160" i="6"/>
  <c r="T160" i="6"/>
  <c r="S160" i="6"/>
  <c r="Q160" i="6"/>
  <c r="O160" i="6"/>
  <c r="M160" i="6"/>
  <c r="K160" i="6"/>
  <c r="X159" i="6"/>
  <c r="W159" i="6"/>
  <c r="V159" i="6"/>
  <c r="U159" i="6"/>
  <c r="T159" i="6"/>
  <c r="S159" i="6"/>
  <c r="Q159" i="6"/>
  <c r="O159" i="6"/>
  <c r="M159" i="6"/>
  <c r="K159" i="6"/>
  <c r="X158" i="6"/>
  <c r="W158" i="6"/>
  <c r="V158" i="6"/>
  <c r="U158" i="6"/>
  <c r="T158" i="6"/>
  <c r="S158" i="6"/>
  <c r="Q158" i="6"/>
  <c r="O158" i="6"/>
  <c r="M158" i="6"/>
  <c r="K158" i="6"/>
  <c r="X157" i="6"/>
  <c r="W157" i="6"/>
  <c r="V157" i="6"/>
  <c r="U157" i="6"/>
  <c r="T157" i="6"/>
  <c r="S157" i="6"/>
  <c r="Q157" i="6"/>
  <c r="O157" i="6"/>
  <c r="M157" i="6"/>
  <c r="K157" i="6"/>
  <c r="X156" i="6"/>
  <c r="W156" i="6"/>
  <c r="V156" i="6"/>
  <c r="U156" i="6"/>
  <c r="T156" i="6"/>
  <c r="S156" i="6"/>
  <c r="Q156" i="6"/>
  <c r="O156" i="6"/>
  <c r="M156" i="6"/>
  <c r="K156" i="6"/>
  <c r="X155" i="6"/>
  <c r="W155" i="6"/>
  <c r="V155" i="6"/>
  <c r="U155" i="6"/>
  <c r="T155" i="6"/>
  <c r="S155" i="6"/>
  <c r="Q155" i="6"/>
  <c r="O155" i="6"/>
  <c r="M155" i="6"/>
  <c r="K155" i="6"/>
  <c r="X154" i="6"/>
  <c r="W154" i="6"/>
  <c r="V154" i="6"/>
  <c r="U154" i="6"/>
  <c r="T154" i="6"/>
  <c r="S154" i="6"/>
  <c r="Q154" i="6"/>
  <c r="O154" i="6"/>
  <c r="M154" i="6"/>
  <c r="K154" i="6"/>
  <c r="X153" i="6"/>
  <c r="W153" i="6"/>
  <c r="V153" i="6"/>
  <c r="U153" i="6"/>
  <c r="T153" i="6"/>
  <c r="S153" i="6"/>
  <c r="Q153" i="6"/>
  <c r="O153" i="6"/>
  <c r="M153" i="6"/>
  <c r="K153" i="6"/>
  <c r="X152" i="6"/>
  <c r="W152" i="6"/>
  <c r="V152" i="6"/>
  <c r="U152" i="6"/>
  <c r="T152" i="6"/>
  <c r="S152" i="6"/>
  <c r="Q152" i="6"/>
  <c r="O152" i="6"/>
  <c r="M152" i="6"/>
  <c r="K152" i="6"/>
  <c r="X151" i="6"/>
  <c r="W151" i="6"/>
  <c r="V151" i="6"/>
  <c r="U151" i="6"/>
  <c r="T151" i="6"/>
  <c r="S151" i="6"/>
  <c r="Q151" i="6"/>
  <c r="O151" i="6"/>
  <c r="M151" i="6"/>
  <c r="K151" i="6"/>
  <c r="X150" i="6"/>
  <c r="W150" i="6"/>
  <c r="V150" i="6"/>
  <c r="U150" i="6"/>
  <c r="T150" i="6"/>
  <c r="S150" i="6"/>
  <c r="Q150" i="6"/>
  <c r="O150" i="6"/>
  <c r="M150" i="6"/>
  <c r="K150" i="6"/>
  <c r="X149" i="6"/>
  <c r="W149" i="6"/>
  <c r="V149" i="6"/>
  <c r="U149" i="6"/>
  <c r="T149" i="6"/>
  <c r="S149" i="6"/>
  <c r="Q149" i="6"/>
  <c r="O149" i="6"/>
  <c r="M149" i="6"/>
  <c r="K149" i="6"/>
  <c r="X148" i="6"/>
  <c r="W148" i="6"/>
  <c r="V148" i="6"/>
  <c r="U148" i="6"/>
  <c r="T148" i="6"/>
  <c r="S148" i="6"/>
  <c r="Q148" i="6"/>
  <c r="O148" i="6"/>
  <c r="M148" i="6"/>
  <c r="K148" i="6"/>
  <c r="X147" i="6"/>
  <c r="W147" i="6"/>
  <c r="V147" i="6"/>
  <c r="U147" i="6"/>
  <c r="T147" i="6"/>
  <c r="S147" i="6"/>
  <c r="Q147" i="6"/>
  <c r="O147" i="6"/>
  <c r="M147" i="6"/>
  <c r="K147" i="6"/>
  <c r="X146" i="6"/>
  <c r="W146" i="6"/>
  <c r="V146" i="6"/>
  <c r="U146" i="6"/>
  <c r="T146" i="6"/>
  <c r="S146" i="6"/>
  <c r="Q146" i="6"/>
  <c r="O146" i="6"/>
  <c r="M146" i="6"/>
  <c r="K146" i="6"/>
  <c r="X145" i="6"/>
  <c r="W145" i="6"/>
  <c r="V145" i="6"/>
  <c r="U145" i="6"/>
  <c r="T145" i="6"/>
  <c r="S145" i="6"/>
  <c r="Q145" i="6"/>
  <c r="O145" i="6"/>
  <c r="M145" i="6"/>
  <c r="K145" i="6"/>
  <c r="X144" i="6"/>
  <c r="W144" i="6"/>
  <c r="V144" i="6"/>
  <c r="U144" i="6"/>
  <c r="T144" i="6"/>
  <c r="S144" i="6"/>
  <c r="Q144" i="6"/>
  <c r="O144" i="6"/>
  <c r="M144" i="6"/>
  <c r="K144" i="6"/>
  <c r="X143" i="6"/>
  <c r="W143" i="6"/>
  <c r="V143" i="6"/>
  <c r="U143" i="6"/>
  <c r="T143" i="6"/>
  <c r="S143" i="6"/>
  <c r="Q143" i="6"/>
  <c r="O143" i="6"/>
  <c r="M143" i="6"/>
  <c r="K143" i="6"/>
  <c r="X142" i="6"/>
  <c r="W142" i="6"/>
  <c r="V142" i="6"/>
  <c r="U142" i="6"/>
  <c r="T142" i="6"/>
  <c r="S142" i="6"/>
  <c r="Q142" i="6"/>
  <c r="O142" i="6"/>
  <c r="M142" i="6"/>
  <c r="K142" i="6"/>
  <c r="X141" i="6"/>
  <c r="W141" i="6"/>
  <c r="V141" i="6"/>
  <c r="U141" i="6"/>
  <c r="T141" i="6"/>
  <c r="S141" i="6"/>
  <c r="Q141" i="6"/>
  <c r="O141" i="6"/>
  <c r="M141" i="6"/>
  <c r="K141" i="6"/>
  <c r="X140" i="6"/>
  <c r="W140" i="6"/>
  <c r="V140" i="6"/>
  <c r="U140" i="6"/>
  <c r="T140" i="6"/>
  <c r="S140" i="6"/>
  <c r="Q140" i="6"/>
  <c r="O140" i="6"/>
  <c r="M140" i="6"/>
  <c r="K140" i="6"/>
  <c r="X139" i="6"/>
  <c r="W139" i="6"/>
  <c r="V139" i="6"/>
  <c r="U139" i="6"/>
  <c r="T139" i="6"/>
  <c r="S139" i="6"/>
  <c r="Q139" i="6"/>
  <c r="O139" i="6"/>
  <c r="M139" i="6"/>
  <c r="K139" i="6"/>
  <c r="X138" i="6"/>
  <c r="W138" i="6"/>
  <c r="V138" i="6"/>
  <c r="U138" i="6"/>
  <c r="T138" i="6"/>
  <c r="S138" i="6"/>
  <c r="Q138" i="6"/>
  <c r="O138" i="6"/>
  <c r="M138" i="6"/>
  <c r="K138" i="6"/>
  <c r="X137" i="6"/>
  <c r="W137" i="6"/>
  <c r="V137" i="6"/>
  <c r="U137" i="6"/>
  <c r="T137" i="6"/>
  <c r="S137" i="6"/>
  <c r="Q137" i="6"/>
  <c r="O137" i="6"/>
  <c r="M137" i="6"/>
  <c r="K137" i="6"/>
  <c r="X136" i="6"/>
  <c r="W136" i="6"/>
  <c r="V136" i="6"/>
  <c r="U136" i="6"/>
  <c r="T136" i="6"/>
  <c r="S136" i="6"/>
  <c r="Q136" i="6"/>
  <c r="O136" i="6"/>
  <c r="M136" i="6"/>
  <c r="K136" i="6"/>
  <c r="X135" i="6"/>
  <c r="W135" i="6"/>
  <c r="V135" i="6"/>
  <c r="U135" i="6"/>
  <c r="T135" i="6"/>
  <c r="S135" i="6"/>
  <c r="Q135" i="6"/>
  <c r="O135" i="6"/>
  <c r="M135" i="6"/>
  <c r="K135" i="6"/>
  <c r="X134" i="6"/>
  <c r="W134" i="6"/>
  <c r="V134" i="6"/>
  <c r="U134" i="6"/>
  <c r="T134" i="6"/>
  <c r="S134" i="6"/>
  <c r="Q134" i="6"/>
  <c r="O134" i="6"/>
  <c r="M134" i="6"/>
  <c r="K134" i="6"/>
  <c r="X133" i="6"/>
  <c r="W133" i="6"/>
  <c r="V133" i="6"/>
  <c r="U133" i="6"/>
  <c r="T133" i="6"/>
  <c r="S133" i="6"/>
  <c r="Q133" i="6"/>
  <c r="O133" i="6"/>
  <c r="M133" i="6"/>
  <c r="K133" i="6"/>
  <c r="X132" i="6"/>
  <c r="W132" i="6"/>
  <c r="V132" i="6"/>
  <c r="U132" i="6"/>
  <c r="T132" i="6"/>
  <c r="S132" i="6"/>
  <c r="Q132" i="6"/>
  <c r="O132" i="6"/>
  <c r="M132" i="6"/>
  <c r="K132" i="6"/>
  <c r="X131" i="6"/>
  <c r="W131" i="6"/>
  <c r="V131" i="6"/>
  <c r="U131" i="6"/>
  <c r="T131" i="6"/>
  <c r="S131" i="6"/>
  <c r="Q131" i="6"/>
  <c r="O131" i="6"/>
  <c r="M131" i="6"/>
  <c r="K131" i="6"/>
  <c r="X130" i="6"/>
  <c r="W130" i="6"/>
  <c r="V130" i="6"/>
  <c r="U130" i="6"/>
  <c r="T130" i="6"/>
  <c r="S130" i="6"/>
  <c r="Q130" i="6"/>
  <c r="O130" i="6"/>
  <c r="M130" i="6"/>
  <c r="K130" i="6"/>
  <c r="X129" i="6"/>
  <c r="W129" i="6"/>
  <c r="V129" i="6"/>
  <c r="U129" i="6"/>
  <c r="T129" i="6"/>
  <c r="S129" i="6"/>
  <c r="Q129" i="6"/>
  <c r="O129" i="6"/>
  <c r="M129" i="6"/>
  <c r="K129" i="6"/>
  <c r="X128" i="6"/>
  <c r="W128" i="6"/>
  <c r="V128" i="6"/>
  <c r="U128" i="6"/>
  <c r="T128" i="6"/>
  <c r="S128" i="6"/>
  <c r="Q128" i="6"/>
  <c r="O128" i="6"/>
  <c r="M128" i="6"/>
  <c r="K128" i="6"/>
  <c r="X127" i="6"/>
  <c r="W127" i="6"/>
  <c r="V127" i="6"/>
  <c r="U127" i="6"/>
  <c r="T127" i="6"/>
  <c r="S127" i="6"/>
  <c r="Q127" i="6"/>
  <c r="O127" i="6"/>
  <c r="M127" i="6"/>
  <c r="K127" i="6"/>
  <c r="X126" i="6"/>
  <c r="W126" i="6"/>
  <c r="V126" i="6"/>
  <c r="U126" i="6"/>
  <c r="T126" i="6"/>
  <c r="S126" i="6"/>
  <c r="Q126" i="6"/>
  <c r="O126" i="6"/>
  <c r="M126" i="6"/>
  <c r="K126" i="6"/>
  <c r="X125" i="6"/>
  <c r="W125" i="6"/>
  <c r="V125" i="6"/>
  <c r="U125" i="6"/>
  <c r="T125" i="6"/>
  <c r="S125" i="6"/>
  <c r="Q125" i="6"/>
  <c r="O125" i="6"/>
  <c r="M125" i="6"/>
  <c r="K125" i="6"/>
  <c r="X124" i="6"/>
  <c r="W124" i="6"/>
  <c r="V124" i="6"/>
  <c r="U124" i="6"/>
  <c r="T124" i="6"/>
  <c r="S124" i="6"/>
  <c r="Q124" i="6"/>
  <c r="O124" i="6"/>
  <c r="M124" i="6"/>
  <c r="K124" i="6"/>
  <c r="X123" i="6"/>
  <c r="W123" i="6"/>
  <c r="V123" i="6"/>
  <c r="U123" i="6"/>
  <c r="T123" i="6"/>
  <c r="S123" i="6"/>
  <c r="Q123" i="6"/>
  <c r="O123" i="6"/>
  <c r="M123" i="6"/>
  <c r="K123" i="6"/>
  <c r="X122" i="6"/>
  <c r="W122" i="6"/>
  <c r="V122" i="6"/>
  <c r="U122" i="6"/>
  <c r="T122" i="6"/>
  <c r="S122" i="6"/>
  <c r="Q122" i="6"/>
  <c r="O122" i="6"/>
  <c r="M122" i="6"/>
  <c r="K122" i="6"/>
  <c r="X121" i="6"/>
  <c r="W121" i="6"/>
  <c r="V121" i="6"/>
  <c r="U121" i="6"/>
  <c r="T121" i="6"/>
  <c r="S121" i="6"/>
  <c r="Q121" i="6"/>
  <c r="O121" i="6"/>
  <c r="M121" i="6"/>
  <c r="K121" i="6"/>
  <c r="X120" i="6"/>
  <c r="W120" i="6"/>
  <c r="V120" i="6"/>
  <c r="U120" i="6"/>
  <c r="T120" i="6"/>
  <c r="S120" i="6"/>
  <c r="Q120" i="6"/>
  <c r="O120" i="6"/>
  <c r="M120" i="6"/>
  <c r="K120" i="6"/>
  <c r="X119" i="6"/>
  <c r="W119" i="6"/>
  <c r="V119" i="6"/>
  <c r="U119" i="6"/>
  <c r="T119" i="6"/>
  <c r="S119" i="6"/>
  <c r="Q119" i="6"/>
  <c r="O119" i="6"/>
  <c r="M119" i="6"/>
  <c r="K119" i="6"/>
  <c r="X118" i="6"/>
  <c r="W118" i="6"/>
  <c r="V118" i="6"/>
  <c r="U118" i="6"/>
  <c r="T118" i="6"/>
  <c r="S118" i="6"/>
  <c r="Q118" i="6"/>
  <c r="O118" i="6"/>
  <c r="M118" i="6"/>
  <c r="K118" i="6"/>
  <c r="X117" i="6"/>
  <c r="W117" i="6"/>
  <c r="V117" i="6"/>
  <c r="U117" i="6"/>
  <c r="T117" i="6"/>
  <c r="S117" i="6"/>
  <c r="Q117" i="6"/>
  <c r="O117" i="6"/>
  <c r="M117" i="6"/>
  <c r="K117" i="6"/>
  <c r="X116" i="6"/>
  <c r="W116" i="6"/>
  <c r="V116" i="6"/>
  <c r="U116" i="6"/>
  <c r="T116" i="6"/>
  <c r="S116" i="6"/>
  <c r="Q116" i="6"/>
  <c r="O116" i="6"/>
  <c r="M116" i="6"/>
  <c r="K116" i="6"/>
  <c r="X115" i="6"/>
  <c r="W115" i="6"/>
  <c r="V115" i="6"/>
  <c r="U115" i="6"/>
  <c r="T115" i="6"/>
  <c r="S115" i="6"/>
  <c r="Q115" i="6"/>
  <c r="O115" i="6"/>
  <c r="M115" i="6"/>
  <c r="K115" i="6"/>
  <c r="X114" i="6"/>
  <c r="W114" i="6"/>
  <c r="V114" i="6"/>
  <c r="U114" i="6"/>
  <c r="T114" i="6"/>
  <c r="S114" i="6"/>
  <c r="Q114" i="6"/>
  <c r="O114" i="6"/>
  <c r="M114" i="6"/>
  <c r="K114" i="6"/>
  <c r="X113" i="6"/>
  <c r="W113" i="6"/>
  <c r="V113" i="6"/>
  <c r="U113" i="6"/>
  <c r="T113" i="6"/>
  <c r="S113" i="6"/>
  <c r="Q113" i="6"/>
  <c r="O113" i="6"/>
  <c r="M113" i="6"/>
  <c r="K113" i="6"/>
  <c r="X112" i="6"/>
  <c r="W112" i="6"/>
  <c r="V112" i="6"/>
  <c r="U112" i="6"/>
  <c r="T112" i="6"/>
  <c r="S112" i="6"/>
  <c r="Q112" i="6"/>
  <c r="O112" i="6"/>
  <c r="M112" i="6"/>
  <c r="K112" i="6"/>
  <c r="X111" i="6"/>
  <c r="W111" i="6"/>
  <c r="V111" i="6"/>
  <c r="U111" i="6"/>
  <c r="T111" i="6"/>
  <c r="S111" i="6"/>
  <c r="Q111" i="6"/>
  <c r="O111" i="6"/>
  <c r="M111" i="6"/>
  <c r="K111" i="6"/>
  <c r="X110" i="6"/>
  <c r="W110" i="6"/>
  <c r="V110" i="6"/>
  <c r="U110" i="6"/>
  <c r="T110" i="6"/>
  <c r="S110" i="6"/>
  <c r="Q110" i="6"/>
  <c r="O110" i="6"/>
  <c r="M110" i="6"/>
  <c r="K110" i="6"/>
  <c r="X109" i="6"/>
  <c r="W109" i="6"/>
  <c r="V109" i="6"/>
  <c r="U109" i="6"/>
  <c r="T109" i="6"/>
  <c r="S109" i="6"/>
  <c r="Q109" i="6"/>
  <c r="O109" i="6"/>
  <c r="M109" i="6"/>
  <c r="K109" i="6"/>
  <c r="X108" i="6"/>
  <c r="W108" i="6"/>
  <c r="V108" i="6"/>
  <c r="U108" i="6"/>
  <c r="T108" i="6"/>
  <c r="S108" i="6"/>
  <c r="Q108" i="6"/>
  <c r="O108" i="6"/>
  <c r="M108" i="6"/>
  <c r="K108" i="6"/>
  <c r="X107" i="6"/>
  <c r="W107" i="6"/>
  <c r="V107" i="6"/>
  <c r="U107" i="6"/>
  <c r="T107" i="6"/>
  <c r="S107" i="6"/>
  <c r="Q107" i="6"/>
  <c r="O107" i="6"/>
  <c r="M107" i="6"/>
  <c r="K107" i="6"/>
  <c r="X106" i="6"/>
  <c r="W106" i="6"/>
  <c r="V106" i="6"/>
  <c r="U106" i="6"/>
  <c r="T106" i="6"/>
  <c r="S106" i="6"/>
  <c r="Q106" i="6"/>
  <c r="O106" i="6"/>
  <c r="M106" i="6"/>
  <c r="K106" i="6"/>
  <c r="X105" i="6"/>
  <c r="W105" i="6"/>
  <c r="V105" i="6"/>
  <c r="U105" i="6"/>
  <c r="T105" i="6"/>
  <c r="S105" i="6"/>
  <c r="Q105" i="6"/>
  <c r="O105" i="6"/>
  <c r="M105" i="6"/>
  <c r="K105" i="6"/>
  <c r="X104" i="6"/>
  <c r="W104" i="6"/>
  <c r="V104" i="6"/>
  <c r="U104" i="6"/>
  <c r="T104" i="6"/>
  <c r="S104" i="6"/>
  <c r="Q104" i="6"/>
  <c r="O104" i="6"/>
  <c r="M104" i="6"/>
  <c r="K104" i="6"/>
  <c r="X103" i="6"/>
  <c r="W103" i="6"/>
  <c r="V103" i="6"/>
  <c r="U103" i="6"/>
  <c r="T103" i="6"/>
  <c r="S103" i="6"/>
  <c r="Q103" i="6"/>
  <c r="O103" i="6"/>
  <c r="M103" i="6"/>
  <c r="K103" i="6"/>
  <c r="X102" i="6"/>
  <c r="W102" i="6"/>
  <c r="V102" i="6"/>
  <c r="U102" i="6"/>
  <c r="T102" i="6"/>
  <c r="S102" i="6"/>
  <c r="Q102" i="6"/>
  <c r="O102" i="6"/>
  <c r="M102" i="6"/>
  <c r="K102" i="6"/>
  <c r="X101" i="6"/>
  <c r="W101" i="6"/>
  <c r="V101" i="6"/>
  <c r="U101" i="6"/>
  <c r="T101" i="6"/>
  <c r="S101" i="6"/>
  <c r="Q101" i="6"/>
  <c r="O101" i="6"/>
  <c r="M101" i="6"/>
  <c r="K101" i="6"/>
  <c r="X100" i="6"/>
  <c r="W100" i="6"/>
  <c r="V100" i="6"/>
  <c r="U100" i="6"/>
  <c r="T100" i="6"/>
  <c r="S100" i="6"/>
  <c r="Q100" i="6"/>
  <c r="O100" i="6"/>
  <c r="M100" i="6"/>
  <c r="K100" i="6"/>
  <c r="X99" i="6"/>
  <c r="W99" i="6"/>
  <c r="V99" i="6"/>
  <c r="U99" i="6"/>
  <c r="T99" i="6"/>
  <c r="S99" i="6"/>
  <c r="Q99" i="6"/>
  <c r="O99" i="6"/>
  <c r="M99" i="6"/>
  <c r="K99" i="6"/>
  <c r="X98" i="6"/>
  <c r="W98" i="6"/>
  <c r="V98" i="6"/>
  <c r="U98" i="6"/>
  <c r="T98" i="6"/>
  <c r="S98" i="6"/>
  <c r="Q98" i="6"/>
  <c r="O98" i="6"/>
  <c r="M98" i="6"/>
  <c r="K98" i="6"/>
  <c r="X97" i="6"/>
  <c r="W97" i="6"/>
  <c r="V97" i="6"/>
  <c r="U97" i="6"/>
  <c r="T97" i="6"/>
  <c r="S97" i="6"/>
  <c r="Q97" i="6"/>
  <c r="O97" i="6"/>
  <c r="M97" i="6"/>
  <c r="K97" i="6"/>
  <c r="X96" i="6"/>
  <c r="W96" i="6"/>
  <c r="V96" i="6"/>
  <c r="U96" i="6"/>
  <c r="T96" i="6"/>
  <c r="S96" i="6"/>
  <c r="Q96" i="6"/>
  <c r="O96" i="6"/>
  <c r="M96" i="6"/>
  <c r="K96" i="6"/>
  <c r="X95" i="6"/>
  <c r="W95" i="6"/>
  <c r="V95" i="6"/>
  <c r="U95" i="6"/>
  <c r="T95" i="6"/>
  <c r="S95" i="6"/>
  <c r="Q95" i="6"/>
  <c r="O95" i="6"/>
  <c r="M95" i="6"/>
  <c r="K95" i="6"/>
  <c r="X94" i="6"/>
  <c r="W94" i="6"/>
  <c r="V94" i="6"/>
  <c r="U94" i="6"/>
  <c r="T94" i="6"/>
  <c r="S94" i="6"/>
  <c r="Q94" i="6"/>
  <c r="O94" i="6"/>
  <c r="M94" i="6"/>
  <c r="K94" i="6"/>
  <c r="X93" i="6"/>
  <c r="W93" i="6"/>
  <c r="V93" i="6"/>
  <c r="U93" i="6"/>
  <c r="T93" i="6"/>
  <c r="S93" i="6"/>
  <c r="Q93" i="6"/>
  <c r="O93" i="6"/>
  <c r="M93" i="6"/>
  <c r="K93" i="6"/>
  <c r="X92" i="6"/>
  <c r="W92" i="6"/>
  <c r="V92" i="6"/>
  <c r="U92" i="6"/>
  <c r="T92" i="6"/>
  <c r="S92" i="6"/>
  <c r="Q92" i="6"/>
  <c r="O92" i="6"/>
  <c r="M92" i="6"/>
  <c r="K92" i="6"/>
  <c r="X91" i="6"/>
  <c r="W91" i="6"/>
  <c r="V91" i="6"/>
  <c r="U91" i="6"/>
  <c r="T91" i="6"/>
  <c r="S91" i="6"/>
  <c r="Q91" i="6"/>
  <c r="O91" i="6"/>
  <c r="M91" i="6"/>
  <c r="K91" i="6"/>
  <c r="X90" i="6"/>
  <c r="W90" i="6"/>
  <c r="V90" i="6"/>
  <c r="U90" i="6"/>
  <c r="T90" i="6"/>
  <c r="S90" i="6"/>
  <c r="Q90" i="6"/>
  <c r="O90" i="6"/>
  <c r="M90" i="6"/>
  <c r="K90" i="6"/>
  <c r="X89" i="6"/>
  <c r="W89" i="6"/>
  <c r="V89" i="6"/>
  <c r="U89" i="6"/>
  <c r="T89" i="6"/>
  <c r="S89" i="6"/>
  <c r="Q89" i="6"/>
  <c r="O89" i="6"/>
  <c r="M89" i="6"/>
  <c r="K89" i="6"/>
  <c r="X88" i="6"/>
  <c r="W88" i="6"/>
  <c r="V88" i="6"/>
  <c r="U88" i="6"/>
  <c r="T88" i="6"/>
  <c r="S88" i="6"/>
  <c r="Q88" i="6"/>
  <c r="O88" i="6"/>
  <c r="M88" i="6"/>
  <c r="K88" i="6"/>
  <c r="X87" i="6"/>
  <c r="W87" i="6"/>
  <c r="V87" i="6"/>
  <c r="U87" i="6"/>
  <c r="T87" i="6"/>
  <c r="S87" i="6"/>
  <c r="Q87" i="6"/>
  <c r="O87" i="6"/>
  <c r="M87" i="6"/>
  <c r="K87" i="6"/>
  <c r="X86" i="6"/>
  <c r="W86" i="6"/>
  <c r="V86" i="6"/>
  <c r="U86" i="6"/>
  <c r="T86" i="6"/>
  <c r="S86" i="6"/>
  <c r="Q86" i="6"/>
  <c r="O86" i="6"/>
  <c r="M86" i="6"/>
  <c r="K86" i="6"/>
  <c r="X85" i="6"/>
  <c r="W85" i="6"/>
  <c r="V85" i="6"/>
  <c r="U85" i="6"/>
  <c r="T85" i="6"/>
  <c r="S85" i="6"/>
  <c r="Q85" i="6"/>
  <c r="O85" i="6"/>
  <c r="M85" i="6"/>
  <c r="K85" i="6"/>
  <c r="X84" i="6"/>
  <c r="W84" i="6"/>
  <c r="V84" i="6"/>
  <c r="U84" i="6"/>
  <c r="T84" i="6"/>
  <c r="S84" i="6"/>
  <c r="Q84" i="6"/>
  <c r="O84" i="6"/>
  <c r="M84" i="6"/>
  <c r="K84" i="6"/>
  <c r="X83" i="6"/>
  <c r="W83" i="6"/>
  <c r="V83" i="6"/>
  <c r="U83" i="6"/>
  <c r="T83" i="6"/>
  <c r="S83" i="6"/>
  <c r="Q83" i="6"/>
  <c r="O83" i="6"/>
  <c r="M83" i="6"/>
  <c r="K83" i="6"/>
  <c r="X82" i="6"/>
  <c r="W82" i="6"/>
  <c r="V82" i="6"/>
  <c r="U82" i="6"/>
  <c r="T82" i="6"/>
  <c r="S82" i="6"/>
  <c r="Q82" i="6"/>
  <c r="O82" i="6"/>
  <c r="M82" i="6"/>
  <c r="K82" i="6"/>
  <c r="X81" i="6"/>
  <c r="W81" i="6"/>
  <c r="V81" i="6"/>
  <c r="U81" i="6"/>
  <c r="T81" i="6"/>
  <c r="S81" i="6"/>
  <c r="Q81" i="6"/>
  <c r="O81" i="6"/>
  <c r="M81" i="6"/>
  <c r="K81" i="6"/>
  <c r="X80" i="6"/>
  <c r="W80" i="6"/>
  <c r="V80" i="6"/>
  <c r="U80" i="6"/>
  <c r="T80" i="6"/>
  <c r="S80" i="6"/>
  <c r="Q80" i="6"/>
  <c r="O80" i="6"/>
  <c r="M80" i="6"/>
  <c r="K80" i="6"/>
  <c r="X79" i="6"/>
  <c r="W79" i="6"/>
  <c r="V79" i="6"/>
  <c r="U79" i="6"/>
  <c r="T79" i="6"/>
  <c r="S79" i="6"/>
  <c r="Q79" i="6"/>
  <c r="O79" i="6"/>
  <c r="M79" i="6"/>
  <c r="K79" i="6"/>
  <c r="X78" i="6"/>
  <c r="W78" i="6"/>
  <c r="V78" i="6"/>
  <c r="U78" i="6"/>
  <c r="T78" i="6"/>
  <c r="S78" i="6"/>
  <c r="Q78" i="6"/>
  <c r="O78" i="6"/>
  <c r="M78" i="6"/>
  <c r="K78" i="6"/>
  <c r="X77" i="6"/>
  <c r="W77" i="6"/>
  <c r="V77" i="6"/>
  <c r="U77" i="6"/>
  <c r="T77" i="6"/>
  <c r="S77" i="6"/>
  <c r="Q77" i="6"/>
  <c r="O77" i="6"/>
  <c r="M77" i="6"/>
  <c r="K77" i="6"/>
  <c r="X76" i="6"/>
  <c r="W76" i="6"/>
  <c r="V76" i="6"/>
  <c r="U76" i="6"/>
  <c r="T76" i="6"/>
  <c r="S76" i="6"/>
  <c r="Q76" i="6"/>
  <c r="O76" i="6"/>
  <c r="M76" i="6"/>
  <c r="K76" i="6"/>
  <c r="X75" i="6"/>
  <c r="W75" i="6"/>
  <c r="V75" i="6"/>
  <c r="U75" i="6"/>
  <c r="T75" i="6"/>
  <c r="S75" i="6"/>
  <c r="Q75" i="6"/>
  <c r="O75" i="6"/>
  <c r="M75" i="6"/>
  <c r="K75" i="6"/>
  <c r="X74" i="6"/>
  <c r="W74" i="6"/>
  <c r="V74" i="6"/>
  <c r="U74" i="6"/>
  <c r="T74" i="6"/>
  <c r="S74" i="6"/>
  <c r="Q74" i="6"/>
  <c r="O74" i="6"/>
  <c r="M74" i="6"/>
  <c r="K74" i="6"/>
  <c r="X73" i="6"/>
  <c r="W73" i="6"/>
  <c r="V73" i="6"/>
  <c r="U73" i="6"/>
  <c r="T73" i="6"/>
  <c r="S73" i="6"/>
  <c r="Q73" i="6"/>
  <c r="O73" i="6"/>
  <c r="M73" i="6"/>
  <c r="K73" i="6"/>
  <c r="X72" i="6"/>
  <c r="W72" i="6"/>
  <c r="V72" i="6"/>
  <c r="U72" i="6"/>
  <c r="T72" i="6"/>
  <c r="S72" i="6"/>
  <c r="Q72" i="6"/>
  <c r="O72" i="6"/>
  <c r="M72" i="6"/>
  <c r="K72" i="6"/>
  <c r="X71" i="6"/>
  <c r="W71" i="6"/>
  <c r="V71" i="6"/>
  <c r="U71" i="6"/>
  <c r="T71" i="6"/>
  <c r="S71" i="6"/>
  <c r="Q71" i="6"/>
  <c r="O71" i="6"/>
  <c r="M71" i="6"/>
  <c r="K71" i="6"/>
  <c r="X70" i="6"/>
  <c r="W70" i="6"/>
  <c r="V70" i="6"/>
  <c r="U70" i="6"/>
  <c r="T70" i="6"/>
  <c r="S70" i="6"/>
  <c r="Q70" i="6"/>
  <c r="O70" i="6"/>
  <c r="M70" i="6"/>
  <c r="K70" i="6"/>
  <c r="X69" i="6"/>
  <c r="W69" i="6"/>
  <c r="V69" i="6"/>
  <c r="U69" i="6"/>
  <c r="T69" i="6"/>
  <c r="S69" i="6"/>
  <c r="Q69" i="6"/>
  <c r="O69" i="6"/>
  <c r="M69" i="6"/>
  <c r="K69" i="6"/>
  <c r="X68" i="6"/>
  <c r="W68" i="6"/>
  <c r="V68" i="6"/>
  <c r="U68" i="6"/>
  <c r="T68" i="6"/>
  <c r="S68" i="6"/>
  <c r="Q68" i="6"/>
  <c r="O68" i="6"/>
  <c r="M68" i="6"/>
  <c r="K68" i="6"/>
  <c r="X67" i="6"/>
  <c r="W67" i="6"/>
  <c r="V67" i="6"/>
  <c r="U67" i="6"/>
  <c r="T67" i="6"/>
  <c r="S67" i="6"/>
  <c r="Q67" i="6"/>
  <c r="O67" i="6"/>
  <c r="M67" i="6"/>
  <c r="K67" i="6"/>
  <c r="X66" i="6"/>
  <c r="W66" i="6"/>
  <c r="V66" i="6"/>
  <c r="U66" i="6"/>
  <c r="T66" i="6"/>
  <c r="S66" i="6"/>
  <c r="Q66" i="6"/>
  <c r="O66" i="6"/>
  <c r="M66" i="6"/>
  <c r="K66" i="6"/>
  <c r="X65" i="6"/>
  <c r="W65" i="6"/>
  <c r="V65" i="6"/>
  <c r="U65" i="6"/>
  <c r="T65" i="6"/>
  <c r="S65" i="6"/>
  <c r="Q65" i="6"/>
  <c r="O65" i="6"/>
  <c r="M65" i="6"/>
  <c r="K65" i="6"/>
  <c r="X64" i="6"/>
  <c r="W64" i="6"/>
  <c r="V64" i="6"/>
  <c r="U64" i="6"/>
  <c r="T64" i="6"/>
  <c r="S64" i="6"/>
  <c r="Q64" i="6"/>
  <c r="O64" i="6"/>
  <c r="M64" i="6"/>
  <c r="K64" i="6"/>
  <c r="X63" i="6"/>
  <c r="W63" i="6"/>
  <c r="V63" i="6"/>
  <c r="U63" i="6"/>
  <c r="T63" i="6"/>
  <c r="S63" i="6"/>
  <c r="Q63" i="6"/>
  <c r="O63" i="6"/>
  <c r="M63" i="6"/>
  <c r="K63" i="6"/>
  <c r="X62" i="6"/>
  <c r="W62" i="6"/>
  <c r="V62" i="6"/>
  <c r="U62" i="6"/>
  <c r="T62" i="6"/>
  <c r="S62" i="6"/>
  <c r="Q62" i="6"/>
  <c r="O62" i="6"/>
  <c r="M62" i="6"/>
  <c r="K62" i="6"/>
  <c r="X61" i="6"/>
  <c r="W61" i="6"/>
  <c r="V61" i="6"/>
  <c r="U61" i="6"/>
  <c r="T61" i="6"/>
  <c r="S61" i="6"/>
  <c r="Q61" i="6"/>
  <c r="O61" i="6"/>
  <c r="M61" i="6"/>
  <c r="K61" i="6"/>
  <c r="X60" i="6"/>
  <c r="W60" i="6"/>
  <c r="V60" i="6"/>
  <c r="U60" i="6"/>
  <c r="T60" i="6"/>
  <c r="S60" i="6"/>
  <c r="Q60" i="6"/>
  <c r="O60" i="6"/>
  <c r="M60" i="6"/>
  <c r="K60" i="6"/>
  <c r="X59" i="6"/>
  <c r="W59" i="6"/>
  <c r="V59" i="6"/>
  <c r="U59" i="6"/>
  <c r="T59" i="6"/>
  <c r="S59" i="6"/>
  <c r="Q59" i="6"/>
  <c r="O59" i="6"/>
  <c r="M59" i="6"/>
  <c r="K59" i="6"/>
  <c r="X58" i="6"/>
  <c r="W58" i="6"/>
  <c r="V58" i="6"/>
  <c r="U58" i="6"/>
  <c r="T58" i="6"/>
  <c r="S58" i="6"/>
  <c r="Q58" i="6"/>
  <c r="O58" i="6"/>
  <c r="M58" i="6"/>
  <c r="K58" i="6"/>
  <c r="X57" i="6"/>
  <c r="W57" i="6"/>
  <c r="V57" i="6"/>
  <c r="U57" i="6"/>
  <c r="T57" i="6"/>
  <c r="S57" i="6"/>
  <c r="Q57" i="6"/>
  <c r="O57" i="6"/>
  <c r="M57" i="6"/>
  <c r="K57" i="6"/>
  <c r="X56" i="6"/>
  <c r="W56" i="6"/>
  <c r="V56" i="6"/>
  <c r="U56" i="6"/>
  <c r="T56" i="6"/>
  <c r="S56" i="6"/>
  <c r="Q56" i="6"/>
  <c r="O56" i="6"/>
  <c r="M56" i="6"/>
  <c r="K56" i="6"/>
  <c r="X55" i="6"/>
  <c r="W55" i="6"/>
  <c r="V55" i="6"/>
  <c r="U55" i="6"/>
  <c r="T55" i="6"/>
  <c r="S55" i="6"/>
  <c r="Q55" i="6"/>
  <c r="O55" i="6"/>
  <c r="M55" i="6"/>
  <c r="K55" i="6"/>
  <c r="X54" i="6"/>
  <c r="W54" i="6"/>
  <c r="V54" i="6"/>
  <c r="U54" i="6"/>
  <c r="T54" i="6"/>
  <c r="S54" i="6"/>
  <c r="Q54" i="6"/>
  <c r="O54" i="6"/>
  <c r="M54" i="6"/>
  <c r="K54" i="6"/>
  <c r="X53" i="6"/>
  <c r="W53" i="6"/>
  <c r="V53" i="6"/>
  <c r="U53" i="6"/>
  <c r="T53" i="6"/>
  <c r="S53" i="6"/>
  <c r="Q53" i="6"/>
  <c r="O53" i="6"/>
  <c r="M53" i="6"/>
  <c r="K53" i="6"/>
  <c r="X52" i="6"/>
  <c r="W52" i="6"/>
  <c r="V52" i="6"/>
  <c r="U52" i="6"/>
  <c r="T52" i="6"/>
  <c r="S52" i="6"/>
  <c r="Q52" i="6"/>
  <c r="O52" i="6"/>
  <c r="M52" i="6"/>
  <c r="K52" i="6"/>
  <c r="X51" i="6"/>
  <c r="W51" i="6"/>
  <c r="V51" i="6"/>
  <c r="U51" i="6"/>
  <c r="T51" i="6"/>
  <c r="S51" i="6"/>
  <c r="Q51" i="6"/>
  <c r="O51" i="6"/>
  <c r="M51" i="6"/>
  <c r="K51" i="6"/>
  <c r="X50" i="6"/>
  <c r="W50" i="6"/>
  <c r="V50" i="6"/>
  <c r="U50" i="6"/>
  <c r="T50" i="6"/>
  <c r="S50" i="6"/>
  <c r="Q50" i="6"/>
  <c r="O50" i="6"/>
  <c r="M50" i="6"/>
  <c r="K50" i="6"/>
  <c r="X49" i="6"/>
  <c r="W49" i="6"/>
  <c r="V49" i="6"/>
  <c r="U49" i="6"/>
  <c r="T49" i="6"/>
  <c r="S49" i="6"/>
  <c r="Q49" i="6"/>
  <c r="O49" i="6"/>
  <c r="M49" i="6"/>
  <c r="K49" i="6"/>
  <c r="X48" i="6"/>
  <c r="W48" i="6"/>
  <c r="V48" i="6"/>
  <c r="U48" i="6"/>
  <c r="T48" i="6"/>
  <c r="S48" i="6"/>
  <c r="Q48" i="6"/>
  <c r="O48" i="6"/>
  <c r="M48" i="6"/>
  <c r="K48" i="6"/>
  <c r="X47" i="6"/>
  <c r="W47" i="6"/>
  <c r="V47" i="6"/>
  <c r="U47" i="6"/>
  <c r="T47" i="6"/>
  <c r="S47" i="6"/>
  <c r="Q47" i="6"/>
  <c r="O47" i="6"/>
  <c r="M47" i="6"/>
  <c r="K47" i="6"/>
  <c r="X46" i="6"/>
  <c r="W46" i="6"/>
  <c r="V46" i="6"/>
  <c r="U46" i="6"/>
  <c r="T46" i="6"/>
  <c r="S46" i="6"/>
  <c r="Q46" i="6"/>
  <c r="O46" i="6"/>
  <c r="M46" i="6"/>
  <c r="K46" i="6"/>
  <c r="X45" i="6"/>
  <c r="W45" i="6"/>
  <c r="V45" i="6"/>
  <c r="U45" i="6"/>
  <c r="T45" i="6"/>
  <c r="S45" i="6"/>
  <c r="Q45" i="6"/>
  <c r="O45" i="6"/>
  <c r="M45" i="6"/>
  <c r="K45" i="6"/>
  <c r="X44" i="6"/>
  <c r="W44" i="6"/>
  <c r="V44" i="6"/>
  <c r="U44" i="6"/>
  <c r="T44" i="6"/>
  <c r="S44" i="6"/>
  <c r="Q44" i="6"/>
  <c r="O44" i="6"/>
  <c r="M44" i="6"/>
  <c r="K44" i="6"/>
  <c r="X43" i="6"/>
  <c r="W43" i="6"/>
  <c r="V43" i="6"/>
  <c r="U43" i="6"/>
  <c r="T43" i="6"/>
  <c r="S43" i="6"/>
  <c r="Q43" i="6"/>
  <c r="O43" i="6"/>
  <c r="M43" i="6"/>
  <c r="K43" i="6"/>
  <c r="X42" i="6"/>
  <c r="W42" i="6"/>
  <c r="V42" i="6"/>
  <c r="U42" i="6"/>
  <c r="T42" i="6"/>
  <c r="S42" i="6"/>
  <c r="Q42" i="6"/>
  <c r="O42" i="6"/>
  <c r="M42" i="6"/>
  <c r="K42" i="6"/>
  <c r="X41" i="6"/>
  <c r="W41" i="6"/>
  <c r="V41" i="6"/>
  <c r="U41" i="6"/>
  <c r="T41" i="6"/>
  <c r="S41" i="6"/>
  <c r="Q41" i="6"/>
  <c r="O41" i="6"/>
  <c r="M41" i="6"/>
  <c r="K41" i="6"/>
  <c r="X40" i="6"/>
  <c r="W40" i="6"/>
  <c r="V40" i="6"/>
  <c r="U40" i="6"/>
  <c r="T40" i="6"/>
  <c r="S40" i="6"/>
  <c r="Q40" i="6"/>
  <c r="O40" i="6"/>
  <c r="M40" i="6"/>
  <c r="K40" i="6"/>
  <c r="X39" i="6"/>
  <c r="W39" i="6"/>
  <c r="V39" i="6"/>
  <c r="U39" i="6"/>
  <c r="T39" i="6"/>
  <c r="S39" i="6"/>
  <c r="Q39" i="6"/>
  <c r="O39" i="6"/>
  <c r="M39" i="6"/>
  <c r="K39" i="6"/>
  <c r="X38" i="6"/>
  <c r="W38" i="6"/>
  <c r="V38" i="6"/>
  <c r="U38" i="6"/>
  <c r="T38" i="6"/>
  <c r="S38" i="6"/>
  <c r="Q38" i="6"/>
  <c r="O38" i="6"/>
  <c r="M38" i="6"/>
  <c r="K38" i="6"/>
  <c r="X37" i="6"/>
  <c r="W37" i="6"/>
  <c r="V37" i="6"/>
  <c r="U37" i="6"/>
  <c r="T37" i="6"/>
  <c r="S37" i="6"/>
  <c r="Q37" i="6"/>
  <c r="O37" i="6"/>
  <c r="M37" i="6"/>
  <c r="K37" i="6"/>
  <c r="X36" i="6"/>
  <c r="W36" i="6"/>
  <c r="V36" i="6"/>
  <c r="U36" i="6"/>
  <c r="T36" i="6"/>
  <c r="S36" i="6"/>
  <c r="Q36" i="6"/>
  <c r="O36" i="6"/>
  <c r="M36" i="6"/>
  <c r="K36" i="6"/>
  <c r="X35" i="6"/>
  <c r="W35" i="6"/>
  <c r="V35" i="6"/>
  <c r="U35" i="6"/>
  <c r="T35" i="6"/>
  <c r="S35" i="6"/>
  <c r="Q35" i="6"/>
  <c r="O35" i="6"/>
  <c r="M35" i="6"/>
  <c r="K35" i="6"/>
  <c r="X34" i="6"/>
  <c r="W34" i="6"/>
  <c r="V34" i="6"/>
  <c r="U34" i="6"/>
  <c r="T34" i="6"/>
  <c r="S34" i="6"/>
  <c r="Q34" i="6"/>
  <c r="O34" i="6"/>
  <c r="M34" i="6"/>
  <c r="K34" i="6"/>
  <c r="X33" i="6"/>
  <c r="W33" i="6"/>
  <c r="V33" i="6"/>
  <c r="U33" i="6"/>
  <c r="T33" i="6"/>
  <c r="S33" i="6"/>
  <c r="Q33" i="6"/>
  <c r="O33" i="6"/>
  <c r="M33" i="6"/>
  <c r="K33" i="6"/>
  <c r="X32" i="6"/>
  <c r="W32" i="6"/>
  <c r="V32" i="6"/>
  <c r="U32" i="6"/>
  <c r="T32" i="6"/>
  <c r="S32" i="6"/>
  <c r="Q32" i="6"/>
  <c r="O32" i="6"/>
  <c r="M32" i="6"/>
  <c r="K32" i="6"/>
  <c r="X31" i="6"/>
  <c r="W31" i="6"/>
  <c r="V31" i="6"/>
  <c r="U31" i="6"/>
  <c r="T31" i="6"/>
  <c r="S31" i="6"/>
  <c r="Q31" i="6"/>
  <c r="O31" i="6"/>
  <c r="M31" i="6"/>
  <c r="K31" i="6"/>
  <c r="X30" i="6"/>
  <c r="W30" i="6"/>
  <c r="V30" i="6"/>
  <c r="U30" i="6"/>
  <c r="T30" i="6"/>
  <c r="S30" i="6"/>
  <c r="Q30" i="6"/>
  <c r="O30" i="6"/>
  <c r="M30" i="6"/>
  <c r="K30" i="6"/>
  <c r="X29" i="6"/>
  <c r="W29" i="6"/>
  <c r="V29" i="6"/>
  <c r="U29" i="6"/>
  <c r="T29" i="6"/>
  <c r="S29" i="6"/>
  <c r="Q29" i="6"/>
  <c r="O29" i="6"/>
  <c r="M29" i="6"/>
  <c r="K29" i="6"/>
  <c r="X28" i="6"/>
  <c r="W28" i="6"/>
  <c r="V28" i="6"/>
  <c r="U28" i="6"/>
  <c r="T28" i="6"/>
  <c r="S28" i="6"/>
  <c r="Q28" i="6"/>
  <c r="O28" i="6"/>
  <c r="M28" i="6"/>
  <c r="K28" i="6"/>
  <c r="X27" i="6"/>
  <c r="W27" i="6"/>
  <c r="V27" i="6"/>
  <c r="U27" i="6"/>
  <c r="T27" i="6"/>
  <c r="S27" i="6"/>
  <c r="Q27" i="6"/>
  <c r="O27" i="6"/>
  <c r="M27" i="6"/>
  <c r="K27" i="6"/>
  <c r="X26" i="6"/>
  <c r="W26" i="6"/>
  <c r="V26" i="6"/>
  <c r="U26" i="6"/>
  <c r="T26" i="6"/>
  <c r="S26" i="6"/>
  <c r="Q26" i="6"/>
  <c r="O26" i="6"/>
  <c r="M26" i="6"/>
  <c r="K26" i="6"/>
  <c r="X25" i="6"/>
  <c r="W25" i="6"/>
  <c r="V25" i="6"/>
  <c r="U25" i="6"/>
  <c r="T25" i="6"/>
  <c r="S25" i="6"/>
  <c r="Q25" i="6"/>
  <c r="O25" i="6"/>
  <c r="M25" i="6"/>
  <c r="K25" i="6"/>
  <c r="X24" i="6"/>
  <c r="W24" i="6"/>
  <c r="V24" i="6"/>
  <c r="U24" i="6"/>
  <c r="T24" i="6"/>
  <c r="S24" i="6"/>
  <c r="Q24" i="6"/>
  <c r="O24" i="6"/>
  <c r="M24" i="6"/>
  <c r="K24" i="6"/>
  <c r="X23" i="6"/>
  <c r="W23" i="6"/>
  <c r="V23" i="6"/>
  <c r="U23" i="6"/>
  <c r="T23" i="6"/>
  <c r="S23" i="6"/>
  <c r="Q23" i="6"/>
  <c r="O23" i="6"/>
  <c r="M23" i="6"/>
  <c r="K23" i="6"/>
  <c r="X22" i="6"/>
  <c r="W22" i="6"/>
  <c r="V22" i="6"/>
  <c r="U22" i="6"/>
  <c r="T22" i="6"/>
  <c r="S22" i="6"/>
  <c r="Q22" i="6"/>
  <c r="O22" i="6"/>
  <c r="M22" i="6"/>
  <c r="K22" i="6"/>
  <c r="X21" i="6"/>
  <c r="W21" i="6"/>
  <c r="V21" i="6"/>
  <c r="U21" i="6"/>
  <c r="T21" i="6"/>
  <c r="S21" i="6"/>
  <c r="Q21" i="6"/>
  <c r="O21" i="6"/>
  <c r="M21" i="6"/>
  <c r="K21" i="6"/>
  <c r="X20" i="6"/>
  <c r="W20" i="6"/>
  <c r="V20" i="6"/>
  <c r="U20" i="6"/>
  <c r="T20" i="6"/>
  <c r="S20" i="6"/>
  <c r="Q20" i="6"/>
  <c r="O20" i="6"/>
  <c r="M20" i="6"/>
  <c r="K20" i="6"/>
  <c r="X19" i="6"/>
  <c r="W19" i="6"/>
  <c r="V19" i="6"/>
  <c r="U19" i="6"/>
  <c r="T19" i="6"/>
  <c r="S19" i="6"/>
  <c r="Q19" i="6"/>
  <c r="O19" i="6"/>
  <c r="M19" i="6"/>
  <c r="K19" i="6"/>
  <c r="X18" i="6"/>
  <c r="W18" i="6"/>
  <c r="V18" i="6"/>
  <c r="U18" i="6"/>
  <c r="T18" i="6"/>
  <c r="S18" i="6"/>
  <c r="Q18" i="6"/>
  <c r="O18" i="6"/>
  <c r="M18" i="6"/>
  <c r="K18" i="6"/>
  <c r="X17" i="6"/>
  <c r="W17" i="6"/>
  <c r="V17" i="6"/>
  <c r="U17" i="6"/>
  <c r="T17" i="6"/>
  <c r="S17" i="6"/>
  <c r="Q17" i="6"/>
  <c r="O17" i="6"/>
  <c r="M17" i="6"/>
  <c r="K17" i="6"/>
  <c r="X16" i="6"/>
  <c r="W16" i="6"/>
  <c r="V16" i="6"/>
  <c r="U16" i="6"/>
  <c r="T16" i="6"/>
  <c r="S16" i="6"/>
  <c r="Q16" i="6"/>
  <c r="O16" i="6"/>
  <c r="M16" i="6"/>
  <c r="K16" i="6"/>
  <c r="X15" i="6"/>
  <c r="W15" i="6"/>
  <c r="V15" i="6"/>
  <c r="U15" i="6"/>
  <c r="T15" i="6"/>
  <c r="S15" i="6"/>
  <c r="Q15" i="6"/>
  <c r="O15" i="6"/>
  <c r="M15" i="6"/>
  <c r="K15" i="6"/>
  <c r="X14" i="6"/>
  <c r="W14" i="6"/>
  <c r="V14" i="6"/>
  <c r="U14" i="6"/>
  <c r="T14" i="6"/>
  <c r="S14" i="6"/>
  <c r="Q14" i="6"/>
  <c r="O14" i="6"/>
  <c r="M14" i="6"/>
  <c r="K14" i="6"/>
  <c r="X13" i="6"/>
  <c r="W13" i="6"/>
  <c r="V13" i="6"/>
  <c r="U13" i="6"/>
  <c r="T13" i="6"/>
  <c r="S13" i="6"/>
  <c r="Q13" i="6"/>
  <c r="O13" i="6"/>
  <c r="M13" i="6"/>
  <c r="K13" i="6"/>
  <c r="X12" i="6"/>
  <c r="W12" i="6"/>
  <c r="V12" i="6"/>
  <c r="U12" i="6"/>
  <c r="T12" i="6"/>
  <c r="S12" i="6"/>
  <c r="Q12" i="6"/>
  <c r="O12" i="6"/>
  <c r="M12" i="6"/>
  <c r="K12" i="6"/>
  <c r="X11" i="6"/>
  <c r="W11" i="6"/>
  <c r="V11" i="6"/>
  <c r="U11" i="6"/>
  <c r="T11" i="6"/>
  <c r="S11" i="6"/>
  <c r="Q11" i="6"/>
  <c r="O11" i="6"/>
  <c r="M11" i="6"/>
  <c r="K11" i="6"/>
  <c r="X10" i="6"/>
  <c r="W10" i="6"/>
  <c r="V10" i="6"/>
  <c r="U10" i="6"/>
  <c r="T10" i="6"/>
  <c r="S10" i="6"/>
  <c r="Q10" i="6"/>
  <c r="O10" i="6"/>
  <c r="M10" i="6"/>
  <c r="K10" i="6"/>
  <c r="X9" i="6"/>
  <c r="W9" i="6"/>
  <c r="V9" i="6"/>
  <c r="U9" i="6"/>
  <c r="T9" i="6"/>
  <c r="S9" i="6"/>
  <c r="Q9" i="6"/>
  <c r="O9" i="6"/>
  <c r="M9" i="6"/>
  <c r="K9" i="6"/>
  <c r="X8" i="6"/>
  <c r="W8" i="6"/>
  <c r="V8" i="6"/>
  <c r="U8" i="6"/>
  <c r="T8" i="6"/>
  <c r="S8" i="6"/>
  <c r="Q8" i="6"/>
  <c r="O8" i="6"/>
  <c r="M8" i="6"/>
  <c r="K8" i="6"/>
  <c r="X7" i="6"/>
  <c r="W7" i="6"/>
  <c r="V7" i="6"/>
  <c r="U7" i="6"/>
  <c r="T7" i="6"/>
  <c r="S7" i="6"/>
  <c r="Q7" i="6"/>
  <c r="O7" i="6"/>
  <c r="M7" i="6"/>
  <c r="K7" i="6"/>
  <c r="X193" i="5" l="1"/>
  <c r="W193" i="5"/>
  <c r="V193" i="5"/>
  <c r="U193" i="5"/>
  <c r="T193" i="5"/>
  <c r="S193" i="5"/>
  <c r="Q193" i="5"/>
  <c r="O193" i="5"/>
  <c r="M193" i="5"/>
  <c r="K193" i="5"/>
  <c r="X192" i="5"/>
  <c r="W192" i="5"/>
  <c r="V192" i="5"/>
  <c r="U192" i="5"/>
  <c r="T192" i="5"/>
  <c r="S192" i="5"/>
  <c r="Q192" i="5"/>
  <c r="O192" i="5"/>
  <c r="M192" i="5"/>
  <c r="K192" i="5"/>
  <c r="X191" i="5"/>
  <c r="W191" i="5"/>
  <c r="V191" i="5"/>
  <c r="U191" i="5"/>
  <c r="T191" i="5"/>
  <c r="S191" i="5"/>
  <c r="Q191" i="5"/>
  <c r="O191" i="5"/>
  <c r="M191" i="5"/>
  <c r="K191" i="5"/>
  <c r="X190" i="5"/>
  <c r="W190" i="5"/>
  <c r="V190" i="5"/>
  <c r="U190" i="5"/>
  <c r="T190" i="5"/>
  <c r="S190" i="5"/>
  <c r="Q190" i="5"/>
  <c r="O190" i="5"/>
  <c r="M190" i="5"/>
  <c r="K190" i="5"/>
  <c r="X189" i="5"/>
  <c r="W189" i="5"/>
  <c r="V189" i="5"/>
  <c r="U189" i="5"/>
  <c r="T189" i="5"/>
  <c r="S189" i="5"/>
  <c r="Q189" i="5"/>
  <c r="O189" i="5"/>
  <c r="M189" i="5"/>
  <c r="K189" i="5"/>
  <c r="X188" i="5"/>
  <c r="W188" i="5"/>
  <c r="V188" i="5"/>
  <c r="U188" i="5"/>
  <c r="T188" i="5"/>
  <c r="S188" i="5"/>
  <c r="Q188" i="5"/>
  <c r="O188" i="5"/>
  <c r="M188" i="5"/>
  <c r="K188" i="5"/>
  <c r="X187" i="5"/>
  <c r="W187" i="5"/>
  <c r="V187" i="5"/>
  <c r="U187" i="5"/>
  <c r="T187" i="5"/>
  <c r="S187" i="5"/>
  <c r="Q187" i="5"/>
  <c r="O187" i="5"/>
  <c r="M187" i="5"/>
  <c r="K187" i="5"/>
  <c r="X186" i="5"/>
  <c r="W186" i="5"/>
  <c r="V186" i="5"/>
  <c r="U186" i="5"/>
  <c r="T186" i="5"/>
  <c r="S186" i="5"/>
  <c r="Q186" i="5"/>
  <c r="O186" i="5"/>
  <c r="M186" i="5"/>
  <c r="K186" i="5"/>
  <c r="X185" i="5"/>
  <c r="W185" i="5"/>
  <c r="V185" i="5"/>
  <c r="U185" i="5"/>
  <c r="T185" i="5"/>
  <c r="S185" i="5"/>
  <c r="Q185" i="5"/>
  <c r="O185" i="5"/>
  <c r="M185" i="5"/>
  <c r="K185" i="5"/>
  <c r="X184" i="5"/>
  <c r="W184" i="5"/>
  <c r="V184" i="5"/>
  <c r="U184" i="5"/>
  <c r="T184" i="5"/>
  <c r="S184" i="5"/>
  <c r="Q184" i="5"/>
  <c r="O184" i="5"/>
  <c r="M184" i="5"/>
  <c r="K184" i="5"/>
  <c r="X183" i="5"/>
  <c r="W183" i="5"/>
  <c r="V183" i="5"/>
  <c r="U183" i="5"/>
  <c r="T183" i="5"/>
  <c r="S183" i="5"/>
  <c r="Q183" i="5"/>
  <c r="O183" i="5"/>
  <c r="M183" i="5"/>
  <c r="K183" i="5"/>
  <c r="X182" i="5"/>
  <c r="W182" i="5"/>
  <c r="V182" i="5"/>
  <c r="U182" i="5"/>
  <c r="T182" i="5"/>
  <c r="S182" i="5"/>
  <c r="Q182" i="5"/>
  <c r="O182" i="5"/>
  <c r="M182" i="5"/>
  <c r="K182" i="5"/>
  <c r="X181" i="5"/>
  <c r="W181" i="5"/>
  <c r="V181" i="5"/>
  <c r="U181" i="5"/>
  <c r="T181" i="5"/>
  <c r="S181" i="5"/>
  <c r="Q181" i="5"/>
  <c r="O181" i="5"/>
  <c r="M181" i="5"/>
  <c r="K181" i="5"/>
  <c r="X180" i="5"/>
  <c r="W180" i="5"/>
  <c r="V180" i="5"/>
  <c r="U180" i="5"/>
  <c r="T180" i="5"/>
  <c r="S180" i="5"/>
  <c r="Q180" i="5"/>
  <c r="O180" i="5"/>
  <c r="M180" i="5"/>
  <c r="K180" i="5"/>
  <c r="X172" i="5"/>
  <c r="W172" i="5"/>
  <c r="V172" i="5"/>
  <c r="U172" i="5"/>
  <c r="T172" i="5"/>
  <c r="S172" i="5"/>
  <c r="Q172" i="5"/>
  <c r="O172" i="5"/>
  <c r="M172" i="5"/>
  <c r="K172" i="5"/>
  <c r="X171" i="5"/>
  <c r="W171" i="5"/>
  <c r="V171" i="5"/>
  <c r="U171" i="5"/>
  <c r="T171" i="5"/>
  <c r="S171" i="5"/>
  <c r="Q171" i="5"/>
  <c r="O171" i="5"/>
  <c r="M171" i="5"/>
  <c r="K171" i="5"/>
  <c r="X170" i="5"/>
  <c r="W170" i="5"/>
  <c r="V170" i="5"/>
  <c r="U170" i="5"/>
  <c r="T170" i="5"/>
  <c r="S170" i="5"/>
  <c r="Q170" i="5"/>
  <c r="O170" i="5"/>
  <c r="M170" i="5"/>
  <c r="K170" i="5"/>
  <c r="X169" i="5"/>
  <c r="W169" i="5"/>
  <c r="V169" i="5"/>
  <c r="U169" i="5"/>
  <c r="T169" i="5"/>
  <c r="S169" i="5"/>
  <c r="Q169" i="5"/>
  <c r="O169" i="5"/>
  <c r="M169" i="5"/>
  <c r="K169" i="5"/>
  <c r="X168" i="5"/>
  <c r="W168" i="5"/>
  <c r="V168" i="5"/>
  <c r="U168" i="5"/>
  <c r="T168" i="5"/>
  <c r="S168" i="5"/>
  <c r="Q168" i="5"/>
  <c r="O168" i="5"/>
  <c r="M168" i="5"/>
  <c r="K168" i="5"/>
  <c r="X250" i="5" l="1"/>
  <c r="W250" i="5"/>
  <c r="V250" i="5"/>
  <c r="U250" i="5"/>
  <c r="T250" i="5"/>
  <c r="S250" i="5"/>
  <c r="Q250" i="5"/>
  <c r="O250" i="5"/>
  <c r="M250" i="5"/>
  <c r="K250" i="5"/>
  <c r="X249" i="5"/>
  <c r="W249" i="5"/>
  <c r="V249" i="5"/>
  <c r="U249" i="5"/>
  <c r="T249" i="5"/>
  <c r="S249" i="5"/>
  <c r="Q249" i="5"/>
  <c r="O249" i="5"/>
  <c r="M249" i="5"/>
  <c r="K249" i="5"/>
  <c r="X248" i="5"/>
  <c r="W248" i="5"/>
  <c r="V248" i="5"/>
  <c r="U248" i="5"/>
  <c r="T248" i="5"/>
  <c r="S248" i="5"/>
  <c r="Q248" i="5"/>
  <c r="O248" i="5"/>
  <c r="M248" i="5"/>
  <c r="K248" i="5"/>
  <c r="X247" i="5"/>
  <c r="W247" i="5"/>
  <c r="V247" i="5"/>
  <c r="U247" i="5"/>
  <c r="T247" i="5"/>
  <c r="S247" i="5"/>
  <c r="Q247" i="5"/>
  <c r="O247" i="5"/>
  <c r="M247" i="5"/>
  <c r="K247" i="5"/>
  <c r="X246" i="5"/>
  <c r="W246" i="5"/>
  <c r="V246" i="5"/>
  <c r="U246" i="5"/>
  <c r="T246" i="5"/>
  <c r="S246" i="5"/>
  <c r="Q246" i="5"/>
  <c r="O246" i="5"/>
  <c r="M246" i="5"/>
  <c r="K246" i="5"/>
  <c r="X245" i="5"/>
  <c r="W245" i="5"/>
  <c r="V245" i="5"/>
  <c r="U245" i="5"/>
  <c r="T245" i="5"/>
  <c r="S245" i="5"/>
  <c r="Q245" i="5"/>
  <c r="O245" i="5"/>
  <c r="M245" i="5"/>
  <c r="K245" i="5"/>
  <c r="X244" i="5"/>
  <c r="W244" i="5"/>
  <c r="V244" i="5"/>
  <c r="U244" i="5"/>
  <c r="T244" i="5"/>
  <c r="S244" i="5"/>
  <c r="Q244" i="5"/>
  <c r="O244" i="5"/>
  <c r="M244" i="5"/>
  <c r="K244" i="5"/>
  <c r="X243" i="5"/>
  <c r="W243" i="5"/>
  <c r="V243" i="5"/>
  <c r="U243" i="5"/>
  <c r="T243" i="5"/>
  <c r="S243" i="5"/>
  <c r="Q243" i="5"/>
  <c r="O243" i="5"/>
  <c r="M243" i="5"/>
  <c r="K243" i="5"/>
  <c r="X242" i="5"/>
  <c r="W242" i="5"/>
  <c r="V242" i="5"/>
  <c r="U242" i="5"/>
  <c r="T242" i="5"/>
  <c r="S242" i="5"/>
  <c r="Q242" i="5"/>
  <c r="O242" i="5"/>
  <c r="M242" i="5"/>
  <c r="K242" i="5"/>
  <c r="X241" i="5"/>
  <c r="W241" i="5"/>
  <c r="V241" i="5"/>
  <c r="U241" i="5"/>
  <c r="T241" i="5"/>
  <c r="S241" i="5"/>
  <c r="Q241" i="5"/>
  <c r="O241" i="5"/>
  <c r="M241" i="5"/>
  <c r="K241" i="5"/>
  <c r="X240" i="5"/>
  <c r="W240" i="5"/>
  <c r="V240" i="5"/>
  <c r="U240" i="5"/>
  <c r="T240" i="5"/>
  <c r="S240" i="5"/>
  <c r="Q240" i="5"/>
  <c r="O240" i="5"/>
  <c r="M240" i="5"/>
  <c r="K240" i="5"/>
  <c r="X239" i="5"/>
  <c r="W239" i="5"/>
  <c r="V239" i="5"/>
  <c r="U239" i="5"/>
  <c r="T239" i="5"/>
  <c r="S239" i="5"/>
  <c r="Q239" i="5"/>
  <c r="O239" i="5"/>
  <c r="M239" i="5"/>
  <c r="K239" i="5"/>
  <c r="X238" i="5"/>
  <c r="W238" i="5"/>
  <c r="V238" i="5"/>
  <c r="U238" i="5"/>
  <c r="T238" i="5"/>
  <c r="S238" i="5"/>
  <c r="Q238" i="5"/>
  <c r="O238" i="5"/>
  <c r="M238" i="5"/>
  <c r="K238" i="5"/>
  <c r="X237" i="5"/>
  <c r="W237" i="5"/>
  <c r="V237" i="5"/>
  <c r="U237" i="5"/>
  <c r="T237" i="5"/>
  <c r="S237" i="5"/>
  <c r="Q237" i="5"/>
  <c r="O237" i="5"/>
  <c r="M237" i="5"/>
  <c r="K237" i="5"/>
  <c r="X236" i="5"/>
  <c r="W236" i="5"/>
  <c r="V236" i="5"/>
  <c r="U236" i="5"/>
  <c r="T236" i="5"/>
  <c r="S236" i="5"/>
  <c r="Q236" i="5"/>
  <c r="O236" i="5"/>
  <c r="M236" i="5"/>
  <c r="K236" i="5"/>
  <c r="X235" i="5"/>
  <c r="W235" i="5"/>
  <c r="V235" i="5"/>
  <c r="U235" i="5"/>
  <c r="T235" i="5"/>
  <c r="S235" i="5"/>
  <c r="Q235" i="5"/>
  <c r="O235" i="5"/>
  <c r="M235" i="5"/>
  <c r="K235" i="5"/>
  <c r="X234" i="5"/>
  <c r="W234" i="5"/>
  <c r="V234" i="5"/>
  <c r="U234" i="5"/>
  <c r="T234" i="5"/>
  <c r="S234" i="5"/>
  <c r="Q234" i="5"/>
  <c r="O234" i="5"/>
  <c r="M234" i="5"/>
  <c r="K234" i="5"/>
  <c r="X233" i="5"/>
  <c r="W233" i="5"/>
  <c r="V233" i="5"/>
  <c r="U233" i="5"/>
  <c r="T233" i="5"/>
  <c r="S233" i="5"/>
  <c r="Q233" i="5"/>
  <c r="O233" i="5"/>
  <c r="M233" i="5"/>
  <c r="K233" i="5"/>
  <c r="X232" i="5"/>
  <c r="W232" i="5"/>
  <c r="V232" i="5"/>
  <c r="U232" i="5"/>
  <c r="T232" i="5"/>
  <c r="S232" i="5"/>
  <c r="Q232" i="5"/>
  <c r="O232" i="5"/>
  <c r="M232" i="5"/>
  <c r="K232" i="5"/>
  <c r="X231" i="5"/>
  <c r="W231" i="5"/>
  <c r="V231" i="5"/>
  <c r="U231" i="5"/>
  <c r="T231" i="5"/>
  <c r="S231" i="5"/>
  <c r="Q231" i="5"/>
  <c r="O231" i="5"/>
  <c r="M231" i="5"/>
  <c r="K231" i="5"/>
  <c r="X230" i="5"/>
  <c r="W230" i="5"/>
  <c r="V230" i="5"/>
  <c r="U230" i="5"/>
  <c r="T230" i="5"/>
  <c r="S230" i="5"/>
  <c r="Q230" i="5"/>
  <c r="O230" i="5"/>
  <c r="M230" i="5"/>
  <c r="K230" i="5"/>
  <c r="X229" i="5"/>
  <c r="W229" i="5"/>
  <c r="V229" i="5"/>
  <c r="U229" i="5"/>
  <c r="T229" i="5"/>
  <c r="S229" i="5"/>
  <c r="Q229" i="5"/>
  <c r="O229" i="5"/>
  <c r="M229" i="5"/>
  <c r="K229" i="5"/>
  <c r="X228" i="5"/>
  <c r="W228" i="5"/>
  <c r="V228" i="5"/>
  <c r="U228" i="5"/>
  <c r="T228" i="5"/>
  <c r="S228" i="5"/>
  <c r="Q228" i="5"/>
  <c r="O228" i="5"/>
  <c r="M228" i="5"/>
  <c r="K228" i="5"/>
  <c r="X227" i="5"/>
  <c r="W227" i="5"/>
  <c r="V227" i="5"/>
  <c r="U227" i="5"/>
  <c r="T227" i="5"/>
  <c r="S227" i="5"/>
  <c r="Q227" i="5"/>
  <c r="O227" i="5"/>
  <c r="M227" i="5"/>
  <c r="K227" i="5"/>
  <c r="X226" i="5"/>
  <c r="W226" i="5"/>
  <c r="V226" i="5"/>
  <c r="U226" i="5"/>
  <c r="T226" i="5"/>
  <c r="S226" i="5"/>
  <c r="Q226" i="5"/>
  <c r="O226" i="5"/>
  <c r="M226" i="5"/>
  <c r="K226" i="5"/>
  <c r="X225" i="5"/>
  <c r="W225" i="5"/>
  <c r="V225" i="5"/>
  <c r="U225" i="5"/>
  <c r="T225" i="5"/>
  <c r="S225" i="5"/>
  <c r="Q225" i="5"/>
  <c r="O225" i="5"/>
  <c r="M225" i="5"/>
  <c r="K225" i="5"/>
  <c r="X224" i="5"/>
  <c r="W224" i="5"/>
  <c r="V224" i="5"/>
  <c r="U224" i="5"/>
  <c r="T224" i="5"/>
  <c r="S224" i="5"/>
  <c r="Q224" i="5"/>
  <c r="O224" i="5"/>
  <c r="M224" i="5"/>
  <c r="K224" i="5"/>
  <c r="X223" i="5"/>
  <c r="W223" i="5"/>
  <c r="V223" i="5"/>
  <c r="U223" i="5"/>
  <c r="T223" i="5"/>
  <c r="S223" i="5"/>
  <c r="Q223" i="5"/>
  <c r="O223" i="5"/>
  <c r="M223" i="5"/>
  <c r="K223" i="5"/>
  <c r="X222" i="5"/>
  <c r="W222" i="5"/>
  <c r="V222" i="5"/>
  <c r="U222" i="5"/>
  <c r="T222" i="5"/>
  <c r="S222" i="5"/>
  <c r="Q222" i="5"/>
  <c r="O222" i="5"/>
  <c r="M222" i="5"/>
  <c r="K222" i="5"/>
  <c r="X221" i="5"/>
  <c r="W221" i="5"/>
  <c r="V221" i="5"/>
  <c r="U221" i="5"/>
  <c r="T221" i="5"/>
  <c r="S221" i="5"/>
  <c r="Q221" i="5"/>
  <c r="O221" i="5"/>
  <c r="M221" i="5"/>
  <c r="K221" i="5"/>
  <c r="X220" i="5"/>
  <c r="W220" i="5"/>
  <c r="V220" i="5"/>
  <c r="U220" i="5"/>
  <c r="T220" i="5"/>
  <c r="S220" i="5"/>
  <c r="Q220" i="5"/>
  <c r="O220" i="5"/>
  <c r="M220" i="5"/>
  <c r="K220" i="5"/>
  <c r="X219" i="5"/>
  <c r="W219" i="5"/>
  <c r="V219" i="5"/>
  <c r="U219" i="5"/>
  <c r="T219" i="5"/>
  <c r="S219" i="5"/>
  <c r="Q219" i="5"/>
  <c r="O219" i="5"/>
  <c r="M219" i="5"/>
  <c r="K219" i="5"/>
  <c r="X218" i="5"/>
  <c r="W218" i="5"/>
  <c r="V218" i="5"/>
  <c r="U218" i="5"/>
  <c r="T218" i="5"/>
  <c r="S218" i="5"/>
  <c r="Q218" i="5"/>
  <c r="O218" i="5"/>
  <c r="M218" i="5"/>
  <c r="K218" i="5"/>
  <c r="X217" i="5"/>
  <c r="W217" i="5"/>
  <c r="V217" i="5"/>
  <c r="U217" i="5"/>
  <c r="T217" i="5"/>
  <c r="S217" i="5"/>
  <c r="Q217" i="5"/>
  <c r="O217" i="5"/>
  <c r="M217" i="5"/>
  <c r="K217" i="5"/>
  <c r="X216" i="5"/>
  <c r="W216" i="5"/>
  <c r="V216" i="5"/>
  <c r="U216" i="5"/>
  <c r="T216" i="5"/>
  <c r="S216" i="5"/>
  <c r="Q216" i="5"/>
  <c r="O216" i="5"/>
  <c r="M216" i="5"/>
  <c r="K216" i="5"/>
  <c r="X215" i="5"/>
  <c r="W215" i="5"/>
  <c r="V215" i="5"/>
  <c r="U215" i="5"/>
  <c r="T215" i="5"/>
  <c r="S215" i="5"/>
  <c r="Q215" i="5"/>
  <c r="O215" i="5"/>
  <c r="M215" i="5"/>
  <c r="K215" i="5"/>
  <c r="X214" i="5"/>
  <c r="W214" i="5"/>
  <c r="V214" i="5"/>
  <c r="U214" i="5"/>
  <c r="T214" i="5"/>
  <c r="S214" i="5"/>
  <c r="Q214" i="5"/>
  <c r="O214" i="5"/>
  <c r="M214" i="5"/>
  <c r="K214" i="5"/>
  <c r="X213" i="5"/>
  <c r="W213" i="5"/>
  <c r="V213" i="5"/>
  <c r="U213" i="5"/>
  <c r="T213" i="5"/>
  <c r="S213" i="5"/>
  <c r="Q213" i="5"/>
  <c r="O213" i="5"/>
  <c r="M213" i="5"/>
  <c r="K213" i="5"/>
  <c r="X212" i="5"/>
  <c r="W212" i="5"/>
  <c r="V212" i="5"/>
  <c r="U212" i="5"/>
  <c r="T212" i="5"/>
  <c r="S212" i="5"/>
  <c r="Q212" i="5"/>
  <c r="O212" i="5"/>
  <c r="M212" i="5"/>
  <c r="K212" i="5"/>
  <c r="X211" i="5"/>
  <c r="W211" i="5"/>
  <c r="V211" i="5"/>
  <c r="U211" i="5"/>
  <c r="T211" i="5"/>
  <c r="S211" i="5"/>
  <c r="Q211" i="5"/>
  <c r="O211" i="5"/>
  <c r="M211" i="5"/>
  <c r="K211" i="5"/>
  <c r="X210" i="5"/>
  <c r="W210" i="5"/>
  <c r="V210" i="5"/>
  <c r="U210" i="5"/>
  <c r="T210" i="5"/>
  <c r="S210" i="5"/>
  <c r="Q210" i="5"/>
  <c r="O210" i="5"/>
  <c r="M210" i="5"/>
  <c r="K210" i="5"/>
  <c r="X209" i="5"/>
  <c r="W209" i="5"/>
  <c r="V209" i="5"/>
  <c r="U209" i="5"/>
  <c r="T209" i="5"/>
  <c r="S209" i="5"/>
  <c r="Q209" i="5"/>
  <c r="O209" i="5"/>
  <c r="M209" i="5"/>
  <c r="K209" i="5"/>
  <c r="X208" i="5"/>
  <c r="W208" i="5"/>
  <c r="V208" i="5"/>
  <c r="U208" i="5"/>
  <c r="T208" i="5"/>
  <c r="S208" i="5"/>
  <c r="Q208" i="5"/>
  <c r="O208" i="5"/>
  <c r="M208" i="5"/>
  <c r="K208" i="5"/>
  <c r="X207" i="5"/>
  <c r="W207" i="5"/>
  <c r="V207" i="5"/>
  <c r="U207" i="5"/>
  <c r="T207" i="5"/>
  <c r="S207" i="5"/>
  <c r="Q207" i="5"/>
  <c r="O207" i="5"/>
  <c r="M207" i="5"/>
  <c r="K207" i="5"/>
  <c r="X206" i="5"/>
  <c r="W206" i="5"/>
  <c r="V206" i="5"/>
  <c r="U206" i="5"/>
  <c r="T206" i="5"/>
  <c r="S206" i="5"/>
  <c r="Q206" i="5"/>
  <c r="O206" i="5"/>
  <c r="M206" i="5"/>
  <c r="K206" i="5"/>
  <c r="X205" i="5"/>
  <c r="W205" i="5"/>
  <c r="V205" i="5"/>
  <c r="U205" i="5"/>
  <c r="T205" i="5"/>
  <c r="S205" i="5"/>
  <c r="Q205" i="5"/>
  <c r="O205" i="5"/>
  <c r="M205" i="5"/>
  <c r="K205" i="5"/>
  <c r="X204" i="5"/>
  <c r="W204" i="5"/>
  <c r="V204" i="5"/>
  <c r="U204" i="5"/>
  <c r="T204" i="5"/>
  <c r="S204" i="5"/>
  <c r="Q204" i="5"/>
  <c r="O204" i="5"/>
  <c r="M204" i="5"/>
  <c r="K204" i="5"/>
  <c r="X203" i="5"/>
  <c r="W203" i="5"/>
  <c r="V203" i="5"/>
  <c r="U203" i="5"/>
  <c r="T203" i="5"/>
  <c r="S203" i="5"/>
  <c r="Q203" i="5"/>
  <c r="O203" i="5"/>
  <c r="M203" i="5"/>
  <c r="K203" i="5"/>
  <c r="X202" i="5"/>
  <c r="W202" i="5"/>
  <c r="V202" i="5"/>
  <c r="U202" i="5"/>
  <c r="T202" i="5"/>
  <c r="S202" i="5"/>
  <c r="Q202" i="5"/>
  <c r="O202" i="5"/>
  <c r="M202" i="5"/>
  <c r="K202" i="5"/>
  <c r="X201" i="5"/>
  <c r="W201" i="5"/>
  <c r="V201" i="5"/>
  <c r="U201" i="5"/>
  <c r="T201" i="5"/>
  <c r="S201" i="5"/>
  <c r="Q201" i="5"/>
  <c r="O201" i="5"/>
  <c r="M201" i="5"/>
  <c r="K201" i="5"/>
  <c r="X200" i="5"/>
  <c r="W200" i="5"/>
  <c r="V200" i="5"/>
  <c r="U200" i="5"/>
  <c r="T200" i="5"/>
  <c r="S200" i="5"/>
  <c r="Q200" i="5"/>
  <c r="O200" i="5"/>
  <c r="M200" i="5"/>
  <c r="K200" i="5"/>
  <c r="X199" i="5"/>
  <c r="W199" i="5"/>
  <c r="V199" i="5"/>
  <c r="U199" i="5"/>
  <c r="T199" i="5"/>
  <c r="S199" i="5"/>
  <c r="Q199" i="5"/>
  <c r="O199" i="5"/>
  <c r="M199" i="5"/>
  <c r="K199" i="5"/>
  <c r="X198" i="5"/>
  <c r="W198" i="5"/>
  <c r="V198" i="5"/>
  <c r="U198" i="5"/>
  <c r="T198" i="5"/>
  <c r="S198" i="5"/>
  <c r="Q198" i="5"/>
  <c r="O198" i="5"/>
  <c r="M198" i="5"/>
  <c r="K198" i="5"/>
  <c r="X197" i="5"/>
  <c r="W197" i="5"/>
  <c r="V197" i="5"/>
  <c r="U197" i="5"/>
  <c r="T197" i="5"/>
  <c r="S197" i="5"/>
  <c r="Q197" i="5"/>
  <c r="O197" i="5"/>
  <c r="M197" i="5"/>
  <c r="K197" i="5"/>
  <c r="X196" i="5"/>
  <c r="W196" i="5"/>
  <c r="V196" i="5"/>
  <c r="U196" i="5"/>
  <c r="T196" i="5"/>
  <c r="S196" i="5"/>
  <c r="Q196" i="5"/>
  <c r="O196" i="5"/>
  <c r="M196" i="5"/>
  <c r="K196" i="5"/>
  <c r="X195" i="5"/>
  <c r="W195" i="5"/>
  <c r="V195" i="5"/>
  <c r="U195" i="5"/>
  <c r="T195" i="5"/>
  <c r="S195" i="5"/>
  <c r="Q195" i="5"/>
  <c r="O195" i="5"/>
  <c r="M195" i="5"/>
  <c r="K195" i="5"/>
  <c r="X194" i="5"/>
  <c r="W194" i="5"/>
  <c r="V194" i="5"/>
  <c r="U194" i="5"/>
  <c r="T194" i="5"/>
  <c r="S194" i="5"/>
  <c r="Q194" i="5"/>
  <c r="O194" i="5"/>
  <c r="M194" i="5"/>
  <c r="K194" i="5"/>
  <c r="X179" i="5"/>
  <c r="W179" i="5"/>
  <c r="V179" i="5"/>
  <c r="U179" i="5"/>
  <c r="T179" i="5"/>
  <c r="S179" i="5"/>
  <c r="Q179" i="5"/>
  <c r="O179" i="5"/>
  <c r="M179" i="5"/>
  <c r="K179" i="5"/>
  <c r="X178" i="5"/>
  <c r="W178" i="5"/>
  <c r="V178" i="5"/>
  <c r="U178" i="5"/>
  <c r="T178" i="5"/>
  <c r="S178" i="5"/>
  <c r="Q178" i="5"/>
  <c r="O178" i="5"/>
  <c r="M178" i="5"/>
  <c r="K178" i="5"/>
  <c r="X177" i="5"/>
  <c r="W177" i="5"/>
  <c r="V177" i="5"/>
  <c r="U177" i="5"/>
  <c r="T177" i="5"/>
  <c r="S177" i="5"/>
  <c r="Q177" i="5"/>
  <c r="O177" i="5"/>
  <c r="M177" i="5"/>
  <c r="K177" i="5"/>
  <c r="X176" i="5"/>
  <c r="W176" i="5"/>
  <c r="V176" i="5"/>
  <c r="U176" i="5"/>
  <c r="T176" i="5"/>
  <c r="S176" i="5"/>
  <c r="Q176" i="5"/>
  <c r="O176" i="5"/>
  <c r="M176" i="5"/>
  <c r="K176" i="5"/>
  <c r="X175" i="5"/>
  <c r="W175" i="5"/>
  <c r="V175" i="5"/>
  <c r="U175" i="5"/>
  <c r="T175" i="5"/>
  <c r="S175" i="5"/>
  <c r="Q175" i="5"/>
  <c r="O175" i="5"/>
  <c r="M175" i="5"/>
  <c r="K175" i="5"/>
  <c r="X174" i="5"/>
  <c r="W174" i="5"/>
  <c r="V174" i="5"/>
  <c r="U174" i="5"/>
  <c r="T174" i="5"/>
  <c r="S174" i="5"/>
  <c r="Q174" i="5"/>
  <c r="O174" i="5"/>
  <c r="M174" i="5"/>
  <c r="K174" i="5"/>
  <c r="X173" i="5"/>
  <c r="W173" i="5"/>
  <c r="V173" i="5"/>
  <c r="U173" i="5"/>
  <c r="T173" i="5"/>
  <c r="S173" i="5"/>
  <c r="Q173" i="5"/>
  <c r="O173" i="5"/>
  <c r="M173" i="5"/>
  <c r="K173" i="5"/>
  <c r="X167" i="5"/>
  <c r="W167" i="5"/>
  <c r="V167" i="5"/>
  <c r="U167" i="5"/>
  <c r="T167" i="5"/>
  <c r="S167" i="5"/>
  <c r="Q167" i="5"/>
  <c r="O167" i="5"/>
  <c r="M167" i="5"/>
  <c r="K167" i="5"/>
  <c r="X166" i="5"/>
  <c r="W166" i="5"/>
  <c r="V166" i="5"/>
  <c r="U166" i="5"/>
  <c r="T166" i="5"/>
  <c r="S166" i="5"/>
  <c r="Q166" i="5"/>
  <c r="O166" i="5"/>
  <c r="M166" i="5"/>
  <c r="K166" i="5"/>
  <c r="X165" i="5"/>
  <c r="W165" i="5"/>
  <c r="V165" i="5"/>
  <c r="U165" i="5"/>
  <c r="T165" i="5"/>
  <c r="S165" i="5"/>
  <c r="Q165" i="5"/>
  <c r="O165" i="5"/>
  <c r="M165" i="5"/>
  <c r="K165" i="5"/>
  <c r="X164" i="5"/>
  <c r="W164" i="5"/>
  <c r="V164" i="5"/>
  <c r="U164" i="5"/>
  <c r="T164" i="5"/>
  <c r="S164" i="5"/>
  <c r="Q164" i="5"/>
  <c r="O164" i="5"/>
  <c r="M164" i="5"/>
  <c r="K164" i="5"/>
  <c r="X163" i="5"/>
  <c r="W163" i="5"/>
  <c r="V163" i="5"/>
  <c r="U163" i="5"/>
  <c r="T163" i="5"/>
  <c r="S163" i="5"/>
  <c r="Q163" i="5"/>
  <c r="O163" i="5"/>
  <c r="M163" i="5"/>
  <c r="K163" i="5"/>
  <c r="X162" i="5"/>
  <c r="W162" i="5"/>
  <c r="V162" i="5"/>
  <c r="U162" i="5"/>
  <c r="T162" i="5"/>
  <c r="S162" i="5"/>
  <c r="Q162" i="5"/>
  <c r="O162" i="5"/>
  <c r="M162" i="5"/>
  <c r="K162" i="5"/>
  <c r="X161" i="5"/>
  <c r="W161" i="5"/>
  <c r="V161" i="5"/>
  <c r="U161" i="5"/>
  <c r="T161" i="5"/>
  <c r="S161" i="5"/>
  <c r="Q161" i="5"/>
  <c r="O161" i="5"/>
  <c r="M161" i="5"/>
  <c r="K161" i="5"/>
  <c r="X160" i="5"/>
  <c r="W160" i="5"/>
  <c r="V160" i="5"/>
  <c r="U160" i="5"/>
  <c r="T160" i="5"/>
  <c r="S160" i="5"/>
  <c r="Q160" i="5"/>
  <c r="O160" i="5"/>
  <c r="M160" i="5"/>
  <c r="K160" i="5"/>
  <c r="X159" i="5"/>
  <c r="W159" i="5"/>
  <c r="V159" i="5"/>
  <c r="U159" i="5"/>
  <c r="T159" i="5"/>
  <c r="S159" i="5"/>
  <c r="Q159" i="5"/>
  <c r="O159" i="5"/>
  <c r="M159" i="5"/>
  <c r="K159" i="5"/>
  <c r="X158" i="5"/>
  <c r="W158" i="5"/>
  <c r="V158" i="5"/>
  <c r="U158" i="5"/>
  <c r="T158" i="5"/>
  <c r="S158" i="5"/>
  <c r="Q158" i="5"/>
  <c r="O158" i="5"/>
  <c r="M158" i="5"/>
  <c r="K158" i="5"/>
  <c r="X157" i="5"/>
  <c r="W157" i="5"/>
  <c r="V157" i="5"/>
  <c r="U157" i="5"/>
  <c r="T157" i="5"/>
  <c r="S157" i="5"/>
  <c r="Q157" i="5"/>
  <c r="O157" i="5"/>
  <c r="M157" i="5"/>
  <c r="K157" i="5"/>
  <c r="X156" i="5"/>
  <c r="W156" i="5"/>
  <c r="V156" i="5"/>
  <c r="U156" i="5"/>
  <c r="T156" i="5"/>
  <c r="S156" i="5"/>
  <c r="Q156" i="5"/>
  <c r="O156" i="5"/>
  <c r="M156" i="5"/>
  <c r="K156" i="5"/>
  <c r="X155" i="5"/>
  <c r="W155" i="5"/>
  <c r="V155" i="5"/>
  <c r="U155" i="5"/>
  <c r="T155" i="5"/>
  <c r="S155" i="5"/>
  <c r="Q155" i="5"/>
  <c r="O155" i="5"/>
  <c r="M155" i="5"/>
  <c r="K155" i="5"/>
  <c r="X154" i="5"/>
  <c r="W154" i="5"/>
  <c r="V154" i="5"/>
  <c r="U154" i="5"/>
  <c r="T154" i="5"/>
  <c r="S154" i="5"/>
  <c r="Q154" i="5"/>
  <c r="O154" i="5"/>
  <c r="M154" i="5"/>
  <c r="K154" i="5"/>
  <c r="X153" i="5"/>
  <c r="W153" i="5"/>
  <c r="V153" i="5"/>
  <c r="U153" i="5"/>
  <c r="T153" i="5"/>
  <c r="S153" i="5"/>
  <c r="Q153" i="5"/>
  <c r="O153" i="5"/>
  <c r="M153" i="5"/>
  <c r="K153" i="5"/>
  <c r="X152" i="5"/>
  <c r="W152" i="5"/>
  <c r="V152" i="5"/>
  <c r="U152" i="5"/>
  <c r="T152" i="5"/>
  <c r="S152" i="5"/>
  <c r="Q152" i="5"/>
  <c r="O152" i="5"/>
  <c r="M152" i="5"/>
  <c r="K152" i="5"/>
  <c r="X151" i="5"/>
  <c r="W151" i="5"/>
  <c r="V151" i="5"/>
  <c r="U151" i="5"/>
  <c r="T151" i="5"/>
  <c r="S151" i="5"/>
  <c r="Q151" i="5"/>
  <c r="O151" i="5"/>
  <c r="M151" i="5"/>
  <c r="K151" i="5"/>
  <c r="X150" i="5"/>
  <c r="W150" i="5"/>
  <c r="V150" i="5"/>
  <c r="U150" i="5"/>
  <c r="T150" i="5"/>
  <c r="S150" i="5"/>
  <c r="Q150" i="5"/>
  <c r="O150" i="5"/>
  <c r="M150" i="5"/>
  <c r="K150" i="5"/>
  <c r="X149" i="5"/>
  <c r="W149" i="5"/>
  <c r="V149" i="5"/>
  <c r="U149" i="5"/>
  <c r="T149" i="5"/>
  <c r="S149" i="5"/>
  <c r="Q149" i="5"/>
  <c r="O149" i="5"/>
  <c r="M149" i="5"/>
  <c r="K149" i="5"/>
  <c r="X148" i="5"/>
  <c r="W148" i="5"/>
  <c r="V148" i="5"/>
  <c r="U148" i="5"/>
  <c r="T148" i="5"/>
  <c r="S148" i="5"/>
  <c r="Q148" i="5"/>
  <c r="O148" i="5"/>
  <c r="M148" i="5"/>
  <c r="K148" i="5"/>
  <c r="X147" i="5"/>
  <c r="W147" i="5"/>
  <c r="V147" i="5"/>
  <c r="U147" i="5"/>
  <c r="T147" i="5"/>
  <c r="S147" i="5"/>
  <c r="Q147" i="5"/>
  <c r="O147" i="5"/>
  <c r="M147" i="5"/>
  <c r="K147" i="5"/>
  <c r="X146" i="5"/>
  <c r="W146" i="5"/>
  <c r="V146" i="5"/>
  <c r="U146" i="5"/>
  <c r="T146" i="5"/>
  <c r="S146" i="5"/>
  <c r="Q146" i="5"/>
  <c r="O146" i="5"/>
  <c r="M146" i="5"/>
  <c r="K146" i="5"/>
  <c r="X145" i="5"/>
  <c r="W145" i="5"/>
  <c r="V145" i="5"/>
  <c r="U145" i="5"/>
  <c r="T145" i="5"/>
  <c r="S145" i="5"/>
  <c r="Q145" i="5"/>
  <c r="O145" i="5"/>
  <c r="M145" i="5"/>
  <c r="K145" i="5"/>
  <c r="X144" i="5"/>
  <c r="W144" i="5"/>
  <c r="V144" i="5"/>
  <c r="U144" i="5"/>
  <c r="T144" i="5"/>
  <c r="S144" i="5"/>
  <c r="Q144" i="5"/>
  <c r="O144" i="5"/>
  <c r="M144" i="5"/>
  <c r="K144" i="5"/>
  <c r="X143" i="5"/>
  <c r="W143" i="5"/>
  <c r="V143" i="5"/>
  <c r="U143" i="5"/>
  <c r="T143" i="5"/>
  <c r="S143" i="5"/>
  <c r="Q143" i="5"/>
  <c r="O143" i="5"/>
  <c r="M143" i="5"/>
  <c r="K143" i="5"/>
  <c r="X142" i="5"/>
  <c r="W142" i="5"/>
  <c r="V142" i="5"/>
  <c r="U142" i="5"/>
  <c r="T142" i="5"/>
  <c r="S142" i="5"/>
  <c r="Q142" i="5"/>
  <c r="O142" i="5"/>
  <c r="M142" i="5"/>
  <c r="K142" i="5"/>
  <c r="X141" i="5"/>
  <c r="W141" i="5"/>
  <c r="V141" i="5"/>
  <c r="U141" i="5"/>
  <c r="T141" i="5"/>
  <c r="S141" i="5"/>
  <c r="Q141" i="5"/>
  <c r="O141" i="5"/>
  <c r="M141" i="5"/>
  <c r="K141" i="5"/>
  <c r="X140" i="5"/>
  <c r="W140" i="5"/>
  <c r="V140" i="5"/>
  <c r="U140" i="5"/>
  <c r="T140" i="5"/>
  <c r="S140" i="5"/>
  <c r="Q140" i="5"/>
  <c r="O140" i="5"/>
  <c r="M140" i="5"/>
  <c r="K140" i="5"/>
  <c r="X139" i="5"/>
  <c r="W139" i="5"/>
  <c r="V139" i="5"/>
  <c r="U139" i="5"/>
  <c r="T139" i="5"/>
  <c r="S139" i="5"/>
  <c r="Q139" i="5"/>
  <c r="O139" i="5"/>
  <c r="M139" i="5"/>
  <c r="K139" i="5"/>
  <c r="X138" i="5"/>
  <c r="W138" i="5"/>
  <c r="V138" i="5"/>
  <c r="U138" i="5"/>
  <c r="T138" i="5"/>
  <c r="S138" i="5"/>
  <c r="Q138" i="5"/>
  <c r="O138" i="5"/>
  <c r="M138" i="5"/>
  <c r="K138" i="5"/>
  <c r="X137" i="5"/>
  <c r="W137" i="5"/>
  <c r="V137" i="5"/>
  <c r="U137" i="5"/>
  <c r="T137" i="5"/>
  <c r="S137" i="5"/>
  <c r="Q137" i="5"/>
  <c r="O137" i="5"/>
  <c r="M137" i="5"/>
  <c r="K137" i="5"/>
  <c r="X136" i="5"/>
  <c r="W136" i="5"/>
  <c r="V136" i="5"/>
  <c r="U136" i="5"/>
  <c r="T136" i="5"/>
  <c r="S136" i="5"/>
  <c r="Q136" i="5"/>
  <c r="O136" i="5"/>
  <c r="M136" i="5"/>
  <c r="K136" i="5"/>
  <c r="X135" i="5"/>
  <c r="W135" i="5"/>
  <c r="V135" i="5"/>
  <c r="U135" i="5"/>
  <c r="T135" i="5"/>
  <c r="S135" i="5"/>
  <c r="Q135" i="5"/>
  <c r="O135" i="5"/>
  <c r="M135" i="5"/>
  <c r="K135" i="5"/>
  <c r="X134" i="5"/>
  <c r="W134" i="5"/>
  <c r="V134" i="5"/>
  <c r="U134" i="5"/>
  <c r="T134" i="5"/>
  <c r="S134" i="5"/>
  <c r="Q134" i="5"/>
  <c r="O134" i="5"/>
  <c r="M134" i="5"/>
  <c r="K134" i="5"/>
  <c r="X133" i="5"/>
  <c r="W133" i="5"/>
  <c r="V133" i="5"/>
  <c r="U133" i="5"/>
  <c r="T133" i="5"/>
  <c r="S133" i="5"/>
  <c r="Q133" i="5"/>
  <c r="O133" i="5"/>
  <c r="M133" i="5"/>
  <c r="K133" i="5"/>
  <c r="X132" i="5"/>
  <c r="W132" i="5"/>
  <c r="V132" i="5"/>
  <c r="U132" i="5"/>
  <c r="T132" i="5"/>
  <c r="S132" i="5"/>
  <c r="Q132" i="5"/>
  <c r="O132" i="5"/>
  <c r="M132" i="5"/>
  <c r="K132" i="5"/>
  <c r="X131" i="5"/>
  <c r="W131" i="5"/>
  <c r="V131" i="5"/>
  <c r="U131" i="5"/>
  <c r="T131" i="5"/>
  <c r="S131" i="5"/>
  <c r="Q131" i="5"/>
  <c r="O131" i="5"/>
  <c r="M131" i="5"/>
  <c r="K131" i="5"/>
  <c r="X130" i="5"/>
  <c r="W130" i="5"/>
  <c r="V130" i="5"/>
  <c r="U130" i="5"/>
  <c r="T130" i="5"/>
  <c r="S130" i="5"/>
  <c r="Q130" i="5"/>
  <c r="O130" i="5"/>
  <c r="M130" i="5"/>
  <c r="K130" i="5"/>
  <c r="X129" i="5"/>
  <c r="W129" i="5"/>
  <c r="V129" i="5"/>
  <c r="U129" i="5"/>
  <c r="T129" i="5"/>
  <c r="S129" i="5"/>
  <c r="Q129" i="5"/>
  <c r="O129" i="5"/>
  <c r="M129" i="5"/>
  <c r="K129" i="5"/>
  <c r="X128" i="5"/>
  <c r="W128" i="5"/>
  <c r="V128" i="5"/>
  <c r="U128" i="5"/>
  <c r="T128" i="5"/>
  <c r="S128" i="5"/>
  <c r="Q128" i="5"/>
  <c r="O128" i="5"/>
  <c r="M128" i="5"/>
  <c r="K128" i="5"/>
  <c r="X127" i="5"/>
  <c r="W127" i="5"/>
  <c r="V127" i="5"/>
  <c r="U127" i="5"/>
  <c r="T127" i="5"/>
  <c r="S127" i="5"/>
  <c r="Q127" i="5"/>
  <c r="O127" i="5"/>
  <c r="M127" i="5"/>
  <c r="K127" i="5"/>
  <c r="X126" i="5"/>
  <c r="W126" i="5"/>
  <c r="V126" i="5"/>
  <c r="U126" i="5"/>
  <c r="T126" i="5"/>
  <c r="S126" i="5"/>
  <c r="Q126" i="5"/>
  <c r="O126" i="5"/>
  <c r="M126" i="5"/>
  <c r="K126" i="5"/>
  <c r="X125" i="5"/>
  <c r="W125" i="5"/>
  <c r="V125" i="5"/>
  <c r="U125" i="5"/>
  <c r="T125" i="5"/>
  <c r="S125" i="5"/>
  <c r="Q125" i="5"/>
  <c r="O125" i="5"/>
  <c r="M125" i="5"/>
  <c r="K125" i="5"/>
  <c r="X124" i="5"/>
  <c r="W124" i="5"/>
  <c r="V124" i="5"/>
  <c r="U124" i="5"/>
  <c r="T124" i="5"/>
  <c r="S124" i="5"/>
  <c r="Q124" i="5"/>
  <c r="O124" i="5"/>
  <c r="M124" i="5"/>
  <c r="K124" i="5"/>
  <c r="X123" i="5"/>
  <c r="W123" i="5"/>
  <c r="V123" i="5"/>
  <c r="U123" i="5"/>
  <c r="T123" i="5"/>
  <c r="S123" i="5"/>
  <c r="Q123" i="5"/>
  <c r="O123" i="5"/>
  <c r="M123" i="5"/>
  <c r="K123" i="5"/>
  <c r="X122" i="5"/>
  <c r="W122" i="5"/>
  <c r="V122" i="5"/>
  <c r="U122" i="5"/>
  <c r="T122" i="5"/>
  <c r="S122" i="5"/>
  <c r="Q122" i="5"/>
  <c r="O122" i="5"/>
  <c r="M122" i="5"/>
  <c r="K122" i="5"/>
  <c r="X121" i="5"/>
  <c r="W121" i="5"/>
  <c r="V121" i="5"/>
  <c r="U121" i="5"/>
  <c r="T121" i="5"/>
  <c r="S121" i="5"/>
  <c r="Q121" i="5"/>
  <c r="O121" i="5"/>
  <c r="M121" i="5"/>
  <c r="K121" i="5"/>
  <c r="X120" i="5"/>
  <c r="W120" i="5"/>
  <c r="V120" i="5"/>
  <c r="U120" i="5"/>
  <c r="T120" i="5"/>
  <c r="S120" i="5"/>
  <c r="Q120" i="5"/>
  <c r="O120" i="5"/>
  <c r="M120" i="5"/>
  <c r="K120" i="5"/>
  <c r="X119" i="5"/>
  <c r="W119" i="5"/>
  <c r="V119" i="5"/>
  <c r="U119" i="5"/>
  <c r="T119" i="5"/>
  <c r="S119" i="5"/>
  <c r="Q119" i="5"/>
  <c r="O119" i="5"/>
  <c r="M119" i="5"/>
  <c r="K119" i="5"/>
  <c r="X118" i="5"/>
  <c r="W118" i="5"/>
  <c r="V118" i="5"/>
  <c r="U118" i="5"/>
  <c r="T118" i="5"/>
  <c r="S118" i="5"/>
  <c r="Q118" i="5"/>
  <c r="O118" i="5"/>
  <c r="M118" i="5"/>
  <c r="K118" i="5"/>
  <c r="X117" i="5"/>
  <c r="W117" i="5"/>
  <c r="V117" i="5"/>
  <c r="U117" i="5"/>
  <c r="T117" i="5"/>
  <c r="S117" i="5"/>
  <c r="Q117" i="5"/>
  <c r="O117" i="5"/>
  <c r="M117" i="5"/>
  <c r="K117" i="5"/>
  <c r="X116" i="5"/>
  <c r="W116" i="5"/>
  <c r="V116" i="5"/>
  <c r="U116" i="5"/>
  <c r="T116" i="5"/>
  <c r="S116" i="5"/>
  <c r="Q116" i="5"/>
  <c r="O116" i="5"/>
  <c r="M116" i="5"/>
  <c r="K116" i="5"/>
  <c r="X115" i="5"/>
  <c r="W115" i="5"/>
  <c r="V115" i="5"/>
  <c r="U115" i="5"/>
  <c r="T115" i="5"/>
  <c r="S115" i="5"/>
  <c r="Q115" i="5"/>
  <c r="O115" i="5"/>
  <c r="M115" i="5"/>
  <c r="K115" i="5"/>
  <c r="X114" i="5"/>
  <c r="W114" i="5"/>
  <c r="V114" i="5"/>
  <c r="U114" i="5"/>
  <c r="T114" i="5"/>
  <c r="S114" i="5"/>
  <c r="Q114" i="5"/>
  <c r="O114" i="5"/>
  <c r="M114" i="5"/>
  <c r="K114" i="5"/>
  <c r="X113" i="5"/>
  <c r="W113" i="5"/>
  <c r="V113" i="5"/>
  <c r="U113" i="5"/>
  <c r="T113" i="5"/>
  <c r="S113" i="5"/>
  <c r="Q113" i="5"/>
  <c r="O113" i="5"/>
  <c r="M113" i="5"/>
  <c r="K113" i="5"/>
  <c r="X112" i="5"/>
  <c r="W112" i="5"/>
  <c r="V112" i="5"/>
  <c r="U112" i="5"/>
  <c r="T112" i="5"/>
  <c r="S112" i="5"/>
  <c r="Q112" i="5"/>
  <c r="O112" i="5"/>
  <c r="M112" i="5"/>
  <c r="K112" i="5"/>
  <c r="X111" i="5"/>
  <c r="W111" i="5"/>
  <c r="V111" i="5"/>
  <c r="U111" i="5"/>
  <c r="T111" i="5"/>
  <c r="S111" i="5"/>
  <c r="Q111" i="5"/>
  <c r="O111" i="5"/>
  <c r="M111" i="5"/>
  <c r="K111" i="5"/>
  <c r="X110" i="5"/>
  <c r="W110" i="5"/>
  <c r="V110" i="5"/>
  <c r="U110" i="5"/>
  <c r="T110" i="5"/>
  <c r="S110" i="5"/>
  <c r="Q110" i="5"/>
  <c r="O110" i="5"/>
  <c r="M110" i="5"/>
  <c r="K110" i="5"/>
  <c r="X109" i="5"/>
  <c r="W109" i="5"/>
  <c r="V109" i="5"/>
  <c r="U109" i="5"/>
  <c r="T109" i="5"/>
  <c r="S109" i="5"/>
  <c r="Q109" i="5"/>
  <c r="O109" i="5"/>
  <c r="M109" i="5"/>
  <c r="K109" i="5"/>
  <c r="X108" i="5"/>
  <c r="W108" i="5"/>
  <c r="V108" i="5"/>
  <c r="U108" i="5"/>
  <c r="T108" i="5"/>
  <c r="S108" i="5"/>
  <c r="Q108" i="5"/>
  <c r="O108" i="5"/>
  <c r="M108" i="5"/>
  <c r="K108" i="5"/>
  <c r="X107" i="5"/>
  <c r="W107" i="5"/>
  <c r="V107" i="5"/>
  <c r="U107" i="5"/>
  <c r="T107" i="5"/>
  <c r="S107" i="5"/>
  <c r="Q107" i="5"/>
  <c r="O107" i="5"/>
  <c r="M107" i="5"/>
  <c r="K107" i="5"/>
  <c r="X106" i="5"/>
  <c r="W106" i="5"/>
  <c r="V106" i="5"/>
  <c r="U106" i="5"/>
  <c r="T106" i="5"/>
  <c r="S106" i="5"/>
  <c r="Q106" i="5"/>
  <c r="O106" i="5"/>
  <c r="M106" i="5"/>
  <c r="K106" i="5"/>
  <c r="X105" i="5"/>
  <c r="W105" i="5"/>
  <c r="V105" i="5"/>
  <c r="U105" i="5"/>
  <c r="T105" i="5"/>
  <c r="S105" i="5"/>
  <c r="Q105" i="5"/>
  <c r="O105" i="5"/>
  <c r="M105" i="5"/>
  <c r="K105" i="5"/>
  <c r="X104" i="5"/>
  <c r="W104" i="5"/>
  <c r="V104" i="5"/>
  <c r="U104" i="5"/>
  <c r="T104" i="5"/>
  <c r="S104" i="5"/>
  <c r="Q104" i="5"/>
  <c r="O104" i="5"/>
  <c r="M104" i="5"/>
  <c r="K104" i="5"/>
  <c r="X103" i="5"/>
  <c r="W103" i="5"/>
  <c r="V103" i="5"/>
  <c r="U103" i="5"/>
  <c r="T103" i="5"/>
  <c r="S103" i="5"/>
  <c r="Q103" i="5"/>
  <c r="O103" i="5"/>
  <c r="M103" i="5"/>
  <c r="K103" i="5"/>
  <c r="X102" i="5"/>
  <c r="W102" i="5"/>
  <c r="V102" i="5"/>
  <c r="U102" i="5"/>
  <c r="T102" i="5"/>
  <c r="S102" i="5"/>
  <c r="Q102" i="5"/>
  <c r="O102" i="5"/>
  <c r="M102" i="5"/>
  <c r="K102" i="5"/>
  <c r="X101" i="5"/>
  <c r="W101" i="5"/>
  <c r="V101" i="5"/>
  <c r="U101" i="5"/>
  <c r="T101" i="5"/>
  <c r="S101" i="5"/>
  <c r="Q101" i="5"/>
  <c r="O101" i="5"/>
  <c r="M101" i="5"/>
  <c r="K101" i="5"/>
  <c r="X100" i="5"/>
  <c r="W100" i="5"/>
  <c r="V100" i="5"/>
  <c r="U100" i="5"/>
  <c r="T100" i="5"/>
  <c r="S100" i="5"/>
  <c r="Q100" i="5"/>
  <c r="O100" i="5"/>
  <c r="M100" i="5"/>
  <c r="K100" i="5"/>
  <c r="X99" i="5"/>
  <c r="W99" i="5"/>
  <c r="V99" i="5"/>
  <c r="U99" i="5"/>
  <c r="T99" i="5"/>
  <c r="S99" i="5"/>
  <c r="Q99" i="5"/>
  <c r="O99" i="5"/>
  <c r="M99" i="5"/>
  <c r="K99" i="5"/>
  <c r="X98" i="5"/>
  <c r="W98" i="5"/>
  <c r="V98" i="5"/>
  <c r="U98" i="5"/>
  <c r="T98" i="5"/>
  <c r="S98" i="5"/>
  <c r="Q98" i="5"/>
  <c r="O98" i="5"/>
  <c r="M98" i="5"/>
  <c r="K98" i="5"/>
  <c r="X97" i="5"/>
  <c r="W97" i="5"/>
  <c r="V97" i="5"/>
  <c r="U97" i="5"/>
  <c r="T97" i="5"/>
  <c r="S97" i="5"/>
  <c r="Q97" i="5"/>
  <c r="O97" i="5"/>
  <c r="M97" i="5"/>
  <c r="K97" i="5"/>
  <c r="X96" i="5"/>
  <c r="W96" i="5"/>
  <c r="V96" i="5"/>
  <c r="U96" i="5"/>
  <c r="T96" i="5"/>
  <c r="S96" i="5"/>
  <c r="Q96" i="5"/>
  <c r="O96" i="5"/>
  <c r="M96" i="5"/>
  <c r="K96" i="5"/>
  <c r="X95" i="5"/>
  <c r="W95" i="5"/>
  <c r="V95" i="5"/>
  <c r="U95" i="5"/>
  <c r="T95" i="5"/>
  <c r="S95" i="5"/>
  <c r="Q95" i="5"/>
  <c r="O95" i="5"/>
  <c r="M95" i="5"/>
  <c r="K95" i="5"/>
  <c r="X94" i="5"/>
  <c r="W94" i="5"/>
  <c r="V94" i="5"/>
  <c r="U94" i="5"/>
  <c r="T94" i="5"/>
  <c r="S94" i="5"/>
  <c r="Q94" i="5"/>
  <c r="O94" i="5"/>
  <c r="M94" i="5"/>
  <c r="K94" i="5"/>
  <c r="X93" i="5"/>
  <c r="W93" i="5"/>
  <c r="V93" i="5"/>
  <c r="U93" i="5"/>
  <c r="T93" i="5"/>
  <c r="S93" i="5"/>
  <c r="Q93" i="5"/>
  <c r="O93" i="5"/>
  <c r="M93" i="5"/>
  <c r="K93" i="5"/>
  <c r="X92" i="5"/>
  <c r="W92" i="5"/>
  <c r="V92" i="5"/>
  <c r="U92" i="5"/>
  <c r="T92" i="5"/>
  <c r="S92" i="5"/>
  <c r="Q92" i="5"/>
  <c r="O92" i="5"/>
  <c r="M92" i="5"/>
  <c r="K92" i="5"/>
  <c r="X91" i="5"/>
  <c r="W91" i="5"/>
  <c r="V91" i="5"/>
  <c r="U91" i="5"/>
  <c r="T91" i="5"/>
  <c r="S91" i="5"/>
  <c r="Q91" i="5"/>
  <c r="O91" i="5"/>
  <c r="M91" i="5"/>
  <c r="K91" i="5"/>
  <c r="X90" i="5"/>
  <c r="W90" i="5"/>
  <c r="V90" i="5"/>
  <c r="U90" i="5"/>
  <c r="T90" i="5"/>
  <c r="S90" i="5"/>
  <c r="Q90" i="5"/>
  <c r="O90" i="5"/>
  <c r="M90" i="5"/>
  <c r="K90" i="5"/>
  <c r="X89" i="5"/>
  <c r="W89" i="5"/>
  <c r="V89" i="5"/>
  <c r="U89" i="5"/>
  <c r="T89" i="5"/>
  <c r="S89" i="5"/>
  <c r="Q89" i="5"/>
  <c r="O89" i="5"/>
  <c r="M89" i="5"/>
  <c r="K89" i="5"/>
  <c r="X88" i="5"/>
  <c r="W88" i="5"/>
  <c r="V88" i="5"/>
  <c r="U88" i="5"/>
  <c r="T88" i="5"/>
  <c r="S88" i="5"/>
  <c r="Q88" i="5"/>
  <c r="O88" i="5"/>
  <c r="M88" i="5"/>
  <c r="K88" i="5"/>
  <c r="X87" i="5"/>
  <c r="W87" i="5"/>
  <c r="V87" i="5"/>
  <c r="U87" i="5"/>
  <c r="T87" i="5"/>
  <c r="S87" i="5"/>
  <c r="Q87" i="5"/>
  <c r="O87" i="5"/>
  <c r="M87" i="5"/>
  <c r="K87" i="5"/>
  <c r="X86" i="5"/>
  <c r="W86" i="5"/>
  <c r="V86" i="5"/>
  <c r="U86" i="5"/>
  <c r="T86" i="5"/>
  <c r="S86" i="5"/>
  <c r="Q86" i="5"/>
  <c r="O86" i="5"/>
  <c r="M86" i="5"/>
  <c r="K86" i="5"/>
  <c r="X85" i="5"/>
  <c r="W85" i="5"/>
  <c r="V85" i="5"/>
  <c r="U85" i="5"/>
  <c r="T85" i="5"/>
  <c r="S85" i="5"/>
  <c r="Q85" i="5"/>
  <c r="O85" i="5"/>
  <c r="M85" i="5"/>
  <c r="K85" i="5"/>
  <c r="X84" i="5"/>
  <c r="W84" i="5"/>
  <c r="V84" i="5"/>
  <c r="U84" i="5"/>
  <c r="T84" i="5"/>
  <c r="S84" i="5"/>
  <c r="Q84" i="5"/>
  <c r="O84" i="5"/>
  <c r="M84" i="5"/>
  <c r="K84" i="5"/>
  <c r="X83" i="5"/>
  <c r="W83" i="5"/>
  <c r="V83" i="5"/>
  <c r="U83" i="5"/>
  <c r="T83" i="5"/>
  <c r="S83" i="5"/>
  <c r="Q83" i="5"/>
  <c r="O83" i="5"/>
  <c r="M83" i="5"/>
  <c r="K83" i="5"/>
  <c r="X82" i="5"/>
  <c r="W82" i="5"/>
  <c r="V82" i="5"/>
  <c r="U82" i="5"/>
  <c r="T82" i="5"/>
  <c r="S82" i="5"/>
  <c r="Q82" i="5"/>
  <c r="O82" i="5"/>
  <c r="M82" i="5"/>
  <c r="K82" i="5"/>
  <c r="X81" i="5"/>
  <c r="W81" i="5"/>
  <c r="V81" i="5"/>
  <c r="U81" i="5"/>
  <c r="T81" i="5"/>
  <c r="S81" i="5"/>
  <c r="Q81" i="5"/>
  <c r="O81" i="5"/>
  <c r="M81" i="5"/>
  <c r="K81" i="5"/>
  <c r="X80" i="5"/>
  <c r="W80" i="5"/>
  <c r="V80" i="5"/>
  <c r="U80" i="5"/>
  <c r="T80" i="5"/>
  <c r="S80" i="5"/>
  <c r="Q80" i="5"/>
  <c r="O80" i="5"/>
  <c r="M80" i="5"/>
  <c r="K80" i="5"/>
  <c r="X79" i="5"/>
  <c r="W79" i="5"/>
  <c r="V79" i="5"/>
  <c r="U79" i="5"/>
  <c r="T79" i="5"/>
  <c r="S79" i="5"/>
  <c r="Q79" i="5"/>
  <c r="O79" i="5"/>
  <c r="M79" i="5"/>
  <c r="K79" i="5"/>
  <c r="X78" i="5"/>
  <c r="W78" i="5"/>
  <c r="V78" i="5"/>
  <c r="U78" i="5"/>
  <c r="T78" i="5"/>
  <c r="S78" i="5"/>
  <c r="Q78" i="5"/>
  <c r="O78" i="5"/>
  <c r="M78" i="5"/>
  <c r="K78" i="5"/>
  <c r="X77" i="5"/>
  <c r="W77" i="5"/>
  <c r="V77" i="5"/>
  <c r="U77" i="5"/>
  <c r="T77" i="5"/>
  <c r="S77" i="5"/>
  <c r="Q77" i="5"/>
  <c r="O77" i="5"/>
  <c r="M77" i="5"/>
  <c r="K77" i="5"/>
  <c r="X76" i="5"/>
  <c r="W76" i="5"/>
  <c r="V76" i="5"/>
  <c r="U76" i="5"/>
  <c r="T76" i="5"/>
  <c r="S76" i="5"/>
  <c r="Q76" i="5"/>
  <c r="O76" i="5"/>
  <c r="M76" i="5"/>
  <c r="K76" i="5"/>
  <c r="X75" i="5"/>
  <c r="W75" i="5"/>
  <c r="V75" i="5"/>
  <c r="U75" i="5"/>
  <c r="T75" i="5"/>
  <c r="S75" i="5"/>
  <c r="Q75" i="5"/>
  <c r="O75" i="5"/>
  <c r="M75" i="5"/>
  <c r="K75" i="5"/>
  <c r="X74" i="5"/>
  <c r="W74" i="5"/>
  <c r="V74" i="5"/>
  <c r="U74" i="5"/>
  <c r="T74" i="5"/>
  <c r="S74" i="5"/>
  <c r="Q74" i="5"/>
  <c r="O74" i="5"/>
  <c r="M74" i="5"/>
  <c r="K74" i="5"/>
  <c r="X73" i="5"/>
  <c r="W73" i="5"/>
  <c r="V73" i="5"/>
  <c r="U73" i="5"/>
  <c r="T73" i="5"/>
  <c r="S73" i="5"/>
  <c r="Q73" i="5"/>
  <c r="O73" i="5"/>
  <c r="M73" i="5"/>
  <c r="K73" i="5"/>
  <c r="X72" i="5"/>
  <c r="W72" i="5"/>
  <c r="V72" i="5"/>
  <c r="U72" i="5"/>
  <c r="T72" i="5"/>
  <c r="S72" i="5"/>
  <c r="Q72" i="5"/>
  <c r="O72" i="5"/>
  <c r="M72" i="5"/>
  <c r="K72" i="5"/>
  <c r="X71" i="5"/>
  <c r="W71" i="5"/>
  <c r="V71" i="5"/>
  <c r="U71" i="5"/>
  <c r="T71" i="5"/>
  <c r="S71" i="5"/>
  <c r="Q71" i="5"/>
  <c r="O71" i="5"/>
  <c r="M71" i="5"/>
  <c r="K71" i="5"/>
  <c r="X70" i="5"/>
  <c r="W70" i="5"/>
  <c r="V70" i="5"/>
  <c r="U70" i="5"/>
  <c r="T70" i="5"/>
  <c r="S70" i="5"/>
  <c r="Q70" i="5"/>
  <c r="O70" i="5"/>
  <c r="M70" i="5"/>
  <c r="K70" i="5"/>
  <c r="X69" i="5"/>
  <c r="W69" i="5"/>
  <c r="V69" i="5"/>
  <c r="U69" i="5"/>
  <c r="T69" i="5"/>
  <c r="S69" i="5"/>
  <c r="Q69" i="5"/>
  <c r="O69" i="5"/>
  <c r="M69" i="5"/>
  <c r="K69" i="5"/>
  <c r="X68" i="5"/>
  <c r="W68" i="5"/>
  <c r="V68" i="5"/>
  <c r="U68" i="5"/>
  <c r="T68" i="5"/>
  <c r="S68" i="5"/>
  <c r="Q68" i="5"/>
  <c r="O68" i="5"/>
  <c r="M68" i="5"/>
  <c r="K68" i="5"/>
  <c r="X67" i="5"/>
  <c r="W67" i="5"/>
  <c r="V67" i="5"/>
  <c r="U67" i="5"/>
  <c r="T67" i="5"/>
  <c r="S67" i="5"/>
  <c r="Q67" i="5"/>
  <c r="O67" i="5"/>
  <c r="M67" i="5"/>
  <c r="K67" i="5"/>
  <c r="X66" i="5"/>
  <c r="W66" i="5"/>
  <c r="V66" i="5"/>
  <c r="U66" i="5"/>
  <c r="T66" i="5"/>
  <c r="S66" i="5"/>
  <c r="Q66" i="5"/>
  <c r="O66" i="5"/>
  <c r="M66" i="5"/>
  <c r="K66" i="5"/>
  <c r="X65" i="5"/>
  <c r="W65" i="5"/>
  <c r="V65" i="5"/>
  <c r="U65" i="5"/>
  <c r="T65" i="5"/>
  <c r="S65" i="5"/>
  <c r="Q65" i="5"/>
  <c r="O65" i="5"/>
  <c r="M65" i="5"/>
  <c r="K65" i="5"/>
  <c r="X64" i="5"/>
  <c r="W64" i="5"/>
  <c r="V64" i="5"/>
  <c r="U64" i="5"/>
  <c r="T64" i="5"/>
  <c r="S64" i="5"/>
  <c r="Q64" i="5"/>
  <c r="O64" i="5"/>
  <c r="M64" i="5"/>
  <c r="K64" i="5"/>
  <c r="X63" i="5"/>
  <c r="W63" i="5"/>
  <c r="V63" i="5"/>
  <c r="U63" i="5"/>
  <c r="T63" i="5"/>
  <c r="S63" i="5"/>
  <c r="Q63" i="5"/>
  <c r="O63" i="5"/>
  <c r="M63" i="5"/>
  <c r="K63" i="5"/>
  <c r="X62" i="5"/>
  <c r="W62" i="5"/>
  <c r="V62" i="5"/>
  <c r="U62" i="5"/>
  <c r="T62" i="5"/>
  <c r="S62" i="5"/>
  <c r="Q62" i="5"/>
  <c r="O62" i="5"/>
  <c r="M62" i="5"/>
  <c r="K62" i="5"/>
  <c r="X61" i="5"/>
  <c r="W61" i="5"/>
  <c r="V61" i="5"/>
  <c r="U61" i="5"/>
  <c r="T61" i="5"/>
  <c r="S61" i="5"/>
  <c r="Q61" i="5"/>
  <c r="O61" i="5"/>
  <c r="M61" i="5"/>
  <c r="K61" i="5"/>
  <c r="X60" i="5"/>
  <c r="W60" i="5"/>
  <c r="V60" i="5"/>
  <c r="U60" i="5"/>
  <c r="T60" i="5"/>
  <c r="S60" i="5"/>
  <c r="Q60" i="5"/>
  <c r="O60" i="5"/>
  <c r="M60" i="5"/>
  <c r="K60" i="5"/>
  <c r="X59" i="5"/>
  <c r="W59" i="5"/>
  <c r="V59" i="5"/>
  <c r="U59" i="5"/>
  <c r="T59" i="5"/>
  <c r="S59" i="5"/>
  <c r="Q59" i="5"/>
  <c r="O59" i="5"/>
  <c r="M59" i="5"/>
  <c r="K59" i="5"/>
  <c r="X58" i="5"/>
  <c r="W58" i="5"/>
  <c r="V58" i="5"/>
  <c r="U58" i="5"/>
  <c r="T58" i="5"/>
  <c r="S58" i="5"/>
  <c r="Q58" i="5"/>
  <c r="O58" i="5"/>
  <c r="M58" i="5"/>
  <c r="K58" i="5"/>
  <c r="X57" i="5"/>
  <c r="W57" i="5"/>
  <c r="V57" i="5"/>
  <c r="U57" i="5"/>
  <c r="T57" i="5"/>
  <c r="S57" i="5"/>
  <c r="Q57" i="5"/>
  <c r="O57" i="5"/>
  <c r="M57" i="5"/>
  <c r="K57" i="5"/>
  <c r="X56" i="5"/>
  <c r="W56" i="5"/>
  <c r="V56" i="5"/>
  <c r="U56" i="5"/>
  <c r="T56" i="5"/>
  <c r="S56" i="5"/>
  <c r="Q56" i="5"/>
  <c r="O56" i="5"/>
  <c r="M56" i="5"/>
  <c r="K56" i="5"/>
  <c r="X55" i="5"/>
  <c r="W55" i="5"/>
  <c r="V55" i="5"/>
  <c r="U55" i="5"/>
  <c r="T55" i="5"/>
  <c r="S55" i="5"/>
  <c r="Q55" i="5"/>
  <c r="O55" i="5"/>
  <c r="M55" i="5"/>
  <c r="K55" i="5"/>
  <c r="X54" i="5"/>
  <c r="W54" i="5"/>
  <c r="V54" i="5"/>
  <c r="U54" i="5"/>
  <c r="T54" i="5"/>
  <c r="S54" i="5"/>
  <c r="Q54" i="5"/>
  <c r="O54" i="5"/>
  <c r="M54" i="5"/>
  <c r="K54" i="5"/>
  <c r="X53" i="5"/>
  <c r="W53" i="5"/>
  <c r="V53" i="5"/>
  <c r="U53" i="5"/>
  <c r="T53" i="5"/>
  <c r="S53" i="5"/>
  <c r="Q53" i="5"/>
  <c r="O53" i="5"/>
  <c r="M53" i="5"/>
  <c r="K53" i="5"/>
  <c r="X52" i="5"/>
  <c r="W52" i="5"/>
  <c r="V52" i="5"/>
  <c r="U52" i="5"/>
  <c r="T52" i="5"/>
  <c r="S52" i="5"/>
  <c r="Q52" i="5"/>
  <c r="O52" i="5"/>
  <c r="M52" i="5"/>
  <c r="K52" i="5"/>
  <c r="X51" i="5"/>
  <c r="W51" i="5"/>
  <c r="V51" i="5"/>
  <c r="U51" i="5"/>
  <c r="T51" i="5"/>
  <c r="S51" i="5"/>
  <c r="Q51" i="5"/>
  <c r="O51" i="5"/>
  <c r="M51" i="5"/>
  <c r="K51" i="5"/>
  <c r="X50" i="5"/>
  <c r="W50" i="5"/>
  <c r="V50" i="5"/>
  <c r="U50" i="5"/>
  <c r="T50" i="5"/>
  <c r="S50" i="5"/>
  <c r="Q50" i="5"/>
  <c r="O50" i="5"/>
  <c r="M50" i="5"/>
  <c r="K50" i="5"/>
  <c r="X49" i="5"/>
  <c r="W49" i="5"/>
  <c r="V49" i="5"/>
  <c r="U49" i="5"/>
  <c r="T49" i="5"/>
  <c r="S49" i="5"/>
  <c r="Q49" i="5"/>
  <c r="O49" i="5"/>
  <c r="M49" i="5"/>
  <c r="K49" i="5"/>
  <c r="X48" i="5"/>
  <c r="W48" i="5"/>
  <c r="V48" i="5"/>
  <c r="U48" i="5"/>
  <c r="T48" i="5"/>
  <c r="S48" i="5"/>
  <c r="Q48" i="5"/>
  <c r="O48" i="5"/>
  <c r="M48" i="5"/>
  <c r="K48" i="5"/>
  <c r="X47" i="5"/>
  <c r="W47" i="5"/>
  <c r="V47" i="5"/>
  <c r="U47" i="5"/>
  <c r="T47" i="5"/>
  <c r="S47" i="5"/>
  <c r="Q47" i="5"/>
  <c r="O47" i="5"/>
  <c r="M47" i="5"/>
  <c r="K47" i="5"/>
  <c r="X46" i="5"/>
  <c r="W46" i="5"/>
  <c r="V46" i="5"/>
  <c r="U46" i="5"/>
  <c r="T46" i="5"/>
  <c r="S46" i="5"/>
  <c r="Q46" i="5"/>
  <c r="O46" i="5"/>
  <c r="M46" i="5"/>
  <c r="K46" i="5"/>
  <c r="X45" i="5"/>
  <c r="W45" i="5"/>
  <c r="V45" i="5"/>
  <c r="U45" i="5"/>
  <c r="T45" i="5"/>
  <c r="S45" i="5"/>
  <c r="Q45" i="5"/>
  <c r="O45" i="5"/>
  <c r="M45" i="5"/>
  <c r="K45" i="5"/>
  <c r="X44" i="5"/>
  <c r="W44" i="5"/>
  <c r="V44" i="5"/>
  <c r="U44" i="5"/>
  <c r="T44" i="5"/>
  <c r="S44" i="5"/>
  <c r="Q44" i="5"/>
  <c r="O44" i="5"/>
  <c r="M44" i="5"/>
  <c r="K44" i="5"/>
  <c r="X43" i="5"/>
  <c r="W43" i="5"/>
  <c r="V43" i="5"/>
  <c r="U43" i="5"/>
  <c r="T43" i="5"/>
  <c r="S43" i="5"/>
  <c r="Q43" i="5"/>
  <c r="O43" i="5"/>
  <c r="M43" i="5"/>
  <c r="K43" i="5"/>
  <c r="X42" i="5"/>
  <c r="W42" i="5"/>
  <c r="V42" i="5"/>
  <c r="U42" i="5"/>
  <c r="T42" i="5"/>
  <c r="S42" i="5"/>
  <c r="Q42" i="5"/>
  <c r="O42" i="5"/>
  <c r="M42" i="5"/>
  <c r="K42" i="5"/>
  <c r="X41" i="5"/>
  <c r="W41" i="5"/>
  <c r="V41" i="5"/>
  <c r="U41" i="5"/>
  <c r="T41" i="5"/>
  <c r="S41" i="5"/>
  <c r="Q41" i="5"/>
  <c r="O41" i="5"/>
  <c r="M41" i="5"/>
  <c r="K41" i="5"/>
  <c r="X40" i="5"/>
  <c r="W40" i="5"/>
  <c r="V40" i="5"/>
  <c r="U40" i="5"/>
  <c r="T40" i="5"/>
  <c r="S40" i="5"/>
  <c r="Q40" i="5"/>
  <c r="O40" i="5"/>
  <c r="M40" i="5"/>
  <c r="K40" i="5"/>
  <c r="X39" i="5"/>
  <c r="W39" i="5"/>
  <c r="V39" i="5"/>
  <c r="U39" i="5"/>
  <c r="T39" i="5"/>
  <c r="S39" i="5"/>
  <c r="Q39" i="5"/>
  <c r="O39" i="5"/>
  <c r="M39" i="5"/>
  <c r="K39" i="5"/>
  <c r="X38" i="5"/>
  <c r="W38" i="5"/>
  <c r="V38" i="5"/>
  <c r="U38" i="5"/>
  <c r="T38" i="5"/>
  <c r="S38" i="5"/>
  <c r="Q38" i="5"/>
  <c r="O38" i="5"/>
  <c r="M38" i="5"/>
  <c r="K38" i="5"/>
  <c r="X37" i="5"/>
  <c r="W37" i="5"/>
  <c r="V37" i="5"/>
  <c r="U37" i="5"/>
  <c r="T37" i="5"/>
  <c r="S37" i="5"/>
  <c r="Q37" i="5"/>
  <c r="O37" i="5"/>
  <c r="M37" i="5"/>
  <c r="K37" i="5"/>
  <c r="X36" i="5"/>
  <c r="W36" i="5"/>
  <c r="V36" i="5"/>
  <c r="U36" i="5"/>
  <c r="T36" i="5"/>
  <c r="S36" i="5"/>
  <c r="Q36" i="5"/>
  <c r="O36" i="5"/>
  <c r="M36" i="5"/>
  <c r="K36" i="5"/>
  <c r="X35" i="5"/>
  <c r="W35" i="5"/>
  <c r="V35" i="5"/>
  <c r="U35" i="5"/>
  <c r="T35" i="5"/>
  <c r="S35" i="5"/>
  <c r="Q35" i="5"/>
  <c r="O35" i="5"/>
  <c r="M35" i="5"/>
  <c r="K35" i="5"/>
  <c r="X34" i="5"/>
  <c r="W34" i="5"/>
  <c r="V34" i="5"/>
  <c r="U34" i="5"/>
  <c r="T34" i="5"/>
  <c r="S34" i="5"/>
  <c r="Q34" i="5"/>
  <c r="O34" i="5"/>
  <c r="M34" i="5"/>
  <c r="K34" i="5"/>
  <c r="X33" i="5"/>
  <c r="W33" i="5"/>
  <c r="V33" i="5"/>
  <c r="U33" i="5"/>
  <c r="T33" i="5"/>
  <c r="S33" i="5"/>
  <c r="Q33" i="5"/>
  <c r="O33" i="5"/>
  <c r="M33" i="5"/>
  <c r="K33" i="5"/>
  <c r="X32" i="5"/>
  <c r="W32" i="5"/>
  <c r="V32" i="5"/>
  <c r="U32" i="5"/>
  <c r="T32" i="5"/>
  <c r="S32" i="5"/>
  <c r="Q32" i="5"/>
  <c r="O32" i="5"/>
  <c r="M32" i="5"/>
  <c r="K32" i="5"/>
  <c r="X31" i="5"/>
  <c r="W31" i="5"/>
  <c r="V31" i="5"/>
  <c r="U31" i="5"/>
  <c r="T31" i="5"/>
  <c r="S31" i="5"/>
  <c r="Q31" i="5"/>
  <c r="O31" i="5"/>
  <c r="M31" i="5"/>
  <c r="K31" i="5"/>
  <c r="X30" i="5"/>
  <c r="W30" i="5"/>
  <c r="V30" i="5"/>
  <c r="U30" i="5"/>
  <c r="T30" i="5"/>
  <c r="S30" i="5"/>
  <c r="Q30" i="5"/>
  <c r="O30" i="5"/>
  <c r="M30" i="5"/>
  <c r="K30" i="5"/>
  <c r="X29" i="5"/>
  <c r="W29" i="5"/>
  <c r="V29" i="5"/>
  <c r="U29" i="5"/>
  <c r="T29" i="5"/>
  <c r="S29" i="5"/>
  <c r="Q29" i="5"/>
  <c r="O29" i="5"/>
  <c r="M29" i="5"/>
  <c r="K29" i="5"/>
  <c r="X28" i="5"/>
  <c r="W28" i="5"/>
  <c r="V28" i="5"/>
  <c r="U28" i="5"/>
  <c r="T28" i="5"/>
  <c r="S28" i="5"/>
  <c r="Q28" i="5"/>
  <c r="O28" i="5"/>
  <c r="M28" i="5"/>
  <c r="K28" i="5"/>
  <c r="X27" i="5"/>
  <c r="W27" i="5"/>
  <c r="V27" i="5"/>
  <c r="U27" i="5"/>
  <c r="T27" i="5"/>
  <c r="S27" i="5"/>
  <c r="Q27" i="5"/>
  <c r="O27" i="5"/>
  <c r="M27" i="5"/>
  <c r="K27" i="5"/>
  <c r="X26" i="5"/>
  <c r="W26" i="5"/>
  <c r="V26" i="5"/>
  <c r="U26" i="5"/>
  <c r="T26" i="5"/>
  <c r="S26" i="5"/>
  <c r="Q26" i="5"/>
  <c r="O26" i="5"/>
  <c r="M26" i="5"/>
  <c r="K26" i="5"/>
  <c r="X25" i="5"/>
  <c r="W25" i="5"/>
  <c r="V25" i="5"/>
  <c r="U25" i="5"/>
  <c r="T25" i="5"/>
  <c r="S25" i="5"/>
  <c r="Q25" i="5"/>
  <c r="O25" i="5"/>
  <c r="M25" i="5"/>
  <c r="K25" i="5"/>
  <c r="X24" i="5"/>
  <c r="W24" i="5"/>
  <c r="V24" i="5"/>
  <c r="U24" i="5"/>
  <c r="T24" i="5"/>
  <c r="S24" i="5"/>
  <c r="Q24" i="5"/>
  <c r="O24" i="5"/>
  <c r="M24" i="5"/>
  <c r="K24" i="5"/>
  <c r="X23" i="5"/>
  <c r="W23" i="5"/>
  <c r="V23" i="5"/>
  <c r="U23" i="5"/>
  <c r="T23" i="5"/>
  <c r="S23" i="5"/>
  <c r="Q23" i="5"/>
  <c r="O23" i="5"/>
  <c r="M23" i="5"/>
  <c r="K23" i="5"/>
  <c r="X22" i="5"/>
  <c r="W22" i="5"/>
  <c r="V22" i="5"/>
  <c r="U22" i="5"/>
  <c r="T22" i="5"/>
  <c r="S22" i="5"/>
  <c r="Q22" i="5"/>
  <c r="O22" i="5"/>
  <c r="M22" i="5"/>
  <c r="K22" i="5"/>
  <c r="X21" i="5"/>
  <c r="W21" i="5"/>
  <c r="V21" i="5"/>
  <c r="U21" i="5"/>
  <c r="T21" i="5"/>
  <c r="S21" i="5"/>
  <c r="Q21" i="5"/>
  <c r="O21" i="5"/>
  <c r="M21" i="5"/>
  <c r="K21" i="5"/>
  <c r="X20" i="5"/>
  <c r="W20" i="5"/>
  <c r="V20" i="5"/>
  <c r="U20" i="5"/>
  <c r="T20" i="5"/>
  <c r="S20" i="5"/>
  <c r="Q20" i="5"/>
  <c r="O20" i="5"/>
  <c r="M20" i="5"/>
  <c r="K20" i="5"/>
  <c r="X19" i="5"/>
  <c r="W19" i="5"/>
  <c r="V19" i="5"/>
  <c r="U19" i="5"/>
  <c r="T19" i="5"/>
  <c r="S19" i="5"/>
  <c r="Q19" i="5"/>
  <c r="O19" i="5"/>
  <c r="M19" i="5"/>
  <c r="K19" i="5"/>
  <c r="X18" i="5"/>
  <c r="W18" i="5"/>
  <c r="V18" i="5"/>
  <c r="U18" i="5"/>
  <c r="T18" i="5"/>
  <c r="S18" i="5"/>
  <c r="Q18" i="5"/>
  <c r="O18" i="5"/>
  <c r="M18" i="5"/>
  <c r="K18" i="5"/>
  <c r="X17" i="5"/>
  <c r="W17" i="5"/>
  <c r="V17" i="5"/>
  <c r="U17" i="5"/>
  <c r="T17" i="5"/>
  <c r="S17" i="5"/>
  <c r="Q17" i="5"/>
  <c r="O17" i="5"/>
  <c r="M17" i="5"/>
  <c r="K17" i="5"/>
  <c r="X16" i="5"/>
  <c r="W16" i="5"/>
  <c r="V16" i="5"/>
  <c r="U16" i="5"/>
  <c r="T16" i="5"/>
  <c r="S16" i="5"/>
  <c r="Q16" i="5"/>
  <c r="O16" i="5"/>
  <c r="M16" i="5"/>
  <c r="K16" i="5"/>
  <c r="X15" i="5"/>
  <c r="W15" i="5"/>
  <c r="V15" i="5"/>
  <c r="U15" i="5"/>
  <c r="T15" i="5"/>
  <c r="S15" i="5"/>
  <c r="Q15" i="5"/>
  <c r="O15" i="5"/>
  <c r="M15" i="5"/>
  <c r="K15" i="5"/>
  <c r="X14" i="5"/>
  <c r="W14" i="5"/>
  <c r="V14" i="5"/>
  <c r="U14" i="5"/>
  <c r="T14" i="5"/>
  <c r="S14" i="5"/>
  <c r="Q14" i="5"/>
  <c r="O14" i="5"/>
  <c r="M14" i="5"/>
  <c r="K14" i="5"/>
  <c r="X13" i="5"/>
  <c r="W13" i="5"/>
  <c r="V13" i="5"/>
  <c r="U13" i="5"/>
  <c r="T13" i="5"/>
  <c r="S13" i="5"/>
  <c r="Q13" i="5"/>
  <c r="O13" i="5"/>
  <c r="M13" i="5"/>
  <c r="K13" i="5"/>
  <c r="X12" i="5"/>
  <c r="W12" i="5"/>
  <c r="V12" i="5"/>
  <c r="U12" i="5"/>
  <c r="T12" i="5"/>
  <c r="S12" i="5"/>
  <c r="Q12" i="5"/>
  <c r="O12" i="5"/>
  <c r="M12" i="5"/>
  <c r="K12" i="5"/>
  <c r="X11" i="5"/>
  <c r="W11" i="5"/>
  <c r="V11" i="5"/>
  <c r="U11" i="5"/>
  <c r="T11" i="5"/>
  <c r="S11" i="5"/>
  <c r="Q11" i="5"/>
  <c r="O11" i="5"/>
  <c r="M11" i="5"/>
  <c r="K11" i="5"/>
  <c r="X10" i="5"/>
  <c r="W10" i="5"/>
  <c r="V10" i="5"/>
  <c r="U10" i="5"/>
  <c r="T10" i="5"/>
  <c r="S10" i="5"/>
  <c r="Q10" i="5"/>
  <c r="O10" i="5"/>
  <c r="M10" i="5"/>
  <c r="K10" i="5"/>
  <c r="X9" i="5"/>
  <c r="W9" i="5"/>
  <c r="V9" i="5"/>
  <c r="U9" i="5"/>
  <c r="T9" i="5"/>
  <c r="S9" i="5"/>
  <c r="Q9" i="5"/>
  <c r="O9" i="5"/>
  <c r="M9" i="5"/>
  <c r="K9" i="5"/>
  <c r="X8" i="5"/>
  <c r="W8" i="5"/>
  <c r="V8" i="5"/>
  <c r="U8" i="5"/>
  <c r="T8" i="5"/>
  <c r="S8" i="5"/>
  <c r="Q8" i="5"/>
  <c r="O8" i="5"/>
  <c r="M8" i="5"/>
  <c r="K8" i="5"/>
  <c r="X7" i="5"/>
  <c r="W7" i="5"/>
  <c r="V7" i="5"/>
  <c r="U7" i="5"/>
  <c r="T7" i="5"/>
  <c r="S7" i="5"/>
  <c r="Q7" i="5"/>
  <c r="O7" i="5"/>
  <c r="M7" i="5"/>
  <c r="K7" i="5"/>
  <c r="X193" i="4" l="1"/>
  <c r="W193" i="4"/>
  <c r="V193" i="4"/>
  <c r="U193" i="4"/>
  <c r="T193" i="4"/>
  <c r="S193" i="4"/>
  <c r="Q193" i="4"/>
  <c r="O193" i="4"/>
  <c r="M193" i="4"/>
  <c r="K193" i="4"/>
  <c r="X192" i="4"/>
  <c r="W192" i="4"/>
  <c r="V192" i="4"/>
  <c r="U192" i="4"/>
  <c r="T192" i="4"/>
  <c r="S192" i="4"/>
  <c r="Q192" i="4"/>
  <c r="O192" i="4"/>
  <c r="M192" i="4"/>
  <c r="K192" i="4"/>
  <c r="X191" i="4"/>
  <c r="W191" i="4"/>
  <c r="V191" i="4"/>
  <c r="U191" i="4"/>
  <c r="T191" i="4"/>
  <c r="S191" i="4"/>
  <c r="Q191" i="4"/>
  <c r="O191" i="4"/>
  <c r="M191" i="4"/>
  <c r="K191" i="4"/>
  <c r="X190" i="4"/>
  <c r="W190" i="4"/>
  <c r="V190" i="4"/>
  <c r="U190" i="4"/>
  <c r="T190" i="4"/>
  <c r="S190" i="4"/>
  <c r="Q190" i="4"/>
  <c r="O190" i="4"/>
  <c r="M190" i="4"/>
  <c r="K190" i="4"/>
  <c r="X189" i="4"/>
  <c r="W189" i="4"/>
  <c r="V189" i="4"/>
  <c r="U189" i="4"/>
  <c r="T189" i="4"/>
  <c r="S189" i="4"/>
  <c r="Q189" i="4"/>
  <c r="O189" i="4"/>
  <c r="M189" i="4"/>
  <c r="K189" i="4"/>
  <c r="X188" i="4"/>
  <c r="W188" i="4"/>
  <c r="V188" i="4"/>
  <c r="U188" i="4"/>
  <c r="T188" i="4"/>
  <c r="S188" i="4"/>
  <c r="Q188" i="4"/>
  <c r="O188" i="4"/>
  <c r="M188" i="4"/>
  <c r="K188" i="4"/>
  <c r="X187" i="4"/>
  <c r="W187" i="4"/>
  <c r="V187" i="4"/>
  <c r="U187" i="4"/>
  <c r="T187" i="4"/>
  <c r="S187" i="4"/>
  <c r="Q187" i="4"/>
  <c r="O187" i="4"/>
  <c r="M187" i="4"/>
  <c r="K187" i="4"/>
  <c r="X186" i="4"/>
  <c r="W186" i="4"/>
  <c r="V186" i="4"/>
  <c r="U186" i="4"/>
  <c r="T186" i="4"/>
  <c r="S186" i="4"/>
  <c r="Q186" i="4"/>
  <c r="O186" i="4"/>
  <c r="M186" i="4"/>
  <c r="K186" i="4"/>
  <c r="X185" i="4"/>
  <c r="W185" i="4"/>
  <c r="V185" i="4"/>
  <c r="U185" i="4"/>
  <c r="T185" i="4"/>
  <c r="S185" i="4"/>
  <c r="Q185" i="4"/>
  <c r="O185" i="4"/>
  <c r="M185" i="4"/>
  <c r="K185" i="4"/>
  <c r="X184" i="4"/>
  <c r="W184" i="4"/>
  <c r="V184" i="4"/>
  <c r="U184" i="4"/>
  <c r="T184" i="4"/>
  <c r="S184" i="4"/>
  <c r="Q184" i="4"/>
  <c r="O184" i="4"/>
  <c r="M184" i="4"/>
  <c r="K184" i="4"/>
  <c r="X183" i="4"/>
  <c r="W183" i="4"/>
  <c r="V183" i="4"/>
  <c r="U183" i="4"/>
  <c r="T183" i="4"/>
  <c r="S183" i="4"/>
  <c r="Q183" i="4"/>
  <c r="O183" i="4"/>
  <c r="M183" i="4"/>
  <c r="K183" i="4"/>
  <c r="X182" i="4"/>
  <c r="W182" i="4"/>
  <c r="V182" i="4"/>
  <c r="U182" i="4"/>
  <c r="T182" i="4"/>
  <c r="S182" i="4"/>
  <c r="Q182" i="4"/>
  <c r="O182" i="4"/>
  <c r="M182" i="4"/>
  <c r="K182" i="4"/>
  <c r="X181" i="4"/>
  <c r="W181" i="4"/>
  <c r="V181" i="4"/>
  <c r="U181" i="4"/>
  <c r="T181" i="4"/>
  <c r="S181" i="4"/>
  <c r="Q181" i="4"/>
  <c r="O181" i="4"/>
  <c r="M181" i="4"/>
  <c r="K181" i="4"/>
  <c r="X180" i="4"/>
  <c r="W180" i="4"/>
  <c r="V180" i="4"/>
  <c r="U180" i="4"/>
  <c r="T180" i="4"/>
  <c r="S180" i="4"/>
  <c r="Q180" i="4"/>
  <c r="O180" i="4"/>
  <c r="M180" i="4"/>
  <c r="K180" i="4"/>
  <c r="X172" i="4"/>
  <c r="W172" i="4"/>
  <c r="V172" i="4"/>
  <c r="U172" i="4"/>
  <c r="T172" i="4"/>
  <c r="S172" i="4"/>
  <c r="Q172" i="4"/>
  <c r="O172" i="4"/>
  <c r="M172" i="4"/>
  <c r="K172" i="4"/>
  <c r="X171" i="4"/>
  <c r="W171" i="4"/>
  <c r="V171" i="4"/>
  <c r="U171" i="4"/>
  <c r="T171" i="4"/>
  <c r="S171" i="4"/>
  <c r="Q171" i="4"/>
  <c r="O171" i="4"/>
  <c r="M171" i="4"/>
  <c r="K171" i="4"/>
  <c r="X170" i="4"/>
  <c r="W170" i="4"/>
  <c r="V170" i="4"/>
  <c r="U170" i="4"/>
  <c r="T170" i="4"/>
  <c r="S170" i="4"/>
  <c r="Q170" i="4"/>
  <c r="O170" i="4"/>
  <c r="M170" i="4"/>
  <c r="K170" i="4"/>
  <c r="X169" i="4"/>
  <c r="W169" i="4"/>
  <c r="V169" i="4"/>
  <c r="U169" i="4"/>
  <c r="T169" i="4"/>
  <c r="S169" i="4"/>
  <c r="Q169" i="4"/>
  <c r="O169" i="4"/>
  <c r="M169" i="4"/>
  <c r="K169" i="4"/>
  <c r="X168" i="4"/>
  <c r="W168" i="4"/>
  <c r="V168" i="4"/>
  <c r="U168" i="4"/>
  <c r="T168" i="4"/>
  <c r="S168" i="4"/>
  <c r="Q168" i="4"/>
  <c r="O168" i="4"/>
  <c r="M168" i="4"/>
  <c r="K168" i="4"/>
  <c r="X248" i="4" l="1"/>
  <c r="W248" i="4"/>
  <c r="V248" i="4"/>
  <c r="U248" i="4"/>
  <c r="T248" i="4"/>
  <c r="S248" i="4"/>
  <c r="Q248" i="4"/>
  <c r="O248" i="4"/>
  <c r="M248" i="4"/>
  <c r="K248" i="4"/>
  <c r="X247" i="4"/>
  <c r="W247" i="4"/>
  <c r="V247" i="4"/>
  <c r="U247" i="4"/>
  <c r="T247" i="4"/>
  <c r="S247" i="4"/>
  <c r="Q247" i="4"/>
  <c r="O247" i="4"/>
  <c r="M247" i="4"/>
  <c r="K247" i="4"/>
  <c r="X246" i="4"/>
  <c r="W246" i="4"/>
  <c r="V246" i="4"/>
  <c r="U246" i="4"/>
  <c r="T246" i="4"/>
  <c r="S246" i="4"/>
  <c r="Q246" i="4"/>
  <c r="O246" i="4"/>
  <c r="M246" i="4"/>
  <c r="K246" i="4"/>
  <c r="X245" i="4"/>
  <c r="W245" i="4"/>
  <c r="V245" i="4"/>
  <c r="U245" i="4"/>
  <c r="T245" i="4"/>
  <c r="S245" i="4"/>
  <c r="Q245" i="4"/>
  <c r="O245" i="4"/>
  <c r="M245" i="4"/>
  <c r="K245" i="4"/>
  <c r="X244" i="4"/>
  <c r="W244" i="4"/>
  <c r="V244" i="4"/>
  <c r="U244" i="4"/>
  <c r="T244" i="4"/>
  <c r="S244" i="4"/>
  <c r="Q244" i="4"/>
  <c r="O244" i="4"/>
  <c r="M244" i="4"/>
  <c r="K244" i="4"/>
  <c r="X243" i="4"/>
  <c r="W243" i="4"/>
  <c r="V243" i="4"/>
  <c r="U243" i="4"/>
  <c r="T243" i="4"/>
  <c r="S243" i="4"/>
  <c r="Q243" i="4"/>
  <c r="O243" i="4"/>
  <c r="M243" i="4"/>
  <c r="K243" i="4"/>
  <c r="X242" i="4"/>
  <c r="W242" i="4"/>
  <c r="V242" i="4"/>
  <c r="U242" i="4"/>
  <c r="T242" i="4"/>
  <c r="S242" i="4"/>
  <c r="Q242" i="4"/>
  <c r="O242" i="4"/>
  <c r="M242" i="4"/>
  <c r="K242" i="4"/>
  <c r="X241" i="4"/>
  <c r="W241" i="4"/>
  <c r="V241" i="4"/>
  <c r="U241" i="4"/>
  <c r="T241" i="4"/>
  <c r="S241" i="4"/>
  <c r="Q241" i="4"/>
  <c r="O241" i="4"/>
  <c r="M241" i="4"/>
  <c r="K241" i="4"/>
  <c r="X240" i="4"/>
  <c r="W240" i="4"/>
  <c r="V240" i="4"/>
  <c r="U240" i="4"/>
  <c r="T240" i="4"/>
  <c r="S240" i="4"/>
  <c r="Q240" i="4"/>
  <c r="O240" i="4"/>
  <c r="M240" i="4"/>
  <c r="K240" i="4"/>
  <c r="X239" i="4"/>
  <c r="W239" i="4"/>
  <c r="V239" i="4"/>
  <c r="U239" i="4"/>
  <c r="T239" i="4"/>
  <c r="S239" i="4"/>
  <c r="Q239" i="4"/>
  <c r="O239" i="4"/>
  <c r="M239" i="4"/>
  <c r="K239" i="4"/>
  <c r="X238" i="4"/>
  <c r="W238" i="4"/>
  <c r="V238" i="4"/>
  <c r="U238" i="4"/>
  <c r="T238" i="4"/>
  <c r="S238" i="4"/>
  <c r="Q238" i="4"/>
  <c r="O238" i="4"/>
  <c r="M238" i="4"/>
  <c r="K238" i="4"/>
  <c r="X237" i="4"/>
  <c r="W237" i="4"/>
  <c r="V237" i="4"/>
  <c r="U237" i="4"/>
  <c r="T237" i="4"/>
  <c r="S237" i="4"/>
  <c r="Q237" i="4"/>
  <c r="O237" i="4"/>
  <c r="M237" i="4"/>
  <c r="K237" i="4"/>
  <c r="X236" i="4"/>
  <c r="W236" i="4"/>
  <c r="V236" i="4"/>
  <c r="U236" i="4"/>
  <c r="T236" i="4"/>
  <c r="S236" i="4"/>
  <c r="Q236" i="4"/>
  <c r="O236" i="4"/>
  <c r="M236" i="4"/>
  <c r="K236" i="4"/>
  <c r="X235" i="4"/>
  <c r="W235" i="4"/>
  <c r="V235" i="4"/>
  <c r="U235" i="4"/>
  <c r="T235" i="4"/>
  <c r="S235" i="4"/>
  <c r="Q235" i="4"/>
  <c r="O235" i="4"/>
  <c r="M235" i="4"/>
  <c r="K235" i="4"/>
  <c r="X234" i="4"/>
  <c r="W234" i="4"/>
  <c r="V234" i="4"/>
  <c r="U234" i="4"/>
  <c r="T234" i="4"/>
  <c r="S234" i="4"/>
  <c r="Q234" i="4"/>
  <c r="O234" i="4"/>
  <c r="M234" i="4"/>
  <c r="K234" i="4"/>
  <c r="X233" i="4"/>
  <c r="W233" i="4"/>
  <c r="V233" i="4"/>
  <c r="U233" i="4"/>
  <c r="T233" i="4"/>
  <c r="S233" i="4"/>
  <c r="Q233" i="4"/>
  <c r="O233" i="4"/>
  <c r="M233" i="4"/>
  <c r="K233" i="4"/>
  <c r="X232" i="4"/>
  <c r="W232" i="4"/>
  <c r="V232" i="4"/>
  <c r="U232" i="4"/>
  <c r="T232" i="4"/>
  <c r="S232" i="4"/>
  <c r="Q232" i="4"/>
  <c r="O232" i="4"/>
  <c r="M232" i="4"/>
  <c r="K232" i="4"/>
  <c r="X231" i="4"/>
  <c r="W231" i="4"/>
  <c r="V231" i="4"/>
  <c r="U231" i="4"/>
  <c r="T231" i="4"/>
  <c r="S231" i="4"/>
  <c r="Q231" i="4"/>
  <c r="O231" i="4"/>
  <c r="M231" i="4"/>
  <c r="K231" i="4"/>
  <c r="X230" i="4"/>
  <c r="W230" i="4"/>
  <c r="V230" i="4"/>
  <c r="U230" i="4"/>
  <c r="T230" i="4"/>
  <c r="S230" i="4"/>
  <c r="Q230" i="4"/>
  <c r="O230" i="4"/>
  <c r="M230" i="4"/>
  <c r="K230" i="4"/>
  <c r="X229" i="4"/>
  <c r="W229" i="4"/>
  <c r="V229" i="4"/>
  <c r="U229" i="4"/>
  <c r="T229" i="4"/>
  <c r="S229" i="4"/>
  <c r="Q229" i="4"/>
  <c r="O229" i="4"/>
  <c r="M229" i="4"/>
  <c r="K229" i="4"/>
  <c r="X228" i="4"/>
  <c r="W228" i="4"/>
  <c r="V228" i="4"/>
  <c r="U228" i="4"/>
  <c r="T228" i="4"/>
  <c r="S228" i="4"/>
  <c r="Q228" i="4"/>
  <c r="O228" i="4"/>
  <c r="M228" i="4"/>
  <c r="K228" i="4"/>
  <c r="X227" i="4"/>
  <c r="W227" i="4"/>
  <c r="V227" i="4"/>
  <c r="U227" i="4"/>
  <c r="T227" i="4"/>
  <c r="S227" i="4"/>
  <c r="Q227" i="4"/>
  <c r="O227" i="4"/>
  <c r="M227" i="4"/>
  <c r="K227" i="4"/>
  <c r="X226" i="4"/>
  <c r="W226" i="4"/>
  <c r="V226" i="4"/>
  <c r="U226" i="4"/>
  <c r="T226" i="4"/>
  <c r="S226" i="4"/>
  <c r="Q226" i="4"/>
  <c r="O226" i="4"/>
  <c r="M226" i="4"/>
  <c r="K226" i="4"/>
  <c r="X225" i="4"/>
  <c r="W225" i="4"/>
  <c r="V225" i="4"/>
  <c r="U225" i="4"/>
  <c r="T225" i="4"/>
  <c r="S225" i="4"/>
  <c r="Q225" i="4"/>
  <c r="O225" i="4"/>
  <c r="M225" i="4"/>
  <c r="K225" i="4"/>
  <c r="X224" i="4"/>
  <c r="W224" i="4"/>
  <c r="V224" i="4"/>
  <c r="U224" i="4"/>
  <c r="T224" i="4"/>
  <c r="S224" i="4"/>
  <c r="Q224" i="4"/>
  <c r="O224" i="4"/>
  <c r="M224" i="4"/>
  <c r="K224" i="4"/>
  <c r="X223" i="4"/>
  <c r="W223" i="4"/>
  <c r="V223" i="4"/>
  <c r="U223" i="4"/>
  <c r="T223" i="4"/>
  <c r="S223" i="4"/>
  <c r="Q223" i="4"/>
  <c r="O223" i="4"/>
  <c r="M223" i="4"/>
  <c r="K223" i="4"/>
  <c r="X222" i="4"/>
  <c r="W222" i="4"/>
  <c r="V222" i="4"/>
  <c r="U222" i="4"/>
  <c r="T222" i="4"/>
  <c r="S222" i="4"/>
  <c r="Q222" i="4"/>
  <c r="O222" i="4"/>
  <c r="M222" i="4"/>
  <c r="K222" i="4"/>
  <c r="X221" i="4"/>
  <c r="W221" i="4"/>
  <c r="V221" i="4"/>
  <c r="U221" i="4"/>
  <c r="T221" i="4"/>
  <c r="S221" i="4"/>
  <c r="Q221" i="4"/>
  <c r="O221" i="4"/>
  <c r="M221" i="4"/>
  <c r="K221" i="4"/>
  <c r="X220" i="4"/>
  <c r="W220" i="4"/>
  <c r="V220" i="4"/>
  <c r="U220" i="4"/>
  <c r="T220" i="4"/>
  <c r="S220" i="4"/>
  <c r="Q220" i="4"/>
  <c r="O220" i="4"/>
  <c r="M220" i="4"/>
  <c r="K220" i="4"/>
  <c r="X219" i="4"/>
  <c r="W219" i="4"/>
  <c r="V219" i="4"/>
  <c r="U219" i="4"/>
  <c r="T219" i="4"/>
  <c r="S219" i="4"/>
  <c r="Q219" i="4"/>
  <c r="O219" i="4"/>
  <c r="M219" i="4"/>
  <c r="K219" i="4"/>
  <c r="X218" i="4"/>
  <c r="W218" i="4"/>
  <c r="V218" i="4"/>
  <c r="U218" i="4"/>
  <c r="T218" i="4"/>
  <c r="S218" i="4"/>
  <c r="Q218" i="4"/>
  <c r="O218" i="4"/>
  <c r="M218" i="4"/>
  <c r="K218" i="4"/>
  <c r="X217" i="4"/>
  <c r="W217" i="4"/>
  <c r="V217" i="4"/>
  <c r="U217" i="4"/>
  <c r="T217" i="4"/>
  <c r="S217" i="4"/>
  <c r="Q217" i="4"/>
  <c r="O217" i="4"/>
  <c r="M217" i="4"/>
  <c r="K217" i="4"/>
  <c r="X216" i="4"/>
  <c r="W216" i="4"/>
  <c r="V216" i="4"/>
  <c r="U216" i="4"/>
  <c r="T216" i="4"/>
  <c r="S216" i="4"/>
  <c r="Q216" i="4"/>
  <c r="O216" i="4"/>
  <c r="M216" i="4"/>
  <c r="K216" i="4"/>
  <c r="X215" i="4"/>
  <c r="W215" i="4"/>
  <c r="V215" i="4"/>
  <c r="U215" i="4"/>
  <c r="T215" i="4"/>
  <c r="S215" i="4"/>
  <c r="Q215" i="4"/>
  <c r="O215" i="4"/>
  <c r="M215" i="4"/>
  <c r="K215" i="4"/>
  <c r="X214" i="4"/>
  <c r="W214" i="4"/>
  <c r="V214" i="4"/>
  <c r="U214" i="4"/>
  <c r="T214" i="4"/>
  <c r="S214" i="4"/>
  <c r="Q214" i="4"/>
  <c r="O214" i="4"/>
  <c r="M214" i="4"/>
  <c r="K214" i="4"/>
  <c r="X213" i="4"/>
  <c r="W213" i="4"/>
  <c r="V213" i="4"/>
  <c r="U213" i="4"/>
  <c r="T213" i="4"/>
  <c r="S213" i="4"/>
  <c r="Q213" i="4"/>
  <c r="O213" i="4"/>
  <c r="M213" i="4"/>
  <c r="K213" i="4"/>
  <c r="X212" i="4"/>
  <c r="W212" i="4"/>
  <c r="V212" i="4"/>
  <c r="U212" i="4"/>
  <c r="T212" i="4"/>
  <c r="S212" i="4"/>
  <c r="Q212" i="4"/>
  <c r="O212" i="4"/>
  <c r="M212" i="4"/>
  <c r="K212" i="4"/>
  <c r="X211" i="4"/>
  <c r="W211" i="4"/>
  <c r="V211" i="4"/>
  <c r="U211" i="4"/>
  <c r="T211" i="4"/>
  <c r="S211" i="4"/>
  <c r="Q211" i="4"/>
  <c r="O211" i="4"/>
  <c r="M211" i="4"/>
  <c r="K211" i="4"/>
  <c r="X210" i="4"/>
  <c r="W210" i="4"/>
  <c r="V210" i="4"/>
  <c r="U210" i="4"/>
  <c r="T210" i="4"/>
  <c r="S210" i="4"/>
  <c r="Q210" i="4"/>
  <c r="O210" i="4"/>
  <c r="M210" i="4"/>
  <c r="K210" i="4"/>
  <c r="X209" i="4"/>
  <c r="W209" i="4"/>
  <c r="V209" i="4"/>
  <c r="U209" i="4"/>
  <c r="T209" i="4"/>
  <c r="S209" i="4"/>
  <c r="Q209" i="4"/>
  <c r="O209" i="4"/>
  <c r="M209" i="4"/>
  <c r="K209" i="4"/>
  <c r="X208" i="4"/>
  <c r="W208" i="4"/>
  <c r="V208" i="4"/>
  <c r="U208" i="4"/>
  <c r="T208" i="4"/>
  <c r="S208" i="4"/>
  <c r="Q208" i="4"/>
  <c r="O208" i="4"/>
  <c r="M208" i="4"/>
  <c r="K208" i="4"/>
  <c r="X207" i="4"/>
  <c r="W207" i="4"/>
  <c r="V207" i="4"/>
  <c r="U207" i="4"/>
  <c r="T207" i="4"/>
  <c r="S207" i="4"/>
  <c r="Q207" i="4"/>
  <c r="O207" i="4"/>
  <c r="M207" i="4"/>
  <c r="K207" i="4"/>
  <c r="X206" i="4"/>
  <c r="W206" i="4"/>
  <c r="V206" i="4"/>
  <c r="U206" i="4"/>
  <c r="T206" i="4"/>
  <c r="S206" i="4"/>
  <c r="Q206" i="4"/>
  <c r="O206" i="4"/>
  <c r="M206" i="4"/>
  <c r="K206" i="4"/>
  <c r="X205" i="4"/>
  <c r="W205" i="4"/>
  <c r="V205" i="4"/>
  <c r="U205" i="4"/>
  <c r="T205" i="4"/>
  <c r="S205" i="4"/>
  <c r="Q205" i="4"/>
  <c r="O205" i="4"/>
  <c r="M205" i="4"/>
  <c r="K205" i="4"/>
  <c r="X204" i="4"/>
  <c r="W204" i="4"/>
  <c r="V204" i="4"/>
  <c r="U204" i="4"/>
  <c r="T204" i="4"/>
  <c r="S204" i="4"/>
  <c r="Q204" i="4"/>
  <c r="O204" i="4"/>
  <c r="M204" i="4"/>
  <c r="K204" i="4"/>
  <c r="X203" i="4"/>
  <c r="W203" i="4"/>
  <c r="V203" i="4"/>
  <c r="U203" i="4"/>
  <c r="T203" i="4"/>
  <c r="S203" i="4"/>
  <c r="Q203" i="4"/>
  <c r="O203" i="4"/>
  <c r="M203" i="4"/>
  <c r="K203" i="4"/>
  <c r="X202" i="4"/>
  <c r="W202" i="4"/>
  <c r="V202" i="4"/>
  <c r="U202" i="4"/>
  <c r="T202" i="4"/>
  <c r="S202" i="4"/>
  <c r="Q202" i="4"/>
  <c r="O202" i="4"/>
  <c r="M202" i="4"/>
  <c r="K202" i="4"/>
  <c r="X201" i="4"/>
  <c r="W201" i="4"/>
  <c r="V201" i="4"/>
  <c r="U201" i="4"/>
  <c r="T201" i="4"/>
  <c r="S201" i="4"/>
  <c r="Q201" i="4"/>
  <c r="O201" i="4"/>
  <c r="M201" i="4"/>
  <c r="K201" i="4"/>
  <c r="X200" i="4"/>
  <c r="W200" i="4"/>
  <c r="V200" i="4"/>
  <c r="U200" i="4"/>
  <c r="T200" i="4"/>
  <c r="S200" i="4"/>
  <c r="Q200" i="4"/>
  <c r="O200" i="4"/>
  <c r="M200" i="4"/>
  <c r="K200" i="4"/>
  <c r="X199" i="4"/>
  <c r="W199" i="4"/>
  <c r="V199" i="4"/>
  <c r="U199" i="4"/>
  <c r="T199" i="4"/>
  <c r="S199" i="4"/>
  <c r="Q199" i="4"/>
  <c r="O199" i="4"/>
  <c r="M199" i="4"/>
  <c r="K199" i="4"/>
  <c r="X198" i="4"/>
  <c r="W198" i="4"/>
  <c r="V198" i="4"/>
  <c r="U198" i="4"/>
  <c r="T198" i="4"/>
  <c r="S198" i="4"/>
  <c r="Q198" i="4"/>
  <c r="O198" i="4"/>
  <c r="M198" i="4"/>
  <c r="K198" i="4"/>
  <c r="X197" i="4"/>
  <c r="W197" i="4"/>
  <c r="V197" i="4"/>
  <c r="U197" i="4"/>
  <c r="T197" i="4"/>
  <c r="S197" i="4"/>
  <c r="Q197" i="4"/>
  <c r="O197" i="4"/>
  <c r="M197" i="4"/>
  <c r="K197" i="4"/>
  <c r="X196" i="4"/>
  <c r="W196" i="4"/>
  <c r="V196" i="4"/>
  <c r="U196" i="4"/>
  <c r="T196" i="4"/>
  <c r="S196" i="4"/>
  <c r="Q196" i="4"/>
  <c r="O196" i="4"/>
  <c r="M196" i="4"/>
  <c r="K196" i="4"/>
  <c r="X195" i="4"/>
  <c r="W195" i="4"/>
  <c r="V195" i="4"/>
  <c r="U195" i="4"/>
  <c r="T195" i="4"/>
  <c r="S195" i="4"/>
  <c r="Q195" i="4"/>
  <c r="O195" i="4"/>
  <c r="M195" i="4"/>
  <c r="K195" i="4"/>
  <c r="X194" i="4"/>
  <c r="W194" i="4"/>
  <c r="V194" i="4"/>
  <c r="U194" i="4"/>
  <c r="T194" i="4"/>
  <c r="S194" i="4"/>
  <c r="Q194" i="4"/>
  <c r="O194" i="4"/>
  <c r="M194" i="4"/>
  <c r="K194" i="4"/>
  <c r="X179" i="4"/>
  <c r="W179" i="4"/>
  <c r="V179" i="4"/>
  <c r="U179" i="4"/>
  <c r="T179" i="4"/>
  <c r="S179" i="4"/>
  <c r="Q179" i="4"/>
  <c r="O179" i="4"/>
  <c r="M179" i="4"/>
  <c r="K179" i="4"/>
  <c r="X178" i="4"/>
  <c r="W178" i="4"/>
  <c r="V178" i="4"/>
  <c r="U178" i="4"/>
  <c r="T178" i="4"/>
  <c r="S178" i="4"/>
  <c r="Q178" i="4"/>
  <c r="O178" i="4"/>
  <c r="M178" i="4"/>
  <c r="K178" i="4"/>
  <c r="X177" i="4"/>
  <c r="W177" i="4"/>
  <c r="V177" i="4"/>
  <c r="U177" i="4"/>
  <c r="T177" i="4"/>
  <c r="S177" i="4"/>
  <c r="Q177" i="4"/>
  <c r="O177" i="4"/>
  <c r="M177" i="4"/>
  <c r="K177" i="4"/>
  <c r="X176" i="4"/>
  <c r="W176" i="4"/>
  <c r="V176" i="4"/>
  <c r="U176" i="4"/>
  <c r="T176" i="4"/>
  <c r="S176" i="4"/>
  <c r="Q176" i="4"/>
  <c r="O176" i="4"/>
  <c r="M176" i="4"/>
  <c r="K176" i="4"/>
  <c r="X175" i="4"/>
  <c r="W175" i="4"/>
  <c r="V175" i="4"/>
  <c r="U175" i="4"/>
  <c r="T175" i="4"/>
  <c r="S175" i="4"/>
  <c r="Q175" i="4"/>
  <c r="O175" i="4"/>
  <c r="M175" i="4"/>
  <c r="K175" i="4"/>
  <c r="X174" i="4"/>
  <c r="W174" i="4"/>
  <c r="V174" i="4"/>
  <c r="U174" i="4"/>
  <c r="T174" i="4"/>
  <c r="S174" i="4"/>
  <c r="Q174" i="4"/>
  <c r="O174" i="4"/>
  <c r="M174" i="4"/>
  <c r="K174" i="4"/>
  <c r="X173" i="4"/>
  <c r="W173" i="4"/>
  <c r="V173" i="4"/>
  <c r="U173" i="4"/>
  <c r="T173" i="4"/>
  <c r="S173" i="4"/>
  <c r="Q173" i="4"/>
  <c r="O173" i="4"/>
  <c r="M173" i="4"/>
  <c r="K173" i="4"/>
  <c r="X167" i="4"/>
  <c r="W167" i="4"/>
  <c r="V167" i="4"/>
  <c r="U167" i="4"/>
  <c r="T167" i="4"/>
  <c r="S167" i="4"/>
  <c r="Q167" i="4"/>
  <c r="O167" i="4"/>
  <c r="M167" i="4"/>
  <c r="K167" i="4"/>
  <c r="X166" i="4"/>
  <c r="W166" i="4"/>
  <c r="V166" i="4"/>
  <c r="U166" i="4"/>
  <c r="T166" i="4"/>
  <c r="S166" i="4"/>
  <c r="Q166" i="4"/>
  <c r="O166" i="4"/>
  <c r="M166" i="4"/>
  <c r="K166" i="4"/>
  <c r="X165" i="4"/>
  <c r="W165" i="4"/>
  <c r="V165" i="4"/>
  <c r="U165" i="4"/>
  <c r="T165" i="4"/>
  <c r="S165" i="4"/>
  <c r="Q165" i="4"/>
  <c r="O165" i="4"/>
  <c r="M165" i="4"/>
  <c r="K165" i="4"/>
  <c r="X164" i="4"/>
  <c r="W164" i="4"/>
  <c r="V164" i="4"/>
  <c r="U164" i="4"/>
  <c r="T164" i="4"/>
  <c r="S164" i="4"/>
  <c r="Q164" i="4"/>
  <c r="O164" i="4"/>
  <c r="M164" i="4"/>
  <c r="K164" i="4"/>
  <c r="X163" i="4"/>
  <c r="W163" i="4"/>
  <c r="V163" i="4"/>
  <c r="U163" i="4"/>
  <c r="T163" i="4"/>
  <c r="S163" i="4"/>
  <c r="Q163" i="4"/>
  <c r="O163" i="4"/>
  <c r="M163" i="4"/>
  <c r="K163" i="4"/>
  <c r="X162" i="4"/>
  <c r="W162" i="4"/>
  <c r="V162" i="4"/>
  <c r="U162" i="4"/>
  <c r="T162" i="4"/>
  <c r="S162" i="4"/>
  <c r="Q162" i="4"/>
  <c r="O162" i="4"/>
  <c r="M162" i="4"/>
  <c r="K162" i="4"/>
  <c r="X161" i="4"/>
  <c r="W161" i="4"/>
  <c r="V161" i="4"/>
  <c r="U161" i="4"/>
  <c r="T161" i="4"/>
  <c r="S161" i="4"/>
  <c r="Q161" i="4"/>
  <c r="O161" i="4"/>
  <c r="M161" i="4"/>
  <c r="K161" i="4"/>
  <c r="X160" i="4"/>
  <c r="W160" i="4"/>
  <c r="V160" i="4"/>
  <c r="U160" i="4"/>
  <c r="T160" i="4"/>
  <c r="S160" i="4"/>
  <c r="Q160" i="4"/>
  <c r="O160" i="4"/>
  <c r="M160" i="4"/>
  <c r="K160" i="4"/>
  <c r="X159" i="4"/>
  <c r="W159" i="4"/>
  <c r="V159" i="4"/>
  <c r="U159" i="4"/>
  <c r="T159" i="4"/>
  <c r="S159" i="4"/>
  <c r="Q159" i="4"/>
  <c r="O159" i="4"/>
  <c r="M159" i="4"/>
  <c r="K159" i="4"/>
  <c r="X158" i="4"/>
  <c r="W158" i="4"/>
  <c r="V158" i="4"/>
  <c r="U158" i="4"/>
  <c r="T158" i="4"/>
  <c r="S158" i="4"/>
  <c r="Q158" i="4"/>
  <c r="O158" i="4"/>
  <c r="M158" i="4"/>
  <c r="K158" i="4"/>
  <c r="X157" i="4"/>
  <c r="W157" i="4"/>
  <c r="V157" i="4"/>
  <c r="U157" i="4"/>
  <c r="T157" i="4"/>
  <c r="S157" i="4"/>
  <c r="Q157" i="4"/>
  <c r="O157" i="4"/>
  <c r="M157" i="4"/>
  <c r="K157" i="4"/>
  <c r="X156" i="4"/>
  <c r="W156" i="4"/>
  <c r="V156" i="4"/>
  <c r="U156" i="4"/>
  <c r="T156" i="4"/>
  <c r="S156" i="4"/>
  <c r="Q156" i="4"/>
  <c r="O156" i="4"/>
  <c r="M156" i="4"/>
  <c r="K156" i="4"/>
  <c r="X155" i="4"/>
  <c r="W155" i="4"/>
  <c r="V155" i="4"/>
  <c r="U155" i="4"/>
  <c r="T155" i="4"/>
  <c r="S155" i="4"/>
  <c r="Q155" i="4"/>
  <c r="O155" i="4"/>
  <c r="M155" i="4"/>
  <c r="K155" i="4"/>
  <c r="X154" i="4"/>
  <c r="W154" i="4"/>
  <c r="V154" i="4"/>
  <c r="U154" i="4"/>
  <c r="T154" i="4"/>
  <c r="S154" i="4"/>
  <c r="Q154" i="4"/>
  <c r="O154" i="4"/>
  <c r="M154" i="4"/>
  <c r="K154" i="4"/>
  <c r="X153" i="4"/>
  <c r="W153" i="4"/>
  <c r="V153" i="4"/>
  <c r="U153" i="4"/>
  <c r="T153" i="4"/>
  <c r="S153" i="4"/>
  <c r="Q153" i="4"/>
  <c r="O153" i="4"/>
  <c r="M153" i="4"/>
  <c r="K153" i="4"/>
  <c r="X152" i="4"/>
  <c r="W152" i="4"/>
  <c r="V152" i="4"/>
  <c r="U152" i="4"/>
  <c r="T152" i="4"/>
  <c r="S152" i="4"/>
  <c r="Q152" i="4"/>
  <c r="O152" i="4"/>
  <c r="M152" i="4"/>
  <c r="K152" i="4"/>
  <c r="X151" i="4"/>
  <c r="W151" i="4"/>
  <c r="V151" i="4"/>
  <c r="U151" i="4"/>
  <c r="T151" i="4"/>
  <c r="S151" i="4"/>
  <c r="Q151" i="4"/>
  <c r="O151" i="4"/>
  <c r="M151" i="4"/>
  <c r="K151" i="4"/>
  <c r="X150" i="4"/>
  <c r="W150" i="4"/>
  <c r="V150" i="4"/>
  <c r="U150" i="4"/>
  <c r="T150" i="4"/>
  <c r="S150" i="4"/>
  <c r="Q150" i="4"/>
  <c r="O150" i="4"/>
  <c r="M150" i="4"/>
  <c r="K150" i="4"/>
  <c r="X149" i="4"/>
  <c r="W149" i="4"/>
  <c r="V149" i="4"/>
  <c r="U149" i="4"/>
  <c r="T149" i="4"/>
  <c r="S149" i="4"/>
  <c r="Q149" i="4"/>
  <c r="O149" i="4"/>
  <c r="M149" i="4"/>
  <c r="K149" i="4"/>
  <c r="X148" i="4"/>
  <c r="W148" i="4"/>
  <c r="V148" i="4"/>
  <c r="U148" i="4"/>
  <c r="T148" i="4"/>
  <c r="S148" i="4"/>
  <c r="Q148" i="4"/>
  <c r="O148" i="4"/>
  <c r="M148" i="4"/>
  <c r="K148" i="4"/>
  <c r="X147" i="4"/>
  <c r="W147" i="4"/>
  <c r="V147" i="4"/>
  <c r="U147" i="4"/>
  <c r="T147" i="4"/>
  <c r="S147" i="4"/>
  <c r="Q147" i="4"/>
  <c r="O147" i="4"/>
  <c r="M147" i="4"/>
  <c r="K147" i="4"/>
  <c r="X146" i="4"/>
  <c r="W146" i="4"/>
  <c r="V146" i="4"/>
  <c r="U146" i="4"/>
  <c r="T146" i="4"/>
  <c r="S146" i="4"/>
  <c r="Q146" i="4"/>
  <c r="O146" i="4"/>
  <c r="M146" i="4"/>
  <c r="K146" i="4"/>
  <c r="X145" i="4"/>
  <c r="W145" i="4"/>
  <c r="V145" i="4"/>
  <c r="U145" i="4"/>
  <c r="T145" i="4"/>
  <c r="S145" i="4"/>
  <c r="Q145" i="4"/>
  <c r="O145" i="4"/>
  <c r="M145" i="4"/>
  <c r="K145" i="4"/>
  <c r="X144" i="4"/>
  <c r="W144" i="4"/>
  <c r="V144" i="4"/>
  <c r="U144" i="4"/>
  <c r="T144" i="4"/>
  <c r="S144" i="4"/>
  <c r="Q144" i="4"/>
  <c r="O144" i="4"/>
  <c r="M144" i="4"/>
  <c r="K144" i="4"/>
  <c r="X143" i="4"/>
  <c r="W143" i="4"/>
  <c r="V143" i="4"/>
  <c r="U143" i="4"/>
  <c r="T143" i="4"/>
  <c r="S143" i="4"/>
  <c r="Q143" i="4"/>
  <c r="O143" i="4"/>
  <c r="M143" i="4"/>
  <c r="K143" i="4"/>
  <c r="X142" i="4"/>
  <c r="W142" i="4"/>
  <c r="V142" i="4"/>
  <c r="U142" i="4"/>
  <c r="T142" i="4"/>
  <c r="S142" i="4"/>
  <c r="Q142" i="4"/>
  <c r="O142" i="4"/>
  <c r="M142" i="4"/>
  <c r="K142" i="4"/>
  <c r="X141" i="4"/>
  <c r="W141" i="4"/>
  <c r="V141" i="4"/>
  <c r="U141" i="4"/>
  <c r="T141" i="4"/>
  <c r="S141" i="4"/>
  <c r="Q141" i="4"/>
  <c r="O141" i="4"/>
  <c r="M141" i="4"/>
  <c r="K141" i="4"/>
  <c r="X140" i="4"/>
  <c r="W140" i="4"/>
  <c r="V140" i="4"/>
  <c r="U140" i="4"/>
  <c r="T140" i="4"/>
  <c r="S140" i="4"/>
  <c r="Q140" i="4"/>
  <c r="O140" i="4"/>
  <c r="M140" i="4"/>
  <c r="K140" i="4"/>
  <c r="X139" i="4"/>
  <c r="W139" i="4"/>
  <c r="V139" i="4"/>
  <c r="U139" i="4"/>
  <c r="T139" i="4"/>
  <c r="S139" i="4"/>
  <c r="Q139" i="4"/>
  <c r="O139" i="4"/>
  <c r="M139" i="4"/>
  <c r="K139" i="4"/>
  <c r="X138" i="4"/>
  <c r="W138" i="4"/>
  <c r="V138" i="4"/>
  <c r="U138" i="4"/>
  <c r="T138" i="4"/>
  <c r="S138" i="4"/>
  <c r="Q138" i="4"/>
  <c r="O138" i="4"/>
  <c r="M138" i="4"/>
  <c r="K138" i="4"/>
  <c r="X137" i="4"/>
  <c r="W137" i="4"/>
  <c r="V137" i="4"/>
  <c r="U137" i="4"/>
  <c r="T137" i="4"/>
  <c r="S137" i="4"/>
  <c r="Q137" i="4"/>
  <c r="O137" i="4"/>
  <c r="M137" i="4"/>
  <c r="K137" i="4"/>
  <c r="X136" i="4"/>
  <c r="W136" i="4"/>
  <c r="V136" i="4"/>
  <c r="U136" i="4"/>
  <c r="T136" i="4"/>
  <c r="S136" i="4"/>
  <c r="Q136" i="4"/>
  <c r="O136" i="4"/>
  <c r="M136" i="4"/>
  <c r="K136" i="4"/>
  <c r="X135" i="4"/>
  <c r="W135" i="4"/>
  <c r="V135" i="4"/>
  <c r="U135" i="4"/>
  <c r="T135" i="4"/>
  <c r="S135" i="4"/>
  <c r="Q135" i="4"/>
  <c r="O135" i="4"/>
  <c r="M135" i="4"/>
  <c r="K135" i="4"/>
  <c r="X134" i="4"/>
  <c r="W134" i="4"/>
  <c r="V134" i="4"/>
  <c r="U134" i="4"/>
  <c r="T134" i="4"/>
  <c r="S134" i="4"/>
  <c r="Q134" i="4"/>
  <c r="O134" i="4"/>
  <c r="M134" i="4"/>
  <c r="K134" i="4"/>
  <c r="X133" i="4"/>
  <c r="W133" i="4"/>
  <c r="V133" i="4"/>
  <c r="U133" i="4"/>
  <c r="T133" i="4"/>
  <c r="S133" i="4"/>
  <c r="Q133" i="4"/>
  <c r="O133" i="4"/>
  <c r="M133" i="4"/>
  <c r="K133" i="4"/>
  <c r="X132" i="4"/>
  <c r="W132" i="4"/>
  <c r="V132" i="4"/>
  <c r="U132" i="4"/>
  <c r="T132" i="4"/>
  <c r="S132" i="4"/>
  <c r="Q132" i="4"/>
  <c r="O132" i="4"/>
  <c r="M132" i="4"/>
  <c r="K132" i="4"/>
  <c r="X131" i="4"/>
  <c r="W131" i="4"/>
  <c r="V131" i="4"/>
  <c r="U131" i="4"/>
  <c r="T131" i="4"/>
  <c r="S131" i="4"/>
  <c r="Q131" i="4"/>
  <c r="O131" i="4"/>
  <c r="M131" i="4"/>
  <c r="K131" i="4"/>
  <c r="X130" i="4"/>
  <c r="W130" i="4"/>
  <c r="V130" i="4"/>
  <c r="U130" i="4"/>
  <c r="T130" i="4"/>
  <c r="S130" i="4"/>
  <c r="Q130" i="4"/>
  <c r="O130" i="4"/>
  <c r="M130" i="4"/>
  <c r="K130" i="4"/>
  <c r="X129" i="4"/>
  <c r="W129" i="4"/>
  <c r="V129" i="4"/>
  <c r="U129" i="4"/>
  <c r="T129" i="4"/>
  <c r="S129" i="4"/>
  <c r="Q129" i="4"/>
  <c r="O129" i="4"/>
  <c r="M129" i="4"/>
  <c r="K129" i="4"/>
  <c r="X128" i="4"/>
  <c r="W128" i="4"/>
  <c r="V128" i="4"/>
  <c r="U128" i="4"/>
  <c r="T128" i="4"/>
  <c r="S128" i="4"/>
  <c r="Q128" i="4"/>
  <c r="O128" i="4"/>
  <c r="M128" i="4"/>
  <c r="K128" i="4"/>
  <c r="X127" i="4"/>
  <c r="W127" i="4"/>
  <c r="V127" i="4"/>
  <c r="U127" i="4"/>
  <c r="T127" i="4"/>
  <c r="S127" i="4"/>
  <c r="Q127" i="4"/>
  <c r="O127" i="4"/>
  <c r="M127" i="4"/>
  <c r="K127" i="4"/>
  <c r="X126" i="4"/>
  <c r="W126" i="4"/>
  <c r="V126" i="4"/>
  <c r="U126" i="4"/>
  <c r="T126" i="4"/>
  <c r="S126" i="4"/>
  <c r="Q126" i="4"/>
  <c r="O126" i="4"/>
  <c r="M126" i="4"/>
  <c r="K126" i="4"/>
  <c r="X125" i="4"/>
  <c r="W125" i="4"/>
  <c r="V125" i="4"/>
  <c r="U125" i="4"/>
  <c r="T125" i="4"/>
  <c r="S125" i="4"/>
  <c r="Q125" i="4"/>
  <c r="O125" i="4"/>
  <c r="M125" i="4"/>
  <c r="K125" i="4"/>
  <c r="X124" i="4"/>
  <c r="W124" i="4"/>
  <c r="V124" i="4"/>
  <c r="U124" i="4"/>
  <c r="T124" i="4"/>
  <c r="S124" i="4"/>
  <c r="Q124" i="4"/>
  <c r="O124" i="4"/>
  <c r="M124" i="4"/>
  <c r="K124" i="4"/>
  <c r="X123" i="4"/>
  <c r="W123" i="4"/>
  <c r="V123" i="4"/>
  <c r="U123" i="4"/>
  <c r="T123" i="4"/>
  <c r="S123" i="4"/>
  <c r="Q123" i="4"/>
  <c r="O123" i="4"/>
  <c r="M123" i="4"/>
  <c r="K123" i="4"/>
  <c r="X122" i="4"/>
  <c r="W122" i="4"/>
  <c r="V122" i="4"/>
  <c r="U122" i="4"/>
  <c r="T122" i="4"/>
  <c r="S122" i="4"/>
  <c r="Q122" i="4"/>
  <c r="O122" i="4"/>
  <c r="M122" i="4"/>
  <c r="K122" i="4"/>
  <c r="X121" i="4"/>
  <c r="W121" i="4"/>
  <c r="V121" i="4"/>
  <c r="U121" i="4"/>
  <c r="T121" i="4"/>
  <c r="S121" i="4"/>
  <c r="Q121" i="4"/>
  <c r="O121" i="4"/>
  <c r="M121" i="4"/>
  <c r="K121" i="4"/>
  <c r="X120" i="4"/>
  <c r="W120" i="4"/>
  <c r="V120" i="4"/>
  <c r="U120" i="4"/>
  <c r="T120" i="4"/>
  <c r="S120" i="4"/>
  <c r="Q120" i="4"/>
  <c r="O120" i="4"/>
  <c r="M120" i="4"/>
  <c r="K120" i="4"/>
  <c r="X119" i="4"/>
  <c r="W119" i="4"/>
  <c r="V119" i="4"/>
  <c r="U119" i="4"/>
  <c r="T119" i="4"/>
  <c r="S119" i="4"/>
  <c r="Q119" i="4"/>
  <c r="O119" i="4"/>
  <c r="M119" i="4"/>
  <c r="K119" i="4"/>
  <c r="X118" i="4"/>
  <c r="W118" i="4"/>
  <c r="V118" i="4"/>
  <c r="U118" i="4"/>
  <c r="T118" i="4"/>
  <c r="S118" i="4"/>
  <c r="Q118" i="4"/>
  <c r="O118" i="4"/>
  <c r="M118" i="4"/>
  <c r="K118" i="4"/>
  <c r="X117" i="4"/>
  <c r="W117" i="4"/>
  <c r="V117" i="4"/>
  <c r="U117" i="4"/>
  <c r="T117" i="4"/>
  <c r="S117" i="4"/>
  <c r="Q117" i="4"/>
  <c r="O117" i="4"/>
  <c r="M117" i="4"/>
  <c r="K117" i="4"/>
  <c r="X116" i="4"/>
  <c r="W116" i="4"/>
  <c r="V116" i="4"/>
  <c r="U116" i="4"/>
  <c r="T116" i="4"/>
  <c r="S116" i="4"/>
  <c r="Q116" i="4"/>
  <c r="O116" i="4"/>
  <c r="M116" i="4"/>
  <c r="K116" i="4"/>
  <c r="X115" i="4"/>
  <c r="W115" i="4"/>
  <c r="V115" i="4"/>
  <c r="U115" i="4"/>
  <c r="T115" i="4"/>
  <c r="S115" i="4"/>
  <c r="Q115" i="4"/>
  <c r="O115" i="4"/>
  <c r="M115" i="4"/>
  <c r="K115" i="4"/>
  <c r="X114" i="4"/>
  <c r="W114" i="4"/>
  <c r="V114" i="4"/>
  <c r="U114" i="4"/>
  <c r="T114" i="4"/>
  <c r="S114" i="4"/>
  <c r="Q114" i="4"/>
  <c r="O114" i="4"/>
  <c r="M114" i="4"/>
  <c r="K114" i="4"/>
  <c r="X113" i="4"/>
  <c r="W113" i="4"/>
  <c r="V113" i="4"/>
  <c r="U113" i="4"/>
  <c r="T113" i="4"/>
  <c r="S113" i="4"/>
  <c r="Q113" i="4"/>
  <c r="O113" i="4"/>
  <c r="M113" i="4"/>
  <c r="K113" i="4"/>
  <c r="X112" i="4"/>
  <c r="W112" i="4"/>
  <c r="V112" i="4"/>
  <c r="U112" i="4"/>
  <c r="T112" i="4"/>
  <c r="S112" i="4"/>
  <c r="Q112" i="4"/>
  <c r="O112" i="4"/>
  <c r="M112" i="4"/>
  <c r="K112" i="4"/>
  <c r="X111" i="4"/>
  <c r="W111" i="4"/>
  <c r="V111" i="4"/>
  <c r="U111" i="4"/>
  <c r="T111" i="4"/>
  <c r="S111" i="4"/>
  <c r="Q111" i="4"/>
  <c r="O111" i="4"/>
  <c r="M111" i="4"/>
  <c r="K111" i="4"/>
  <c r="X110" i="4"/>
  <c r="W110" i="4"/>
  <c r="V110" i="4"/>
  <c r="U110" i="4"/>
  <c r="T110" i="4"/>
  <c r="S110" i="4"/>
  <c r="Q110" i="4"/>
  <c r="O110" i="4"/>
  <c r="M110" i="4"/>
  <c r="K110" i="4"/>
  <c r="X109" i="4"/>
  <c r="W109" i="4"/>
  <c r="V109" i="4"/>
  <c r="U109" i="4"/>
  <c r="T109" i="4"/>
  <c r="S109" i="4"/>
  <c r="Q109" i="4"/>
  <c r="O109" i="4"/>
  <c r="M109" i="4"/>
  <c r="K109" i="4"/>
  <c r="X108" i="4"/>
  <c r="W108" i="4"/>
  <c r="V108" i="4"/>
  <c r="U108" i="4"/>
  <c r="T108" i="4"/>
  <c r="S108" i="4"/>
  <c r="Q108" i="4"/>
  <c r="O108" i="4"/>
  <c r="M108" i="4"/>
  <c r="K108" i="4"/>
  <c r="X107" i="4"/>
  <c r="W107" i="4"/>
  <c r="V107" i="4"/>
  <c r="U107" i="4"/>
  <c r="T107" i="4"/>
  <c r="S107" i="4"/>
  <c r="Q107" i="4"/>
  <c r="O107" i="4"/>
  <c r="M107" i="4"/>
  <c r="K107" i="4"/>
  <c r="X106" i="4"/>
  <c r="W106" i="4"/>
  <c r="V106" i="4"/>
  <c r="U106" i="4"/>
  <c r="T106" i="4"/>
  <c r="S106" i="4"/>
  <c r="Q106" i="4"/>
  <c r="O106" i="4"/>
  <c r="M106" i="4"/>
  <c r="K106" i="4"/>
  <c r="X105" i="4"/>
  <c r="W105" i="4"/>
  <c r="V105" i="4"/>
  <c r="U105" i="4"/>
  <c r="T105" i="4"/>
  <c r="S105" i="4"/>
  <c r="Q105" i="4"/>
  <c r="O105" i="4"/>
  <c r="M105" i="4"/>
  <c r="K105" i="4"/>
  <c r="X104" i="4"/>
  <c r="W104" i="4"/>
  <c r="V104" i="4"/>
  <c r="U104" i="4"/>
  <c r="T104" i="4"/>
  <c r="S104" i="4"/>
  <c r="Q104" i="4"/>
  <c r="O104" i="4"/>
  <c r="M104" i="4"/>
  <c r="K104" i="4"/>
  <c r="X103" i="4"/>
  <c r="W103" i="4"/>
  <c r="V103" i="4"/>
  <c r="U103" i="4"/>
  <c r="T103" i="4"/>
  <c r="S103" i="4"/>
  <c r="Q103" i="4"/>
  <c r="O103" i="4"/>
  <c r="M103" i="4"/>
  <c r="K103" i="4"/>
  <c r="X102" i="4"/>
  <c r="W102" i="4"/>
  <c r="V102" i="4"/>
  <c r="U102" i="4"/>
  <c r="T102" i="4"/>
  <c r="S102" i="4"/>
  <c r="Q102" i="4"/>
  <c r="O102" i="4"/>
  <c r="M102" i="4"/>
  <c r="K102" i="4"/>
  <c r="X101" i="4"/>
  <c r="W101" i="4"/>
  <c r="V101" i="4"/>
  <c r="U101" i="4"/>
  <c r="T101" i="4"/>
  <c r="S101" i="4"/>
  <c r="Q101" i="4"/>
  <c r="O101" i="4"/>
  <c r="M101" i="4"/>
  <c r="K101" i="4"/>
  <c r="X100" i="4"/>
  <c r="W100" i="4"/>
  <c r="V100" i="4"/>
  <c r="U100" i="4"/>
  <c r="T100" i="4"/>
  <c r="S100" i="4"/>
  <c r="Q100" i="4"/>
  <c r="O100" i="4"/>
  <c r="M100" i="4"/>
  <c r="K100" i="4"/>
  <c r="X99" i="4"/>
  <c r="W99" i="4"/>
  <c r="V99" i="4"/>
  <c r="U99" i="4"/>
  <c r="T99" i="4"/>
  <c r="S99" i="4"/>
  <c r="Q99" i="4"/>
  <c r="O99" i="4"/>
  <c r="M99" i="4"/>
  <c r="K99" i="4"/>
  <c r="X98" i="4"/>
  <c r="W98" i="4"/>
  <c r="V98" i="4"/>
  <c r="U98" i="4"/>
  <c r="T98" i="4"/>
  <c r="S98" i="4"/>
  <c r="Q98" i="4"/>
  <c r="O98" i="4"/>
  <c r="M98" i="4"/>
  <c r="K98" i="4"/>
  <c r="X97" i="4"/>
  <c r="W97" i="4"/>
  <c r="V97" i="4"/>
  <c r="U97" i="4"/>
  <c r="T97" i="4"/>
  <c r="S97" i="4"/>
  <c r="Q97" i="4"/>
  <c r="O97" i="4"/>
  <c r="M97" i="4"/>
  <c r="K97" i="4"/>
  <c r="X96" i="4"/>
  <c r="W96" i="4"/>
  <c r="V96" i="4"/>
  <c r="U96" i="4"/>
  <c r="T96" i="4"/>
  <c r="S96" i="4"/>
  <c r="Q96" i="4"/>
  <c r="O96" i="4"/>
  <c r="M96" i="4"/>
  <c r="K96" i="4"/>
  <c r="X95" i="4"/>
  <c r="W95" i="4"/>
  <c r="V95" i="4"/>
  <c r="U95" i="4"/>
  <c r="T95" i="4"/>
  <c r="S95" i="4"/>
  <c r="Q95" i="4"/>
  <c r="O95" i="4"/>
  <c r="M95" i="4"/>
  <c r="K95" i="4"/>
  <c r="X94" i="4"/>
  <c r="W94" i="4"/>
  <c r="V94" i="4"/>
  <c r="U94" i="4"/>
  <c r="T94" i="4"/>
  <c r="S94" i="4"/>
  <c r="Q94" i="4"/>
  <c r="O94" i="4"/>
  <c r="M94" i="4"/>
  <c r="K94" i="4"/>
  <c r="X93" i="4"/>
  <c r="W93" i="4"/>
  <c r="V93" i="4"/>
  <c r="U93" i="4"/>
  <c r="T93" i="4"/>
  <c r="S93" i="4"/>
  <c r="Q93" i="4"/>
  <c r="O93" i="4"/>
  <c r="M93" i="4"/>
  <c r="K93" i="4"/>
  <c r="X92" i="4"/>
  <c r="W92" i="4"/>
  <c r="V92" i="4"/>
  <c r="U92" i="4"/>
  <c r="T92" i="4"/>
  <c r="S92" i="4"/>
  <c r="Q92" i="4"/>
  <c r="O92" i="4"/>
  <c r="M92" i="4"/>
  <c r="K92" i="4"/>
  <c r="X91" i="4"/>
  <c r="W91" i="4"/>
  <c r="V91" i="4"/>
  <c r="U91" i="4"/>
  <c r="T91" i="4"/>
  <c r="S91" i="4"/>
  <c r="Q91" i="4"/>
  <c r="O91" i="4"/>
  <c r="M91" i="4"/>
  <c r="K91" i="4"/>
  <c r="X90" i="4"/>
  <c r="W90" i="4"/>
  <c r="V90" i="4"/>
  <c r="U90" i="4"/>
  <c r="T90" i="4"/>
  <c r="S90" i="4"/>
  <c r="Q90" i="4"/>
  <c r="O90" i="4"/>
  <c r="M90" i="4"/>
  <c r="K90" i="4"/>
  <c r="X89" i="4"/>
  <c r="W89" i="4"/>
  <c r="V89" i="4"/>
  <c r="U89" i="4"/>
  <c r="T89" i="4"/>
  <c r="S89" i="4"/>
  <c r="Q89" i="4"/>
  <c r="O89" i="4"/>
  <c r="M89" i="4"/>
  <c r="K89" i="4"/>
  <c r="X88" i="4"/>
  <c r="W88" i="4"/>
  <c r="V88" i="4"/>
  <c r="U88" i="4"/>
  <c r="T88" i="4"/>
  <c r="S88" i="4"/>
  <c r="Q88" i="4"/>
  <c r="O88" i="4"/>
  <c r="M88" i="4"/>
  <c r="K88" i="4"/>
  <c r="X87" i="4"/>
  <c r="W87" i="4"/>
  <c r="V87" i="4"/>
  <c r="U87" i="4"/>
  <c r="T87" i="4"/>
  <c r="S87" i="4"/>
  <c r="Q87" i="4"/>
  <c r="O87" i="4"/>
  <c r="M87" i="4"/>
  <c r="K87" i="4"/>
  <c r="X86" i="4"/>
  <c r="W86" i="4"/>
  <c r="V86" i="4"/>
  <c r="U86" i="4"/>
  <c r="T86" i="4"/>
  <c r="S86" i="4"/>
  <c r="Q86" i="4"/>
  <c r="O86" i="4"/>
  <c r="M86" i="4"/>
  <c r="K86" i="4"/>
  <c r="X85" i="4"/>
  <c r="W85" i="4"/>
  <c r="V85" i="4"/>
  <c r="U85" i="4"/>
  <c r="T85" i="4"/>
  <c r="S85" i="4"/>
  <c r="Q85" i="4"/>
  <c r="O85" i="4"/>
  <c r="M85" i="4"/>
  <c r="K85" i="4"/>
  <c r="X84" i="4"/>
  <c r="W84" i="4"/>
  <c r="V84" i="4"/>
  <c r="U84" i="4"/>
  <c r="T84" i="4"/>
  <c r="S84" i="4"/>
  <c r="Q84" i="4"/>
  <c r="O84" i="4"/>
  <c r="M84" i="4"/>
  <c r="K84" i="4"/>
  <c r="X83" i="4"/>
  <c r="W83" i="4"/>
  <c r="V83" i="4"/>
  <c r="U83" i="4"/>
  <c r="T83" i="4"/>
  <c r="S83" i="4"/>
  <c r="Q83" i="4"/>
  <c r="O83" i="4"/>
  <c r="M83" i="4"/>
  <c r="K83" i="4"/>
  <c r="X82" i="4"/>
  <c r="W82" i="4"/>
  <c r="V82" i="4"/>
  <c r="U82" i="4"/>
  <c r="T82" i="4"/>
  <c r="S82" i="4"/>
  <c r="Q82" i="4"/>
  <c r="O82" i="4"/>
  <c r="M82" i="4"/>
  <c r="K82" i="4"/>
  <c r="X81" i="4"/>
  <c r="W81" i="4"/>
  <c r="V81" i="4"/>
  <c r="U81" i="4"/>
  <c r="T81" i="4"/>
  <c r="S81" i="4"/>
  <c r="Q81" i="4"/>
  <c r="O81" i="4"/>
  <c r="M81" i="4"/>
  <c r="K81" i="4"/>
  <c r="X80" i="4"/>
  <c r="W80" i="4"/>
  <c r="V80" i="4"/>
  <c r="U80" i="4"/>
  <c r="T80" i="4"/>
  <c r="S80" i="4"/>
  <c r="Q80" i="4"/>
  <c r="O80" i="4"/>
  <c r="M80" i="4"/>
  <c r="K80" i="4"/>
  <c r="X79" i="4"/>
  <c r="W79" i="4"/>
  <c r="V79" i="4"/>
  <c r="U79" i="4"/>
  <c r="T79" i="4"/>
  <c r="S79" i="4"/>
  <c r="Q79" i="4"/>
  <c r="O79" i="4"/>
  <c r="M79" i="4"/>
  <c r="K79" i="4"/>
  <c r="X78" i="4"/>
  <c r="W78" i="4"/>
  <c r="V78" i="4"/>
  <c r="U78" i="4"/>
  <c r="T78" i="4"/>
  <c r="S78" i="4"/>
  <c r="Q78" i="4"/>
  <c r="O78" i="4"/>
  <c r="M78" i="4"/>
  <c r="K78" i="4"/>
  <c r="X77" i="4"/>
  <c r="W77" i="4"/>
  <c r="V77" i="4"/>
  <c r="U77" i="4"/>
  <c r="T77" i="4"/>
  <c r="S77" i="4"/>
  <c r="Q77" i="4"/>
  <c r="O77" i="4"/>
  <c r="M77" i="4"/>
  <c r="K77" i="4"/>
  <c r="X76" i="4"/>
  <c r="W76" i="4"/>
  <c r="V76" i="4"/>
  <c r="U76" i="4"/>
  <c r="T76" i="4"/>
  <c r="S76" i="4"/>
  <c r="Q76" i="4"/>
  <c r="O76" i="4"/>
  <c r="M76" i="4"/>
  <c r="K76" i="4"/>
  <c r="X75" i="4"/>
  <c r="W75" i="4"/>
  <c r="V75" i="4"/>
  <c r="U75" i="4"/>
  <c r="T75" i="4"/>
  <c r="S75" i="4"/>
  <c r="Q75" i="4"/>
  <c r="O75" i="4"/>
  <c r="M75" i="4"/>
  <c r="K75" i="4"/>
  <c r="X74" i="4"/>
  <c r="W74" i="4"/>
  <c r="V74" i="4"/>
  <c r="U74" i="4"/>
  <c r="T74" i="4"/>
  <c r="S74" i="4"/>
  <c r="Q74" i="4"/>
  <c r="O74" i="4"/>
  <c r="M74" i="4"/>
  <c r="K74" i="4"/>
  <c r="X73" i="4"/>
  <c r="W73" i="4"/>
  <c r="V73" i="4"/>
  <c r="U73" i="4"/>
  <c r="T73" i="4"/>
  <c r="S73" i="4"/>
  <c r="Q73" i="4"/>
  <c r="O73" i="4"/>
  <c r="M73" i="4"/>
  <c r="K73" i="4"/>
  <c r="X72" i="4"/>
  <c r="W72" i="4"/>
  <c r="V72" i="4"/>
  <c r="U72" i="4"/>
  <c r="T72" i="4"/>
  <c r="S72" i="4"/>
  <c r="Q72" i="4"/>
  <c r="O72" i="4"/>
  <c r="M72" i="4"/>
  <c r="K72" i="4"/>
  <c r="X71" i="4"/>
  <c r="W71" i="4"/>
  <c r="V71" i="4"/>
  <c r="U71" i="4"/>
  <c r="T71" i="4"/>
  <c r="S71" i="4"/>
  <c r="Q71" i="4"/>
  <c r="O71" i="4"/>
  <c r="M71" i="4"/>
  <c r="K71" i="4"/>
  <c r="X70" i="4"/>
  <c r="W70" i="4"/>
  <c r="V70" i="4"/>
  <c r="U70" i="4"/>
  <c r="T70" i="4"/>
  <c r="S70" i="4"/>
  <c r="Q70" i="4"/>
  <c r="O70" i="4"/>
  <c r="M70" i="4"/>
  <c r="K70" i="4"/>
  <c r="X69" i="4"/>
  <c r="W69" i="4"/>
  <c r="V69" i="4"/>
  <c r="U69" i="4"/>
  <c r="T69" i="4"/>
  <c r="S69" i="4"/>
  <c r="Q69" i="4"/>
  <c r="O69" i="4"/>
  <c r="M69" i="4"/>
  <c r="K69" i="4"/>
  <c r="X68" i="4"/>
  <c r="W68" i="4"/>
  <c r="V68" i="4"/>
  <c r="U68" i="4"/>
  <c r="T68" i="4"/>
  <c r="S68" i="4"/>
  <c r="Q68" i="4"/>
  <c r="O68" i="4"/>
  <c r="M68" i="4"/>
  <c r="K68" i="4"/>
  <c r="X67" i="4"/>
  <c r="W67" i="4"/>
  <c r="V67" i="4"/>
  <c r="U67" i="4"/>
  <c r="T67" i="4"/>
  <c r="S67" i="4"/>
  <c r="Q67" i="4"/>
  <c r="O67" i="4"/>
  <c r="M67" i="4"/>
  <c r="K67" i="4"/>
  <c r="X66" i="4"/>
  <c r="W66" i="4"/>
  <c r="V66" i="4"/>
  <c r="U66" i="4"/>
  <c r="T66" i="4"/>
  <c r="S66" i="4"/>
  <c r="Q66" i="4"/>
  <c r="O66" i="4"/>
  <c r="M66" i="4"/>
  <c r="K66" i="4"/>
  <c r="X65" i="4"/>
  <c r="W65" i="4"/>
  <c r="V65" i="4"/>
  <c r="U65" i="4"/>
  <c r="T65" i="4"/>
  <c r="S65" i="4"/>
  <c r="Q65" i="4"/>
  <c r="O65" i="4"/>
  <c r="M65" i="4"/>
  <c r="K65" i="4"/>
  <c r="X64" i="4"/>
  <c r="W64" i="4"/>
  <c r="V64" i="4"/>
  <c r="U64" i="4"/>
  <c r="T64" i="4"/>
  <c r="S64" i="4"/>
  <c r="Q64" i="4"/>
  <c r="O64" i="4"/>
  <c r="M64" i="4"/>
  <c r="K64" i="4"/>
  <c r="X63" i="4"/>
  <c r="W63" i="4"/>
  <c r="V63" i="4"/>
  <c r="U63" i="4"/>
  <c r="T63" i="4"/>
  <c r="S63" i="4"/>
  <c r="Q63" i="4"/>
  <c r="O63" i="4"/>
  <c r="M63" i="4"/>
  <c r="K63" i="4"/>
  <c r="X62" i="4"/>
  <c r="W62" i="4"/>
  <c r="V62" i="4"/>
  <c r="U62" i="4"/>
  <c r="T62" i="4"/>
  <c r="S62" i="4"/>
  <c r="Q62" i="4"/>
  <c r="O62" i="4"/>
  <c r="M62" i="4"/>
  <c r="K62" i="4"/>
  <c r="X61" i="4"/>
  <c r="W61" i="4"/>
  <c r="V61" i="4"/>
  <c r="U61" i="4"/>
  <c r="T61" i="4"/>
  <c r="S61" i="4"/>
  <c r="Q61" i="4"/>
  <c r="O61" i="4"/>
  <c r="M61" i="4"/>
  <c r="K61" i="4"/>
  <c r="X60" i="4"/>
  <c r="W60" i="4"/>
  <c r="V60" i="4"/>
  <c r="U60" i="4"/>
  <c r="T60" i="4"/>
  <c r="S60" i="4"/>
  <c r="Q60" i="4"/>
  <c r="O60" i="4"/>
  <c r="M60" i="4"/>
  <c r="K60" i="4"/>
  <c r="X59" i="4"/>
  <c r="W59" i="4"/>
  <c r="V59" i="4"/>
  <c r="U59" i="4"/>
  <c r="T59" i="4"/>
  <c r="S59" i="4"/>
  <c r="Q59" i="4"/>
  <c r="O59" i="4"/>
  <c r="M59" i="4"/>
  <c r="K59" i="4"/>
  <c r="X58" i="4"/>
  <c r="W58" i="4"/>
  <c r="V58" i="4"/>
  <c r="U58" i="4"/>
  <c r="T58" i="4"/>
  <c r="S58" i="4"/>
  <c r="Q58" i="4"/>
  <c r="O58" i="4"/>
  <c r="M58" i="4"/>
  <c r="K58" i="4"/>
  <c r="X57" i="4"/>
  <c r="W57" i="4"/>
  <c r="V57" i="4"/>
  <c r="U57" i="4"/>
  <c r="T57" i="4"/>
  <c r="S57" i="4"/>
  <c r="Q57" i="4"/>
  <c r="O57" i="4"/>
  <c r="M57" i="4"/>
  <c r="K57" i="4"/>
  <c r="X56" i="4"/>
  <c r="W56" i="4"/>
  <c r="V56" i="4"/>
  <c r="U56" i="4"/>
  <c r="T56" i="4"/>
  <c r="S56" i="4"/>
  <c r="Q56" i="4"/>
  <c r="O56" i="4"/>
  <c r="M56" i="4"/>
  <c r="K56" i="4"/>
  <c r="X55" i="4"/>
  <c r="W55" i="4"/>
  <c r="V55" i="4"/>
  <c r="U55" i="4"/>
  <c r="T55" i="4"/>
  <c r="S55" i="4"/>
  <c r="Q55" i="4"/>
  <c r="O55" i="4"/>
  <c r="M55" i="4"/>
  <c r="K55" i="4"/>
  <c r="X54" i="4"/>
  <c r="W54" i="4"/>
  <c r="V54" i="4"/>
  <c r="U54" i="4"/>
  <c r="T54" i="4"/>
  <c r="S54" i="4"/>
  <c r="Q54" i="4"/>
  <c r="O54" i="4"/>
  <c r="M54" i="4"/>
  <c r="K54" i="4"/>
  <c r="X53" i="4"/>
  <c r="W53" i="4"/>
  <c r="V53" i="4"/>
  <c r="U53" i="4"/>
  <c r="T53" i="4"/>
  <c r="S53" i="4"/>
  <c r="Q53" i="4"/>
  <c r="O53" i="4"/>
  <c r="M53" i="4"/>
  <c r="K53" i="4"/>
  <c r="X52" i="4"/>
  <c r="W52" i="4"/>
  <c r="V52" i="4"/>
  <c r="U52" i="4"/>
  <c r="T52" i="4"/>
  <c r="S52" i="4"/>
  <c r="Q52" i="4"/>
  <c r="O52" i="4"/>
  <c r="M52" i="4"/>
  <c r="K52" i="4"/>
  <c r="X51" i="4"/>
  <c r="W51" i="4"/>
  <c r="V51" i="4"/>
  <c r="U51" i="4"/>
  <c r="T51" i="4"/>
  <c r="S51" i="4"/>
  <c r="Q51" i="4"/>
  <c r="O51" i="4"/>
  <c r="M51" i="4"/>
  <c r="K51" i="4"/>
  <c r="X50" i="4"/>
  <c r="W50" i="4"/>
  <c r="V50" i="4"/>
  <c r="U50" i="4"/>
  <c r="T50" i="4"/>
  <c r="S50" i="4"/>
  <c r="Q50" i="4"/>
  <c r="O50" i="4"/>
  <c r="M50" i="4"/>
  <c r="K50" i="4"/>
  <c r="X49" i="4"/>
  <c r="W49" i="4"/>
  <c r="V49" i="4"/>
  <c r="U49" i="4"/>
  <c r="T49" i="4"/>
  <c r="S49" i="4"/>
  <c r="Q49" i="4"/>
  <c r="O49" i="4"/>
  <c r="M49" i="4"/>
  <c r="K49" i="4"/>
  <c r="X48" i="4"/>
  <c r="W48" i="4"/>
  <c r="V48" i="4"/>
  <c r="U48" i="4"/>
  <c r="T48" i="4"/>
  <c r="S48" i="4"/>
  <c r="Q48" i="4"/>
  <c r="O48" i="4"/>
  <c r="M48" i="4"/>
  <c r="K48" i="4"/>
  <c r="X47" i="4"/>
  <c r="W47" i="4"/>
  <c r="V47" i="4"/>
  <c r="U47" i="4"/>
  <c r="T47" i="4"/>
  <c r="S47" i="4"/>
  <c r="Q47" i="4"/>
  <c r="O47" i="4"/>
  <c r="M47" i="4"/>
  <c r="K47" i="4"/>
  <c r="X46" i="4"/>
  <c r="W46" i="4"/>
  <c r="V46" i="4"/>
  <c r="U46" i="4"/>
  <c r="T46" i="4"/>
  <c r="S46" i="4"/>
  <c r="Q46" i="4"/>
  <c r="O46" i="4"/>
  <c r="M46" i="4"/>
  <c r="K46" i="4"/>
  <c r="X45" i="4"/>
  <c r="W45" i="4"/>
  <c r="V45" i="4"/>
  <c r="U45" i="4"/>
  <c r="T45" i="4"/>
  <c r="S45" i="4"/>
  <c r="Q45" i="4"/>
  <c r="O45" i="4"/>
  <c r="M45" i="4"/>
  <c r="K45" i="4"/>
  <c r="X44" i="4"/>
  <c r="W44" i="4"/>
  <c r="V44" i="4"/>
  <c r="U44" i="4"/>
  <c r="T44" i="4"/>
  <c r="S44" i="4"/>
  <c r="Q44" i="4"/>
  <c r="O44" i="4"/>
  <c r="M44" i="4"/>
  <c r="K44" i="4"/>
  <c r="X43" i="4"/>
  <c r="W43" i="4"/>
  <c r="V43" i="4"/>
  <c r="U43" i="4"/>
  <c r="T43" i="4"/>
  <c r="S43" i="4"/>
  <c r="Q43" i="4"/>
  <c r="O43" i="4"/>
  <c r="M43" i="4"/>
  <c r="K43" i="4"/>
  <c r="X42" i="4"/>
  <c r="W42" i="4"/>
  <c r="V42" i="4"/>
  <c r="U42" i="4"/>
  <c r="T42" i="4"/>
  <c r="S42" i="4"/>
  <c r="Q42" i="4"/>
  <c r="O42" i="4"/>
  <c r="M42" i="4"/>
  <c r="K42" i="4"/>
  <c r="X41" i="4"/>
  <c r="W41" i="4"/>
  <c r="V41" i="4"/>
  <c r="U41" i="4"/>
  <c r="T41" i="4"/>
  <c r="S41" i="4"/>
  <c r="Q41" i="4"/>
  <c r="O41" i="4"/>
  <c r="M41" i="4"/>
  <c r="K41" i="4"/>
  <c r="X40" i="4"/>
  <c r="W40" i="4"/>
  <c r="V40" i="4"/>
  <c r="U40" i="4"/>
  <c r="T40" i="4"/>
  <c r="S40" i="4"/>
  <c r="Q40" i="4"/>
  <c r="O40" i="4"/>
  <c r="M40" i="4"/>
  <c r="K40" i="4"/>
  <c r="X39" i="4"/>
  <c r="W39" i="4"/>
  <c r="V39" i="4"/>
  <c r="U39" i="4"/>
  <c r="T39" i="4"/>
  <c r="S39" i="4"/>
  <c r="Q39" i="4"/>
  <c r="O39" i="4"/>
  <c r="M39" i="4"/>
  <c r="K39" i="4"/>
  <c r="X38" i="4"/>
  <c r="W38" i="4"/>
  <c r="V38" i="4"/>
  <c r="U38" i="4"/>
  <c r="T38" i="4"/>
  <c r="S38" i="4"/>
  <c r="Q38" i="4"/>
  <c r="O38" i="4"/>
  <c r="M38" i="4"/>
  <c r="K38" i="4"/>
  <c r="X37" i="4"/>
  <c r="W37" i="4"/>
  <c r="V37" i="4"/>
  <c r="U37" i="4"/>
  <c r="T37" i="4"/>
  <c r="S37" i="4"/>
  <c r="Q37" i="4"/>
  <c r="O37" i="4"/>
  <c r="M37" i="4"/>
  <c r="K37" i="4"/>
  <c r="X36" i="4"/>
  <c r="W36" i="4"/>
  <c r="V36" i="4"/>
  <c r="U36" i="4"/>
  <c r="T36" i="4"/>
  <c r="S36" i="4"/>
  <c r="Q36" i="4"/>
  <c r="O36" i="4"/>
  <c r="M36" i="4"/>
  <c r="K36" i="4"/>
  <c r="X35" i="4"/>
  <c r="W35" i="4"/>
  <c r="V35" i="4"/>
  <c r="U35" i="4"/>
  <c r="T35" i="4"/>
  <c r="S35" i="4"/>
  <c r="Q35" i="4"/>
  <c r="O35" i="4"/>
  <c r="M35" i="4"/>
  <c r="K35" i="4"/>
  <c r="X34" i="4"/>
  <c r="W34" i="4"/>
  <c r="V34" i="4"/>
  <c r="U34" i="4"/>
  <c r="T34" i="4"/>
  <c r="S34" i="4"/>
  <c r="Q34" i="4"/>
  <c r="O34" i="4"/>
  <c r="M34" i="4"/>
  <c r="K34" i="4"/>
  <c r="X33" i="4"/>
  <c r="W33" i="4"/>
  <c r="V33" i="4"/>
  <c r="U33" i="4"/>
  <c r="T33" i="4"/>
  <c r="S33" i="4"/>
  <c r="Q33" i="4"/>
  <c r="O33" i="4"/>
  <c r="M33" i="4"/>
  <c r="K33" i="4"/>
  <c r="X32" i="4"/>
  <c r="W32" i="4"/>
  <c r="V32" i="4"/>
  <c r="U32" i="4"/>
  <c r="T32" i="4"/>
  <c r="S32" i="4"/>
  <c r="Q32" i="4"/>
  <c r="O32" i="4"/>
  <c r="M32" i="4"/>
  <c r="K32" i="4"/>
  <c r="X31" i="4"/>
  <c r="W31" i="4"/>
  <c r="V31" i="4"/>
  <c r="U31" i="4"/>
  <c r="T31" i="4"/>
  <c r="S31" i="4"/>
  <c r="Q31" i="4"/>
  <c r="O31" i="4"/>
  <c r="M31" i="4"/>
  <c r="K31" i="4"/>
  <c r="X30" i="4"/>
  <c r="W30" i="4"/>
  <c r="V30" i="4"/>
  <c r="U30" i="4"/>
  <c r="T30" i="4"/>
  <c r="S30" i="4"/>
  <c r="Q30" i="4"/>
  <c r="O30" i="4"/>
  <c r="M30" i="4"/>
  <c r="K30" i="4"/>
  <c r="X29" i="4"/>
  <c r="W29" i="4"/>
  <c r="V29" i="4"/>
  <c r="U29" i="4"/>
  <c r="T29" i="4"/>
  <c r="S29" i="4"/>
  <c r="Q29" i="4"/>
  <c r="O29" i="4"/>
  <c r="M29" i="4"/>
  <c r="K29" i="4"/>
  <c r="X28" i="4"/>
  <c r="W28" i="4"/>
  <c r="V28" i="4"/>
  <c r="U28" i="4"/>
  <c r="T28" i="4"/>
  <c r="S28" i="4"/>
  <c r="Q28" i="4"/>
  <c r="O28" i="4"/>
  <c r="M28" i="4"/>
  <c r="K28" i="4"/>
  <c r="X27" i="4"/>
  <c r="W27" i="4"/>
  <c r="V27" i="4"/>
  <c r="U27" i="4"/>
  <c r="T27" i="4"/>
  <c r="S27" i="4"/>
  <c r="Q27" i="4"/>
  <c r="O27" i="4"/>
  <c r="M27" i="4"/>
  <c r="K27" i="4"/>
  <c r="X26" i="4"/>
  <c r="W26" i="4"/>
  <c r="V26" i="4"/>
  <c r="U26" i="4"/>
  <c r="T26" i="4"/>
  <c r="S26" i="4"/>
  <c r="Q26" i="4"/>
  <c r="O26" i="4"/>
  <c r="M26" i="4"/>
  <c r="K26" i="4"/>
  <c r="X25" i="4"/>
  <c r="W25" i="4"/>
  <c r="V25" i="4"/>
  <c r="U25" i="4"/>
  <c r="T25" i="4"/>
  <c r="S25" i="4"/>
  <c r="Q25" i="4"/>
  <c r="O25" i="4"/>
  <c r="M25" i="4"/>
  <c r="K25" i="4"/>
  <c r="X24" i="4"/>
  <c r="W24" i="4"/>
  <c r="V24" i="4"/>
  <c r="U24" i="4"/>
  <c r="T24" i="4"/>
  <c r="S24" i="4"/>
  <c r="Q24" i="4"/>
  <c r="O24" i="4"/>
  <c r="M24" i="4"/>
  <c r="K24" i="4"/>
  <c r="X23" i="4"/>
  <c r="W23" i="4"/>
  <c r="V23" i="4"/>
  <c r="U23" i="4"/>
  <c r="T23" i="4"/>
  <c r="S23" i="4"/>
  <c r="Q23" i="4"/>
  <c r="O23" i="4"/>
  <c r="M23" i="4"/>
  <c r="K23" i="4"/>
  <c r="X22" i="4"/>
  <c r="W22" i="4"/>
  <c r="V22" i="4"/>
  <c r="U22" i="4"/>
  <c r="T22" i="4"/>
  <c r="S22" i="4"/>
  <c r="Q22" i="4"/>
  <c r="O22" i="4"/>
  <c r="M22" i="4"/>
  <c r="K22" i="4"/>
  <c r="X21" i="4"/>
  <c r="W21" i="4"/>
  <c r="V21" i="4"/>
  <c r="U21" i="4"/>
  <c r="T21" i="4"/>
  <c r="S21" i="4"/>
  <c r="Q21" i="4"/>
  <c r="O21" i="4"/>
  <c r="M21" i="4"/>
  <c r="K21" i="4"/>
  <c r="X20" i="4"/>
  <c r="W20" i="4"/>
  <c r="V20" i="4"/>
  <c r="U20" i="4"/>
  <c r="T20" i="4"/>
  <c r="S20" i="4"/>
  <c r="Q20" i="4"/>
  <c r="O20" i="4"/>
  <c r="M20" i="4"/>
  <c r="K20" i="4"/>
  <c r="X19" i="4"/>
  <c r="W19" i="4"/>
  <c r="V19" i="4"/>
  <c r="U19" i="4"/>
  <c r="T19" i="4"/>
  <c r="S19" i="4"/>
  <c r="Q19" i="4"/>
  <c r="O19" i="4"/>
  <c r="M19" i="4"/>
  <c r="K19" i="4"/>
  <c r="X18" i="4"/>
  <c r="W18" i="4"/>
  <c r="V18" i="4"/>
  <c r="U18" i="4"/>
  <c r="T18" i="4"/>
  <c r="S18" i="4"/>
  <c r="Q18" i="4"/>
  <c r="O18" i="4"/>
  <c r="M18" i="4"/>
  <c r="K18" i="4"/>
  <c r="X17" i="4"/>
  <c r="W17" i="4"/>
  <c r="V17" i="4"/>
  <c r="U17" i="4"/>
  <c r="T17" i="4"/>
  <c r="S17" i="4"/>
  <c r="Q17" i="4"/>
  <c r="O17" i="4"/>
  <c r="M17" i="4"/>
  <c r="K17" i="4"/>
  <c r="X16" i="4"/>
  <c r="W16" i="4"/>
  <c r="V16" i="4"/>
  <c r="U16" i="4"/>
  <c r="T16" i="4"/>
  <c r="S16" i="4"/>
  <c r="Q16" i="4"/>
  <c r="O16" i="4"/>
  <c r="M16" i="4"/>
  <c r="K16" i="4"/>
  <c r="X15" i="4"/>
  <c r="W15" i="4"/>
  <c r="V15" i="4"/>
  <c r="U15" i="4"/>
  <c r="T15" i="4"/>
  <c r="S15" i="4"/>
  <c r="Q15" i="4"/>
  <c r="O15" i="4"/>
  <c r="M15" i="4"/>
  <c r="K15" i="4"/>
  <c r="X14" i="4"/>
  <c r="W14" i="4"/>
  <c r="V14" i="4"/>
  <c r="U14" i="4"/>
  <c r="T14" i="4"/>
  <c r="S14" i="4"/>
  <c r="Q14" i="4"/>
  <c r="O14" i="4"/>
  <c r="M14" i="4"/>
  <c r="K14" i="4"/>
  <c r="X13" i="4"/>
  <c r="W13" i="4"/>
  <c r="V13" i="4"/>
  <c r="U13" i="4"/>
  <c r="T13" i="4"/>
  <c r="S13" i="4"/>
  <c r="Q13" i="4"/>
  <c r="O13" i="4"/>
  <c r="M13" i="4"/>
  <c r="K13" i="4"/>
  <c r="X12" i="4"/>
  <c r="W12" i="4"/>
  <c r="V12" i="4"/>
  <c r="U12" i="4"/>
  <c r="T12" i="4"/>
  <c r="S12" i="4"/>
  <c r="Q12" i="4"/>
  <c r="O12" i="4"/>
  <c r="M12" i="4"/>
  <c r="K12" i="4"/>
  <c r="X11" i="4"/>
  <c r="W11" i="4"/>
  <c r="V11" i="4"/>
  <c r="U11" i="4"/>
  <c r="T11" i="4"/>
  <c r="S11" i="4"/>
  <c r="Q11" i="4"/>
  <c r="O11" i="4"/>
  <c r="M11" i="4"/>
  <c r="K11" i="4"/>
  <c r="X10" i="4"/>
  <c r="W10" i="4"/>
  <c r="V10" i="4"/>
  <c r="U10" i="4"/>
  <c r="T10" i="4"/>
  <c r="S10" i="4"/>
  <c r="Q10" i="4"/>
  <c r="O10" i="4"/>
  <c r="M10" i="4"/>
  <c r="K10" i="4"/>
  <c r="X9" i="4"/>
  <c r="W9" i="4"/>
  <c r="V9" i="4"/>
  <c r="U9" i="4"/>
  <c r="T9" i="4"/>
  <c r="S9" i="4"/>
  <c r="Q9" i="4"/>
  <c r="O9" i="4"/>
  <c r="M9" i="4"/>
  <c r="K9" i="4"/>
  <c r="X8" i="4"/>
  <c r="W8" i="4"/>
  <c r="V8" i="4"/>
  <c r="U8" i="4"/>
  <c r="T8" i="4"/>
  <c r="S8" i="4"/>
  <c r="Q8" i="4"/>
  <c r="O8" i="4"/>
  <c r="M8" i="4"/>
  <c r="K8" i="4"/>
  <c r="X7" i="4"/>
  <c r="W7" i="4"/>
  <c r="V7" i="4"/>
  <c r="U7" i="4"/>
  <c r="T7" i="4"/>
  <c r="S7" i="4"/>
  <c r="Q7" i="4"/>
  <c r="O7" i="4"/>
  <c r="M7" i="4"/>
  <c r="K7" i="4"/>
</calcChain>
</file>

<file path=xl/sharedStrings.xml><?xml version="1.0" encoding="utf-8"?>
<sst xmlns="http://schemas.openxmlformats.org/spreadsheetml/2006/main" count="36431" uniqueCount="935">
  <si>
    <t>銘柄コード</t>
    <rPh sb="0" eb="2">
      <t>メイガラ</t>
    </rPh>
    <phoneticPr fontId="3"/>
  </si>
  <si>
    <t>Issues</t>
  </si>
  <si>
    <t>日付</t>
    <rPh sb="0" eb="2">
      <t>ヒヅケ</t>
    </rPh>
    <phoneticPr fontId="3"/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</si>
  <si>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</si>
  <si>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</si>
  <si>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</si>
  <si>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</si>
  <si>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</si>
  <si>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</si>
  <si>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</si>
  <si>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</si>
  <si>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</si>
  <si>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</si>
  <si>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</si>
  <si>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</si>
  <si>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margin/loan</t>
    <phoneticPr fontId="10"/>
  </si>
  <si>
    <t>Open</t>
  </si>
  <si>
    <t>Low</t>
  </si>
  <si>
    <t>Close</t>
  </si>
  <si>
    <t>Trading Volume</t>
  </si>
  <si>
    <t>Trading Value</t>
  </si>
  <si>
    <t>口(units）</t>
  </si>
  <si>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</si>
  <si>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E　T　F　相　場　表</t>
    <rPh sb="6" eb="7">
      <t>ソウ</t>
    </rPh>
    <rPh sb="8" eb="9">
      <t>バ</t>
    </rPh>
    <rPh sb="10" eb="11">
      <t>ヒョウ</t>
    </rPh>
    <phoneticPr fontId="3"/>
  </si>
  <si>
    <t>Exchange-Traded Fund Quotations</t>
    <phoneticPr fontId="3"/>
  </si>
  <si>
    <t>年月</t>
    <phoneticPr fontId="10"/>
  </si>
  <si>
    <t>区分</t>
    <phoneticPr fontId="10"/>
  </si>
  <si>
    <t>Year/Month</t>
    <phoneticPr fontId="10"/>
  </si>
  <si>
    <t>Code</t>
    <phoneticPr fontId="10"/>
  </si>
  <si>
    <t>銘柄名称</t>
    <phoneticPr fontId="10"/>
  </si>
  <si>
    <t>銘柄属性</t>
    <rPh sb="0" eb="2">
      <t>メイガラ</t>
    </rPh>
    <rPh sb="2" eb="4">
      <t>ゾクセイ</t>
    </rPh>
    <phoneticPr fontId="10"/>
  </si>
  <si>
    <t>Attribute</t>
    <phoneticPr fontId="10"/>
  </si>
  <si>
    <t>Date</t>
    <phoneticPr fontId="3"/>
  </si>
  <si>
    <t>Sector</t>
    <phoneticPr fontId="10"/>
  </si>
  <si>
    <t>Trading Unit</t>
    <phoneticPr fontId="3"/>
  </si>
  <si>
    <t>High</t>
    <phoneticPr fontId="3"/>
  </si>
  <si>
    <t>Average Closing Price</t>
    <phoneticPr fontId="10"/>
  </si>
  <si>
    <t>Trading Volume(ToSTNeT)</t>
    <phoneticPr fontId="10"/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</si>
  <si>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</si>
  <si>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</si>
  <si>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</si>
  <si>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</si>
  <si>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2020/01</t>
  </si>
  <si>
    <t>1305</t>
  </si>
  <si>
    <t>ダイワ上場投信－トピックス　受益証券</t>
  </si>
  <si>
    <t>Daiwa ETF-TOPIX</t>
  </si>
  <si>
    <t/>
  </si>
  <si>
    <t>貸借</t>
  </si>
  <si>
    <t>6</t>
  </si>
  <si>
    <t>20</t>
  </si>
  <si>
    <t>30</t>
  </si>
  <si>
    <t>31</t>
  </si>
  <si>
    <t>1306</t>
  </si>
  <si>
    <t>ＴＯＰＩＸ連動型上場投資信託　受益証券</t>
  </si>
  <si>
    <t>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</si>
  <si>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</si>
  <si>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</si>
  <si>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</si>
  <si>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</si>
  <si>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</si>
  <si>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</si>
  <si>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10</t>
  </si>
  <si>
    <t>1311</t>
  </si>
  <si>
    <t>ＴＯＰＩＸ　Ｃｏｒｅ　３０　連動型上場投資信託　受益証券</t>
  </si>
  <si>
    <t>TOPIX Core 30 Exchange Traded Fund</t>
  </si>
  <si>
    <t>8</t>
  </si>
  <si>
    <t>1312</t>
  </si>
  <si>
    <t>ラッセル野村小型コア・インデックス連動型上場投資信託　受益証券</t>
  </si>
  <si>
    <t>Russell/Nomura Small Cap Core Index Linked ETF</t>
  </si>
  <si>
    <t>1313</t>
  </si>
  <si>
    <t>サムスンＫＯＤＥＸ２００証券上場指数投資信託[株式]　受益証券</t>
  </si>
  <si>
    <t>SAMSUNG KODEX200 SECURITIES EXCHANGE TRADED FUND [STOCK]</t>
  </si>
  <si>
    <t>16</t>
  </si>
  <si>
    <t>1319</t>
  </si>
  <si>
    <t>日経３００株価指数連動型上場投資信託　受益証券</t>
  </si>
  <si>
    <t>Nikkei 300 Stock Index Listed Fund</t>
  </si>
  <si>
    <t>1320</t>
  </si>
  <si>
    <t>ダイワ上場投信－日経２２５　受益証券</t>
  </si>
  <si>
    <t>Daiwa ETF-Nikkei 225</t>
  </si>
  <si>
    <t>17</t>
  </si>
  <si>
    <t>1321</t>
  </si>
  <si>
    <t>日経２２５連動型上場投資信託　受益証券</t>
  </si>
  <si>
    <t>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</si>
  <si>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</si>
  <si>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</si>
  <si>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</si>
  <si>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15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</si>
  <si>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</si>
  <si>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</si>
  <si>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</si>
  <si>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14</t>
  </si>
  <si>
    <t>27</t>
  </si>
  <si>
    <t>1324</t>
  </si>
  <si>
    <t>ＮＥＸＴ　ＦＵＮＤＳ　ロシア株式指数・ＲＴＳ連動型上場投信　受益証券</t>
  </si>
  <si>
    <t>NEXT FUNDS Russia RTS Linked Exchange Traded Fund</t>
  </si>
  <si>
    <t>28</t>
  </si>
  <si>
    <t>1325</t>
  </si>
  <si>
    <t>ＮＥＸＴ　ＦＵＮＤＳ　ブラジル株式指数・ボベスパ連動型上場投信　受益証券</t>
  </si>
  <si>
    <t>NEXT FUNDS Ibovespa Linked Exchange Traded Fund</t>
  </si>
  <si>
    <t>23</t>
  </si>
  <si>
    <t>7</t>
  </si>
  <si>
    <t>1326</t>
  </si>
  <si>
    <t>ＳＰＤＲゴールド・シェア　受益証券</t>
  </si>
  <si>
    <t>SPDR Gold Shares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</si>
  <si>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</si>
  <si>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</si>
  <si>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</si>
  <si>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1328</t>
  </si>
  <si>
    <t>金価格連動型上場投資信託　受益証券</t>
  </si>
  <si>
    <t>Gold-Price-Linked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</si>
  <si>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</si>
  <si>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</si>
  <si>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</si>
  <si>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</si>
  <si>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</si>
  <si>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</si>
  <si>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</si>
  <si>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</si>
  <si>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</si>
  <si>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9</t>
  </si>
  <si>
    <t>1344</t>
  </si>
  <si>
    <t>ＭＡＸＩＳ　トピックス・コア３０上場投信　受益証券</t>
  </si>
  <si>
    <t>MAXIS TOPIX Core30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</si>
  <si>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</si>
  <si>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</si>
  <si>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</si>
  <si>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</si>
  <si>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</si>
  <si>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</si>
  <si>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</si>
  <si>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</si>
  <si>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</si>
  <si>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</si>
  <si>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</si>
  <si>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</si>
  <si>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</si>
  <si>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</si>
  <si>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</si>
  <si>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</si>
  <si>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</si>
  <si>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</si>
  <si>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</si>
  <si>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</si>
  <si>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</si>
  <si>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</si>
  <si>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</si>
  <si>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</si>
  <si>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</si>
  <si>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</si>
  <si>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</si>
  <si>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21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</si>
  <si>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</si>
  <si>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</si>
  <si>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</si>
  <si>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</si>
  <si>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</si>
  <si>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</si>
  <si>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</si>
  <si>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</si>
  <si>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</si>
  <si>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</si>
  <si>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</si>
  <si>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</si>
  <si>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</si>
  <si>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</si>
  <si>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</si>
  <si>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</si>
  <si>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</si>
  <si>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</si>
  <si>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</si>
  <si>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</si>
  <si>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</si>
  <si>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</si>
  <si>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</si>
  <si>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</si>
  <si>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24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</si>
  <si>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</si>
  <si>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</si>
  <si>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</si>
  <si>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</si>
  <si>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</si>
  <si>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</si>
  <si>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</si>
  <si>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</si>
  <si>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</si>
  <si>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</si>
  <si>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</si>
  <si>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</si>
  <si>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</si>
  <si>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</si>
  <si>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</si>
  <si>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</si>
  <si>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</si>
  <si>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</si>
  <si>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</si>
  <si>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</si>
  <si>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</si>
  <si>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</si>
  <si>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</si>
  <si>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</si>
  <si>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</si>
  <si>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</si>
  <si>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</si>
  <si>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</si>
  <si>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</si>
  <si>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</si>
  <si>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</si>
  <si>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</si>
  <si>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</si>
  <si>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</si>
  <si>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</si>
  <si>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</si>
  <si>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</si>
  <si>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</si>
  <si>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</si>
  <si>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</si>
  <si>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</si>
  <si>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</si>
  <si>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</si>
  <si>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</si>
  <si>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</si>
  <si>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</si>
  <si>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</si>
  <si>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</si>
  <si>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</si>
  <si>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</si>
  <si>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</si>
  <si>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</si>
  <si>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</si>
  <si>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</si>
  <si>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</si>
  <si>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</si>
  <si>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</si>
  <si>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</si>
  <si>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</si>
  <si>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</si>
  <si>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</si>
  <si>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</si>
  <si>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</si>
  <si>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</si>
  <si>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</si>
  <si>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</si>
  <si>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</si>
  <si>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</si>
  <si>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</si>
  <si>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29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</si>
  <si>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</si>
  <si>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</si>
  <si>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</si>
  <si>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</si>
  <si>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</si>
  <si>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</si>
  <si>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</si>
  <si>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</si>
  <si>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</si>
  <si>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</si>
  <si>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</si>
  <si>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</si>
  <si>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</si>
  <si>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</si>
  <si>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</si>
  <si>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</si>
  <si>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</si>
  <si>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</si>
  <si>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</si>
  <si>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</si>
  <si>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</si>
  <si>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</si>
  <si>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</si>
  <si>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</si>
  <si>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</si>
  <si>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</si>
  <si>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</si>
  <si>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</si>
  <si>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</si>
  <si>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</si>
  <si>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</si>
  <si>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</si>
  <si>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</si>
  <si>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</si>
  <si>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</si>
  <si>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</si>
  <si>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</si>
  <si>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</si>
  <si>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</si>
  <si>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</si>
  <si>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</si>
  <si>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</si>
  <si>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</si>
  <si>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</si>
  <si>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</si>
  <si>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</si>
  <si>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</si>
  <si>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</si>
  <si>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</si>
  <si>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</si>
  <si>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</si>
  <si>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</si>
  <si>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</si>
  <si>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</si>
  <si>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</si>
  <si>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</si>
  <si>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</si>
  <si>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</si>
  <si>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</si>
  <si>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</si>
  <si>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</si>
  <si>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</si>
  <si>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</si>
  <si>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22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</si>
  <si>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</si>
  <si>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</si>
  <si>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</si>
  <si>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</si>
  <si>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</si>
  <si>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</si>
  <si>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</si>
  <si>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</si>
  <si>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</si>
  <si>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</si>
  <si>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</si>
  <si>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</si>
  <si>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</si>
  <si>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</si>
  <si>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</si>
  <si>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</si>
  <si>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</si>
  <si>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</si>
  <si>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</si>
  <si>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</si>
  <si>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</si>
  <si>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</si>
  <si>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</si>
  <si>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</si>
  <si>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</si>
  <si>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</si>
  <si>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</si>
  <si>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</si>
  <si>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</si>
  <si>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</si>
  <si>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</si>
  <si>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</si>
  <si>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</si>
  <si>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</si>
  <si>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</si>
  <si>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</si>
  <si>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</si>
  <si>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</si>
  <si>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</si>
  <si>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</si>
  <si>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</si>
  <si>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</si>
  <si>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</si>
  <si>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</si>
  <si>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</si>
  <si>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</si>
  <si>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</si>
  <si>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</si>
  <si>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</si>
  <si>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</si>
  <si>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</si>
  <si>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</si>
  <si>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</si>
  <si>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</si>
  <si>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</si>
  <si>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</si>
  <si>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</si>
  <si>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</si>
  <si>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</si>
  <si>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</si>
  <si>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</si>
  <si>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</si>
  <si>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</si>
  <si>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</si>
  <si>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</si>
  <si>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</si>
  <si>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</si>
  <si>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</si>
  <si>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</si>
  <si>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</si>
  <si>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</si>
  <si>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</si>
  <si>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</si>
  <si>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</si>
  <si>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</si>
  <si>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</si>
  <si>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</si>
  <si>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</si>
  <si>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</si>
  <si>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</si>
  <si>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</si>
  <si>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</si>
  <si>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</si>
  <si>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</si>
  <si>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</si>
  <si>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</si>
  <si>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</si>
  <si>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</si>
  <si>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</si>
  <si>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</si>
  <si>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</si>
  <si>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</si>
  <si>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</si>
  <si>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</si>
  <si>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</si>
  <si>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</si>
  <si>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</si>
  <si>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</si>
  <si>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</si>
  <si>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</si>
  <si>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</si>
  <si>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</si>
  <si>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</si>
  <si>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</si>
  <si>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</si>
  <si>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</si>
  <si>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</si>
  <si>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</si>
  <si>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</si>
  <si>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</si>
  <si>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</si>
  <si>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</si>
  <si>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</si>
  <si>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</si>
  <si>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</si>
  <si>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</si>
  <si>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ETF・TOPIX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</si>
  <si>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</si>
  <si>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</si>
  <si>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</si>
  <si>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</si>
  <si>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</si>
  <si>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</si>
  <si>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</si>
  <si>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</si>
  <si>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</si>
  <si>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</si>
  <si>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</si>
  <si>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</si>
  <si>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</si>
  <si>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</si>
  <si>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</si>
  <si>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</si>
  <si>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</si>
  <si>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</si>
  <si>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</si>
  <si>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</si>
  <si>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</si>
  <si>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</si>
  <si>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</si>
  <si>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</si>
  <si>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</si>
  <si>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</si>
  <si>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</si>
  <si>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1613</t>
  </si>
  <si>
    <t>東証電気機器株価指数連動型上場投資信託　受益証券</t>
  </si>
  <si>
    <t>TOPIX Electric Appliances Exchange Traded Fund</t>
  </si>
  <si>
    <t>1615</t>
  </si>
  <si>
    <t>東証銀行業株価指数連動型上場投資信託　受益証券</t>
  </si>
  <si>
    <t>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</si>
  <si>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</si>
  <si>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</si>
  <si>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</si>
  <si>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</si>
  <si>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</si>
  <si>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</si>
  <si>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</si>
  <si>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</si>
  <si>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</si>
  <si>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</si>
  <si>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</si>
  <si>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</si>
  <si>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</si>
  <si>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</si>
  <si>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</si>
  <si>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</si>
  <si>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</si>
  <si>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</si>
  <si>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</si>
  <si>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</si>
  <si>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</si>
  <si>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</si>
  <si>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</si>
  <si>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</si>
  <si>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</si>
  <si>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</si>
  <si>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</si>
  <si>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</si>
  <si>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</si>
  <si>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</si>
  <si>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</si>
  <si>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</si>
  <si>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</si>
  <si>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</si>
  <si>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</si>
  <si>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</si>
  <si>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</si>
  <si>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</si>
  <si>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</si>
  <si>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</si>
  <si>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</si>
  <si>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</si>
  <si>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</si>
  <si>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</si>
  <si>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</si>
  <si>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</si>
  <si>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</si>
  <si>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</si>
  <si>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</si>
  <si>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</si>
  <si>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</si>
  <si>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</si>
  <si>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</si>
  <si>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</si>
  <si>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</si>
  <si>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</si>
  <si>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</si>
  <si>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</si>
  <si>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</si>
  <si>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</si>
  <si>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</si>
  <si>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</si>
  <si>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</si>
  <si>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</si>
  <si>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</si>
  <si>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</si>
  <si>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</si>
  <si>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</si>
  <si>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</si>
  <si>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</si>
  <si>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</si>
  <si>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</si>
  <si>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</si>
  <si>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</si>
  <si>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</si>
  <si>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</si>
  <si>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</si>
  <si>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</si>
  <si>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</si>
  <si>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</si>
  <si>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</si>
  <si>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1670</t>
  </si>
  <si>
    <t>ＭＡＸＩＳ　Ｓ＆Ｐ三菱系企業群上場投信　受益証券</t>
  </si>
  <si>
    <t>MAXIS S&amp;P Mitsubishi Group ETF</t>
  </si>
  <si>
    <t>1671</t>
  </si>
  <si>
    <t>ＷＴＩ原油価格連動型上場投信　受益証券</t>
  </si>
  <si>
    <t>Simplex WTI ETF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</si>
  <si>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</si>
  <si>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</si>
  <si>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</si>
  <si>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</si>
  <si>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</si>
  <si>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</si>
  <si>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</si>
  <si>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</si>
  <si>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</si>
  <si>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</si>
  <si>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</si>
  <si>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</si>
  <si>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</si>
  <si>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</si>
  <si>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</si>
  <si>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</si>
  <si>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日経・東商取白金指数連動型上場投信　受益証券</t>
  </si>
  <si>
    <t>NEXT FUNDS Nikkei-TOCOM Platinum Index Linked Exchange</t>
  </si>
  <si>
    <t>1683</t>
  </si>
  <si>
    <t>Ｏｎｅ　ＥＴＦ　国内金先物　受益証券</t>
  </si>
  <si>
    <t>One ETF Gold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</si>
  <si>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</si>
  <si>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</si>
  <si>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</si>
  <si>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</si>
  <si>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</si>
  <si>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</si>
  <si>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</si>
  <si>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</si>
  <si>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</si>
  <si>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</si>
  <si>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</si>
  <si>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</si>
  <si>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</si>
  <si>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</si>
  <si>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</si>
  <si>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</si>
  <si>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</si>
  <si>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</si>
  <si>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</si>
  <si>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</si>
  <si>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</si>
  <si>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</si>
  <si>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</si>
  <si>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日経・ＴＯＣＯＭ　金　ダブル・ブル　ＥＴＮ　受益証券</t>
  </si>
  <si>
    <t>NEXT NOTES Nikkei-TOCOM Leveraged Gold ETN</t>
  </si>
  <si>
    <t>2037</t>
  </si>
  <si>
    <t>ＮＥＸＴ　ＮＯＴＥＳ　日経・ＴＯＣＯＭ　金　ベア　ＥＴＮ　受益証券</t>
  </si>
  <si>
    <t>NEXT NOTES Nikkei-TOCOM Inverse Gold ETN</t>
  </si>
  <si>
    <t>2038</t>
  </si>
  <si>
    <t>ＮＥＸＴ　ＮＯＴＥＳ　日経・ＴＯＣＯＭ　原油　ダブル・ブル　ＥＴＮ　受益証券</t>
  </si>
  <si>
    <t>NEXT NOTES Nikkei-TOCOM Leveraged Crude Oil ETN</t>
  </si>
  <si>
    <t>2039</t>
  </si>
  <si>
    <t>ＮＥＸＴ　ＮＯＴＥＳ　日経・ＴＯＣＯＭ　原油　ベア　ＥＴＮ　受益証券</t>
  </si>
  <si>
    <t>NEXT NOTES Nikkei-TOCOM Inverse Crude Oil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</si>
  <si>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</si>
  <si>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</si>
  <si>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</si>
  <si>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</si>
  <si>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</si>
  <si>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</si>
  <si>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</si>
  <si>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</si>
  <si>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</si>
  <si>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</si>
  <si>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</si>
  <si>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</si>
  <si>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</si>
  <si>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</si>
  <si>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</si>
  <si>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</si>
  <si>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</si>
  <si>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</si>
  <si>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</si>
  <si>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</si>
  <si>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</si>
  <si>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</si>
  <si>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</si>
  <si>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</si>
  <si>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</si>
  <si>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</si>
  <si>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</si>
  <si>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</si>
  <si>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</si>
  <si>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</si>
  <si>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</si>
  <si>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</si>
  <si>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</si>
  <si>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</si>
  <si>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</si>
  <si>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</si>
  <si>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</si>
  <si>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</si>
  <si>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</si>
  <si>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</si>
  <si>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</si>
  <si>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</si>
  <si>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</si>
  <si>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</si>
  <si>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</si>
  <si>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</si>
  <si>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</si>
  <si>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</si>
  <si>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</si>
  <si>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</si>
  <si>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</si>
  <si>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</si>
  <si>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</si>
  <si>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</si>
  <si>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</si>
  <si>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</si>
  <si>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</si>
  <si>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</si>
  <si>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</si>
  <si>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</si>
  <si>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</si>
  <si>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</si>
  <si>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</si>
  <si>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</si>
  <si>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</si>
  <si>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</si>
  <si>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</si>
  <si>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</si>
  <si>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</si>
  <si>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</si>
  <si>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</si>
  <si>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</si>
  <si>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</si>
  <si>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</si>
  <si>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</si>
  <si>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</si>
  <si>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</si>
  <si>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</si>
  <si>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</si>
  <si>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</si>
  <si>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</si>
  <si>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</si>
  <si>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</si>
  <si>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</si>
  <si>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</si>
  <si>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</si>
  <si>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</si>
  <si>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</si>
  <si>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</si>
  <si>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</si>
  <si>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</si>
  <si>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</si>
  <si>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</si>
  <si>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</si>
  <si>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</si>
  <si>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</si>
  <si>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</si>
  <si>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</si>
  <si>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</si>
  <si>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</si>
  <si>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</si>
  <si>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</si>
  <si>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</si>
  <si>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</si>
  <si>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</si>
  <si>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</si>
  <si>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</si>
  <si>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</si>
  <si>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</si>
  <si>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</si>
  <si>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</si>
  <si>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</si>
  <si>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</si>
  <si>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</si>
  <si>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</si>
  <si>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</si>
  <si>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</si>
  <si>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</si>
  <si>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</si>
  <si>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</si>
  <si>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</si>
  <si>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</si>
  <si>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</si>
  <si>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</si>
  <si>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</si>
  <si>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</si>
  <si>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</si>
  <si>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</si>
  <si>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</si>
  <si>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 xml:space="preserve">新規上場  </t>
  </si>
  <si>
    <t xml:space="preserve">New Listing  </t>
  </si>
  <si>
    <t xml:space="preserve">2020/01/09  </t>
  </si>
  <si>
    <t>2559</t>
  </si>
  <si>
    <t>ＭＡＸＩＳ全世界株式（オール・カントリー）上場投信　受益証券</t>
  </si>
  <si>
    <t>MAXIS World Equity (MSCI ACWI)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</si>
  <si>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</si>
  <si>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</si>
  <si>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</si>
  <si>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</si>
  <si>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</si>
  <si>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</si>
  <si>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</si>
  <si>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</si>
  <si>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</si>
  <si>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</si>
  <si>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</si>
  <si>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</si>
  <si>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</si>
  <si>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</si>
  <si>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</si>
  <si>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</si>
  <si>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</si>
  <si>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</si>
  <si>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</si>
  <si>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</si>
  <si>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</si>
  <si>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</si>
  <si>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</si>
  <si>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</si>
  <si>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</si>
  <si>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</si>
  <si>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</si>
  <si>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</si>
  <si>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</si>
  <si>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</si>
  <si>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</si>
  <si>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</si>
  <si>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</si>
  <si>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</si>
  <si>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</si>
  <si>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</si>
  <si>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</si>
  <si>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</si>
  <si>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</si>
  <si>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</si>
  <si>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</si>
  <si>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</si>
  <si>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</si>
  <si>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</si>
  <si>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</si>
  <si>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</si>
  <si>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</si>
  <si>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</si>
  <si>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</si>
  <si>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</si>
  <si>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</si>
  <si>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</si>
  <si>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</si>
  <si>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</si>
  <si>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</si>
  <si>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</si>
  <si>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</si>
  <si>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</si>
  <si>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Exchange-Traded Fund Quotations</t>
    <phoneticPr fontId="3"/>
  </si>
  <si>
    <t>年月</t>
    <phoneticPr fontId="10"/>
  </si>
  <si>
    <t>区分</t>
    <phoneticPr fontId="10"/>
  </si>
  <si>
    <t>Year/Month</t>
    <phoneticPr fontId="10"/>
  </si>
  <si>
    <t>Code</t>
    <phoneticPr fontId="10"/>
  </si>
  <si>
    <t>銘柄名称</t>
    <phoneticPr fontId="10"/>
  </si>
  <si>
    <t>Attribute</t>
    <phoneticPr fontId="10"/>
  </si>
  <si>
    <t>Date</t>
    <phoneticPr fontId="3"/>
  </si>
  <si>
    <t>Sector</t>
    <phoneticPr fontId="10"/>
  </si>
  <si>
    <t>margin/loan</t>
    <phoneticPr fontId="10"/>
  </si>
  <si>
    <t>Trading Unit</t>
    <phoneticPr fontId="3"/>
  </si>
  <si>
    <t>High</t>
    <phoneticPr fontId="3"/>
  </si>
  <si>
    <t>Average Closing Price</t>
    <phoneticPr fontId="10"/>
  </si>
  <si>
    <t>Trading Volume(ToSTNeT)</t>
    <phoneticPr fontId="10"/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</si>
  <si>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</si>
  <si>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</si>
  <si>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</si>
  <si>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</si>
  <si>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2020/02</t>
  </si>
  <si>
    <t>3</t>
  </si>
  <si>
    <t>12</t>
  </si>
  <si>
    <t>25</t>
  </si>
  <si>
    <t>5</t>
  </si>
  <si>
    <t>4</t>
  </si>
  <si>
    <t>19</t>
  </si>
  <si>
    <t>13</t>
  </si>
  <si>
    <t>26</t>
  </si>
  <si>
    <t>18</t>
  </si>
  <si>
    <t>確</t>
  </si>
  <si>
    <t>2560</t>
  </si>
  <si>
    <t>ＭＡＸＩＳカーボン・エフィシェント日本株上場投信　受益証券</t>
  </si>
  <si>
    <t>MAXIS Carbon Efficient Japan Equity ETF</t>
  </si>
  <si>
    <t xml:space="preserve">2020/02/06  </t>
  </si>
  <si>
    <t>2561</t>
  </si>
  <si>
    <t>ｉシェアーズ・コア　日本国債　ＥＴＦ　受益証券</t>
  </si>
  <si>
    <t>iShares Core Japan Government Bond ETF</t>
  </si>
  <si>
    <t xml:space="preserve">2020/02/26  </t>
  </si>
  <si>
    <t>2020/03</t>
  </si>
  <si>
    <t>2</t>
  </si>
  <si>
    <t>11</t>
  </si>
  <si>
    <t>2562</t>
  </si>
  <si>
    <t>上場インデックスファンド米国株式（ダウ平均）為替ヘッジあり　受益証券</t>
  </si>
  <si>
    <t>Listed Index Fund US Equity (Dow Average) Currency Hedge</t>
  </si>
  <si>
    <t xml:space="preserve">2020/03/18  </t>
  </si>
  <si>
    <t>2020/04</t>
  </si>
  <si>
    <t>1</t>
  </si>
  <si>
    <t>Daiwa ETF TOPIX Ex-Financials</t>
  </si>
  <si>
    <t>2020/05</t>
  </si>
  <si>
    <t>整</t>
  </si>
  <si>
    <t>2020/06</t>
  </si>
  <si>
    <t>上場インデックスファンド新興国債券　受益証券</t>
  </si>
  <si>
    <t xml:space="preserve">上場廃止  </t>
  </si>
  <si>
    <t xml:space="preserve">Removal  </t>
  </si>
  <si>
    <t xml:space="preserve">2020/06/13  </t>
  </si>
  <si>
    <t>2563</t>
  </si>
  <si>
    <t>ｉシェアーズ　Ｓ＆Ｐ　５００　米国株　ＥＴＦ（為替ヘッジあり）　受益証券</t>
  </si>
  <si>
    <t>iShares S&amp;P 500 JPY Hedged ETF</t>
  </si>
  <si>
    <t xml:space="preserve">2020/06/19  </t>
  </si>
  <si>
    <t>2020/07</t>
  </si>
  <si>
    <t>ＮＥＸＴ　ＦＵＮＤＳ　日経・ＪＰＸ白金指数連動型上場投信　受益証券</t>
  </si>
  <si>
    <t>NEXT FUNDS Nikkei-JPX Platinum Index Linked Exchange Traded Fund</t>
  </si>
  <si>
    <t>ＮＥＸＴ　ＮＯＴＥＳ　金先物　ダブル・ブル　ＥＴＮ　受益証券</t>
  </si>
  <si>
    <t>NEXT NOTES Gold Futures Double Bull ETN</t>
  </si>
  <si>
    <t>ＮＥＸＴ　ＮＯＴＥＳ　金先物　ベア　ＥＴＮ　受益証券</t>
  </si>
  <si>
    <t>NEXT NOTES Gold Futures Bear ETN</t>
  </si>
  <si>
    <t>ＮＥＸＴ　ＮＯＴＥＳ　ドバイ原油先物　ダブル・ブル　ＥＴＮ　受益証券</t>
  </si>
  <si>
    <t>NEXT NOTES Dubai Crude Oil Futures Double Bull ETN</t>
  </si>
  <si>
    <t>ＮＥＸＴ　ＮＯＴＥＳ　ドバイ原油先物　ベア　ＥＴＮ　受益証券</t>
  </si>
  <si>
    <t>NEXT NOTES Dubai Crude Oil Futures Bear ETN</t>
  </si>
  <si>
    <t>2020/08</t>
  </si>
  <si>
    <t>2564</t>
  </si>
  <si>
    <t>グローバルＸ　ＭＳＣＩスーパーディビィデンド－日本株式　ＥＴＦ　受益証券</t>
  </si>
  <si>
    <t>Global X MSCI SuperDividend Japan ETF</t>
  </si>
  <si>
    <t xml:space="preserve">2020/08/26  </t>
  </si>
  <si>
    <t>2565</t>
  </si>
  <si>
    <t>グローバルＸ　ロジスティクス・Ｊ－ＲＥＩＴ　ＥＴＦ　受益証券</t>
  </si>
  <si>
    <t>Global X Logistics J-REIT ETF</t>
  </si>
  <si>
    <t>2020/09</t>
  </si>
  <si>
    <t>ＮＥＸＴ　ＦＵＮＤＳ　ＴＯＰＩＸ連動型上場投信　受益証券</t>
  </si>
  <si>
    <t>NEXT FUNDS TOPIX Exchange Traded Fund</t>
  </si>
  <si>
    <t>ＮＥＸＴ　ＦＵＮＤＳ　ＴＯＰＩＸ　Ｃｏｒｅ　３０連動型上場投信　受益証券</t>
  </si>
  <si>
    <t>NEXT FUNDS TOPIX Core 30 Exchange Traded Fund</t>
  </si>
  <si>
    <t>ＮＥＸＴ　ＦＵＮＤＳ　ラッセル野村小型コア・インデックス連動型上場投信　受益証券</t>
  </si>
  <si>
    <t>NEXT FUNDS Russell/Nomura Small Cap Core Index Exchange Traded Fund</t>
  </si>
  <si>
    <t>ＮＥＸＴ　ＦＵＮＤＳ　日経３００株価指数連動型上場投信　受益証券</t>
  </si>
  <si>
    <t>NEXT FUNDS Nikkei 300 Index Exchange Traded Fund</t>
  </si>
  <si>
    <t>ＮＥＸＴ　ＦＵＮＤＳ　日経２２５連動型上場投信　受益証券</t>
  </si>
  <si>
    <t>NEXT FUNDS Nikkei 225 Exchange Traded Fund</t>
  </si>
  <si>
    <t>ＮＥＸＴ　ＦＵＮＤＳ　金価格連動型上場投信　受益証券</t>
  </si>
  <si>
    <t>NEXT FUNDS Gold Price Exchange Traded Fund</t>
  </si>
  <si>
    <t>ＮＥＸＴ　ＦＵＮＤＳ　東証銀行業株価指数連動型上場投信　受益証券</t>
  </si>
  <si>
    <t>NEXT FUNDS TOPIX Banks Exchange Traded Fund</t>
  </si>
  <si>
    <t>2566</t>
  </si>
  <si>
    <t>上場インデックスファンド日経ＥＳＧリート　受益証券</t>
  </si>
  <si>
    <t>Listed Index Fund Nikkei ESG REIT</t>
  </si>
  <si>
    <t xml:space="preserve">2020/09/07  </t>
  </si>
  <si>
    <t>2567</t>
  </si>
  <si>
    <t>ＮＺＡＭ　上場投信　Ｓ＆Ｐ／ＪＰＸカーボン・エフィシェント指数　受益証券</t>
  </si>
  <si>
    <t>NZAM ETF S&amp;P/JPX Carbon Efficient Index</t>
  </si>
  <si>
    <t xml:space="preserve">2020/09/11  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</si>
  <si>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</si>
  <si>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</si>
  <si>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</si>
  <si>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 xml:space="preserve">2020/09/24  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</si>
  <si>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</si>
  <si>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</si>
  <si>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</si>
  <si>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2020/10</t>
  </si>
  <si>
    <t>2620</t>
  </si>
  <si>
    <t>ｉシェアーズ　米国債１－３年　ＥＴＦ　受益証券</t>
  </si>
  <si>
    <t>iShares 1-3 Year US Treasury Bond ETF</t>
  </si>
  <si>
    <t xml:space="preserve">2020/10/15  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</si>
  <si>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</si>
  <si>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</si>
  <si>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</si>
  <si>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</si>
  <si>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</si>
  <si>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</si>
  <si>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</si>
  <si>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</si>
  <si>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</si>
  <si>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2020/11</t>
  </si>
  <si>
    <t>2070</t>
  </si>
  <si>
    <t>スマートＥＳＧ３０女性活躍（ネットリターン）ＥＴＮ　受益証券</t>
  </si>
  <si>
    <t>Smart ESG 30 Empowering Women Net Return ETN</t>
  </si>
  <si>
    <t xml:space="preserve">2020/11/26  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</si>
  <si>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</si>
  <si>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</si>
  <si>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</si>
  <si>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</si>
  <si>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</si>
  <si>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</si>
  <si>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2624</t>
  </si>
  <si>
    <t>ｉＦｒｅｅＥＴＦ　日経２２５（年４回決算型）　受益証券</t>
  </si>
  <si>
    <t>iFreeETF-Nikkei225(Quarterly Dividend Type)</t>
  </si>
  <si>
    <t xml:space="preserve">2020/11/10  </t>
  </si>
  <si>
    <t>2625</t>
  </si>
  <si>
    <t>ｉＦｒｅｅＥＴＦ　ＴＯＰＩＸ（年４回決算型）　受益証券</t>
  </si>
  <si>
    <t>iFreeETF-TOPIX(Quarterly Dividend Type)</t>
  </si>
  <si>
    <t>2020/12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</si>
</sst>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986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2" fillId="21" borderId="24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5" applyNumberFormat="0" applyAlignment="0" applyProtection="0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1" fillId="0" borderId="26" applyNumberFormat="0" applyFill="0" applyAlignment="0" applyProtection="0"/>
    <xf numFmtId="0" fontId="32" fillId="0" borderId="27" applyNumberFormat="0" applyFill="0" applyAlignment="0" applyProtection="0"/>
    <xf numFmtId="0" fontId="33" fillId="0" borderId="28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3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7" fillId="0" borderId="0"/>
    <xf numFmtId="0" fontId="35" fillId="0" borderId="29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2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</cellStyleXfs>
  <cellXfs count="90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34" xfId="2" applyNumberFormat="1" applyFont="1" applyFill="1" applyBorder="1" applyAlignment="1">
      <alignment horizontal="left"/>
    </xf>
    <xf numFmtId="0" fontId="7" fillId="0" borderId="0" xfId="1" applyFont="1">
      <alignment vertical="center"/>
    </xf>
    <xf numFmtId="49" fontId="7" fillId="0" borderId="34" xfId="1" applyNumberFormat="1" applyFont="1" applyFill="1" applyBorder="1" applyAlignment="1">
      <alignment horizontal="left" vertical="center"/>
    </xf>
    <xf numFmtId="49" fontId="7" fillId="0" borderId="37" xfId="1" applyNumberFormat="1" applyFont="1" applyFill="1" applyBorder="1" applyAlignment="1">
      <alignment horizontal="left" vertical="center"/>
    </xf>
    <xf numFmtId="49" fontId="7" fillId="0" borderId="38" xfId="1" applyNumberFormat="1" applyFont="1" applyFill="1" applyBorder="1" applyAlignment="1">
      <alignment horizontal="left" vertical="center"/>
    </xf>
    <xf numFmtId="49" fontId="7" fillId="0" borderId="36" xfId="1" applyNumberFormat="1" applyFont="1" applyFill="1" applyBorder="1" applyAlignment="1">
      <alignment horizontal="left" vertical="center"/>
    </xf>
    <xf numFmtId="3" fontId="7" fillId="0" borderId="34" xfId="2" applyNumberFormat="1" applyFont="1" applyFill="1" applyBorder="1" applyAlignment="1">
      <alignment horizontal="right"/>
    </xf>
    <xf numFmtId="49" fontId="7" fillId="0" borderId="36" xfId="2" applyNumberFormat="1" applyFont="1" applyFill="1" applyBorder="1" applyAlignment="1">
      <alignment horizontal="right"/>
    </xf>
    <xf numFmtId="189" fontId="7" fillId="0" borderId="34" xfId="2" applyNumberFormat="1" applyFont="1" applyFill="1" applyBorder="1" applyAlignment="1">
      <alignment horizontal="right"/>
    </xf>
    <xf numFmtId="4" fontId="7" fillId="0" borderId="34" xfId="2" applyNumberFormat="1" applyFont="1" applyFill="1" applyBorder="1" applyAlignment="1">
      <alignment horizontal="right"/>
    </xf>
    <xf numFmtId="4" fontId="7" fillId="0" borderId="35" xfId="2" applyNumberFormat="1" applyFont="1" applyFill="1" applyBorder="1" applyAlignment="1">
      <alignment horizontal="right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49" fontId="2" fillId="0" borderId="15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49" fontId="2" fillId="0" borderId="16" xfId="2" applyNumberFormat="1" applyFont="1" applyBorder="1" applyAlignment="1">
      <alignment horizontal="center" vertical="center"/>
    </xf>
    <xf numFmtId="49" fontId="2" fillId="0" borderId="13" xfId="2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right" vertical="center"/>
    </xf>
    <xf numFmtId="0" fontId="2" fillId="0" borderId="6" xfId="1" applyFont="1" applyBorder="1" applyAlignment="1">
      <alignment horizontal="right" vertical="center"/>
    </xf>
    <xf numFmtId="0" fontId="2" fillId="0" borderId="18" xfId="1" applyFont="1" applyBorder="1" applyAlignment="1">
      <alignment horizontal="right" vertical="center"/>
    </xf>
    <xf numFmtId="0" fontId="2" fillId="0" borderId="19" xfId="1" applyFont="1" applyBorder="1" applyAlignment="1">
      <alignment horizontal="right" vertical="center"/>
    </xf>
    <xf numFmtId="49" fontId="11" fillId="0" borderId="17" xfId="2" applyNumberFormat="1" applyFont="1" applyBorder="1" applyAlignment="1">
      <alignment horizontal="right"/>
    </xf>
    <xf numFmtId="49" fontId="11" fillId="0" borderId="20" xfId="2" applyNumberFormat="1" applyFont="1" applyBorder="1" applyAlignment="1">
      <alignment horizontal="right"/>
    </xf>
    <xf numFmtId="49" fontId="11" fillId="0" borderId="19" xfId="2" applyNumberFormat="1" applyFont="1" applyBorder="1" applyAlignment="1">
      <alignment horizontal="right"/>
    </xf>
    <xf numFmtId="49" fontId="7" fillId="0" borderId="34" xfId="1" applyNumberFormat="1" applyFont="1" applyBorder="1" applyAlignment="1">
      <alignment horizontal="left" vertical="center"/>
    </xf>
    <xf numFmtId="49" fontId="7" fillId="0" borderId="37" xfId="1" applyNumberFormat="1" applyFont="1" applyBorder="1" applyAlignment="1">
      <alignment horizontal="left" vertical="center"/>
    </xf>
    <xf numFmtId="49" fontId="7" fillId="0" borderId="38" xfId="1" applyNumberFormat="1" applyFont="1" applyBorder="1" applyAlignment="1">
      <alignment horizontal="left" vertical="center"/>
    </xf>
    <xf numFmtId="49" fontId="7" fillId="0" borderId="36" xfId="1" applyNumberFormat="1" applyFont="1" applyBorder="1" applyAlignment="1">
      <alignment horizontal="left" vertical="center"/>
    </xf>
    <xf numFmtId="49" fontId="7" fillId="0" borderId="34" xfId="2" applyNumberFormat="1" applyFont="1" applyBorder="1" applyAlignment="1">
      <alignment horizontal="left"/>
    </xf>
    <xf numFmtId="3" fontId="7" fillId="0" borderId="34" xfId="2" applyNumberFormat="1" applyFont="1" applyBorder="1" applyAlignment="1">
      <alignment horizontal="right"/>
    </xf>
    <xf numFmtId="4" fontId="7" fillId="0" borderId="35" xfId="2" applyNumberFormat="1" applyFont="1" applyBorder="1" applyAlignment="1">
      <alignment horizontal="right"/>
    </xf>
    <xf numFmtId="49" fontId="7" fillId="0" borderId="36" xfId="2" applyNumberFormat="1" applyFont="1" applyBorder="1" applyAlignment="1">
      <alignment horizontal="right"/>
    </xf>
    <xf numFmtId="4" fontId="7" fillId="0" borderId="34" xfId="2" applyNumberFormat="1" applyFont="1" applyBorder="1" applyAlignment="1">
      <alignment horizontal="right"/>
    </xf>
    <xf numFmtId="189" fontId="7" fillId="0" borderId="34" xfId="2" applyNumberFormat="1" applyFont="1" applyBorder="1" applyAlignment="1">
      <alignment horizontal="right"/>
    </xf>
    <xf numFmtId="0" fontId="2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86">
    <cellStyle name="_x000c_ーセン_x000c_" xfId="3" xr:uid="{00000000-0005-0000-0000-000000000000}"/>
    <cellStyle name="_x000d__x000a_JournalTemplate=C:\COMFO\CTALK\JOURSTD.TPL_x000d__x000a_LbStateAddress=3 3 0 251 1 89 2 311_x000d__x000a_LbStateJou" xfId="4" xr:uid="{00000000-0005-0000-0000-000001000000}"/>
    <cellStyle name="0,0_x000d__x000a_NA_x000d__x000a_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20% - アクセント 1 2" xfId="12" xr:uid="{00000000-0005-0000-0000-000009000000}"/>
    <cellStyle name="20% - アクセント 1 3" xfId="13" xr:uid="{00000000-0005-0000-0000-00000A000000}"/>
    <cellStyle name="20% - アクセント 1 4" xfId="14" xr:uid="{00000000-0005-0000-0000-00000B000000}"/>
    <cellStyle name="20% - アクセント 1 5" xfId="15" xr:uid="{00000000-0005-0000-0000-00000C000000}"/>
    <cellStyle name="20% - アクセント 1 6" xfId="16" xr:uid="{00000000-0005-0000-0000-00000D000000}"/>
    <cellStyle name="20% - アクセント 1 7" xfId="17" xr:uid="{00000000-0005-0000-0000-00000E000000}"/>
    <cellStyle name="20% - アクセント 1 8" xfId="18" xr:uid="{00000000-0005-0000-0000-00000F000000}"/>
    <cellStyle name="20% - アクセント 1 9" xfId="19" xr:uid="{00000000-0005-0000-0000-000010000000}"/>
    <cellStyle name="20% - アクセント 2 2" xfId="20" xr:uid="{00000000-0005-0000-0000-000011000000}"/>
    <cellStyle name="20% - アクセント 2 3" xfId="21" xr:uid="{00000000-0005-0000-0000-000012000000}"/>
    <cellStyle name="20% - アクセント 2 4" xfId="22" xr:uid="{00000000-0005-0000-0000-000013000000}"/>
    <cellStyle name="20% - アクセント 2 5" xfId="23" xr:uid="{00000000-0005-0000-0000-000014000000}"/>
    <cellStyle name="20% - アクセント 2 6" xfId="24" xr:uid="{00000000-0005-0000-0000-000015000000}"/>
    <cellStyle name="20% - アクセント 2 7" xfId="25" xr:uid="{00000000-0005-0000-0000-000016000000}"/>
    <cellStyle name="20% - アクセント 2 8" xfId="26" xr:uid="{00000000-0005-0000-0000-000017000000}"/>
    <cellStyle name="20% - アクセント 2 9" xfId="27" xr:uid="{00000000-0005-0000-0000-000018000000}"/>
    <cellStyle name="20% - アクセント 3 2" xfId="28" xr:uid="{00000000-0005-0000-0000-000019000000}"/>
    <cellStyle name="20% - アクセント 3 3" xfId="29" xr:uid="{00000000-0005-0000-0000-00001A000000}"/>
    <cellStyle name="20% - アクセント 3 4" xfId="30" xr:uid="{00000000-0005-0000-0000-00001B000000}"/>
    <cellStyle name="20% - アクセント 3 5" xfId="31" xr:uid="{00000000-0005-0000-0000-00001C000000}"/>
    <cellStyle name="20% - アクセント 3 6" xfId="32" xr:uid="{00000000-0005-0000-0000-00001D000000}"/>
    <cellStyle name="20% - アクセント 3 7" xfId="33" xr:uid="{00000000-0005-0000-0000-00001E000000}"/>
    <cellStyle name="20% - アクセント 3 8" xfId="34" xr:uid="{00000000-0005-0000-0000-00001F000000}"/>
    <cellStyle name="20% - アクセント 3 9" xfId="35" xr:uid="{00000000-0005-0000-0000-000020000000}"/>
    <cellStyle name="20% - アクセント 4 2" xfId="36" xr:uid="{00000000-0005-0000-0000-000021000000}"/>
    <cellStyle name="20% - アクセント 4 3" xfId="37" xr:uid="{00000000-0005-0000-0000-000022000000}"/>
    <cellStyle name="20% - アクセント 4 4" xfId="38" xr:uid="{00000000-0005-0000-0000-000023000000}"/>
    <cellStyle name="20% - アクセント 4 5" xfId="39" xr:uid="{00000000-0005-0000-0000-000024000000}"/>
    <cellStyle name="20% - アクセント 4 6" xfId="40" xr:uid="{00000000-0005-0000-0000-000025000000}"/>
    <cellStyle name="20% - アクセント 4 7" xfId="41" xr:uid="{00000000-0005-0000-0000-000026000000}"/>
    <cellStyle name="20% - アクセント 4 8" xfId="42" xr:uid="{00000000-0005-0000-0000-000027000000}"/>
    <cellStyle name="20% - アクセント 4 9" xfId="43" xr:uid="{00000000-0005-0000-0000-000028000000}"/>
    <cellStyle name="20% - アクセント 5 2" xfId="44" xr:uid="{00000000-0005-0000-0000-000029000000}"/>
    <cellStyle name="20% - アクセント 5 3" xfId="45" xr:uid="{00000000-0005-0000-0000-00002A000000}"/>
    <cellStyle name="20% - アクセント 5 4" xfId="46" xr:uid="{00000000-0005-0000-0000-00002B000000}"/>
    <cellStyle name="20% - アクセント 5 5" xfId="47" xr:uid="{00000000-0005-0000-0000-00002C000000}"/>
    <cellStyle name="20% - アクセント 5 6" xfId="48" xr:uid="{00000000-0005-0000-0000-00002D000000}"/>
    <cellStyle name="20% - アクセント 5 7" xfId="49" xr:uid="{00000000-0005-0000-0000-00002E000000}"/>
    <cellStyle name="20% - アクセント 5 8" xfId="50" xr:uid="{00000000-0005-0000-0000-00002F000000}"/>
    <cellStyle name="20% - アクセント 5 9" xfId="51" xr:uid="{00000000-0005-0000-0000-000030000000}"/>
    <cellStyle name="20% - アクセント 6 2" xfId="52" xr:uid="{00000000-0005-0000-0000-000031000000}"/>
    <cellStyle name="20% - アクセント 6 3" xfId="53" xr:uid="{00000000-0005-0000-0000-000032000000}"/>
    <cellStyle name="20% - アクセント 6 4" xfId="54" xr:uid="{00000000-0005-0000-0000-000033000000}"/>
    <cellStyle name="20% - アクセント 6 5" xfId="55" xr:uid="{00000000-0005-0000-0000-000034000000}"/>
    <cellStyle name="20% - アクセント 6 6" xfId="56" xr:uid="{00000000-0005-0000-0000-000035000000}"/>
    <cellStyle name="20% - アクセント 6 7" xfId="57" xr:uid="{00000000-0005-0000-0000-000036000000}"/>
    <cellStyle name="20% - アクセント 6 8" xfId="58" xr:uid="{00000000-0005-0000-0000-000037000000}"/>
    <cellStyle name="20% - アクセント 6 9" xfId="59" xr:uid="{00000000-0005-0000-0000-000038000000}"/>
    <cellStyle name="40% - Accent1" xfId="60" xr:uid="{00000000-0005-0000-0000-000039000000}"/>
    <cellStyle name="40% - Accent2" xfId="61" xr:uid="{00000000-0005-0000-0000-00003A000000}"/>
    <cellStyle name="40% - Accent3" xfId="62" xr:uid="{00000000-0005-0000-0000-00003B000000}"/>
    <cellStyle name="40% - Accent4" xfId="63" xr:uid="{00000000-0005-0000-0000-00003C000000}"/>
    <cellStyle name="40% - Accent5" xfId="64" xr:uid="{00000000-0005-0000-0000-00003D000000}"/>
    <cellStyle name="40% - Accent6" xfId="65" xr:uid="{00000000-0005-0000-0000-00003E000000}"/>
    <cellStyle name="40% - アクセント 1 2" xfId="66" xr:uid="{00000000-0005-0000-0000-00003F000000}"/>
    <cellStyle name="40% - アクセント 1 3" xfId="67" xr:uid="{00000000-0005-0000-0000-000040000000}"/>
    <cellStyle name="40% - アクセント 1 4" xfId="68" xr:uid="{00000000-0005-0000-0000-000041000000}"/>
    <cellStyle name="40% - アクセント 1 5" xfId="69" xr:uid="{00000000-0005-0000-0000-000042000000}"/>
    <cellStyle name="40% - アクセント 1 6" xfId="70" xr:uid="{00000000-0005-0000-0000-000043000000}"/>
    <cellStyle name="40% - アクセント 1 7" xfId="71" xr:uid="{00000000-0005-0000-0000-000044000000}"/>
    <cellStyle name="40% - アクセント 1 8" xfId="72" xr:uid="{00000000-0005-0000-0000-000045000000}"/>
    <cellStyle name="40% - アクセント 1 9" xfId="73" xr:uid="{00000000-0005-0000-0000-000046000000}"/>
    <cellStyle name="40% - アクセント 2 2" xfId="74" xr:uid="{00000000-0005-0000-0000-000047000000}"/>
    <cellStyle name="40% - アクセント 2 3" xfId="75" xr:uid="{00000000-0005-0000-0000-000048000000}"/>
    <cellStyle name="40% - アクセント 2 4" xfId="76" xr:uid="{00000000-0005-0000-0000-000049000000}"/>
    <cellStyle name="40% - アクセント 2 5" xfId="77" xr:uid="{00000000-0005-0000-0000-00004A000000}"/>
    <cellStyle name="40% - アクセント 2 6" xfId="78" xr:uid="{00000000-0005-0000-0000-00004B000000}"/>
    <cellStyle name="40% - アクセント 2 7" xfId="79" xr:uid="{00000000-0005-0000-0000-00004C000000}"/>
    <cellStyle name="40% - アクセント 2 8" xfId="80" xr:uid="{00000000-0005-0000-0000-00004D000000}"/>
    <cellStyle name="40% - アクセント 2 9" xfId="81" xr:uid="{00000000-0005-0000-0000-00004E000000}"/>
    <cellStyle name="40% - アクセント 3 2" xfId="82" xr:uid="{00000000-0005-0000-0000-00004F000000}"/>
    <cellStyle name="40% - アクセント 3 3" xfId="83" xr:uid="{00000000-0005-0000-0000-000050000000}"/>
    <cellStyle name="40% - アクセント 3 4" xfId="84" xr:uid="{00000000-0005-0000-0000-000051000000}"/>
    <cellStyle name="40% - アクセント 3 5" xfId="85" xr:uid="{00000000-0005-0000-0000-000052000000}"/>
    <cellStyle name="40% - アクセント 3 6" xfId="86" xr:uid="{00000000-0005-0000-0000-000053000000}"/>
    <cellStyle name="40% - アクセント 3 7" xfId="87" xr:uid="{00000000-0005-0000-0000-000054000000}"/>
    <cellStyle name="40% - アクセント 3 8" xfId="88" xr:uid="{00000000-0005-0000-0000-000055000000}"/>
    <cellStyle name="40% - アクセント 3 9" xfId="89" xr:uid="{00000000-0005-0000-0000-000056000000}"/>
    <cellStyle name="40% - アクセント 4 2" xfId="90" xr:uid="{00000000-0005-0000-0000-000057000000}"/>
    <cellStyle name="40% - アクセント 4 3" xfId="91" xr:uid="{00000000-0005-0000-0000-000058000000}"/>
    <cellStyle name="40% - アクセント 4 4" xfId="92" xr:uid="{00000000-0005-0000-0000-000059000000}"/>
    <cellStyle name="40% - アクセント 4 5" xfId="93" xr:uid="{00000000-0005-0000-0000-00005A000000}"/>
    <cellStyle name="40% - アクセント 4 6" xfId="94" xr:uid="{00000000-0005-0000-0000-00005B000000}"/>
    <cellStyle name="40% - アクセント 4 7" xfId="95" xr:uid="{00000000-0005-0000-0000-00005C000000}"/>
    <cellStyle name="40% - アクセント 4 8" xfId="96" xr:uid="{00000000-0005-0000-0000-00005D000000}"/>
    <cellStyle name="40% - アクセント 4 9" xfId="97" xr:uid="{00000000-0005-0000-0000-00005E000000}"/>
    <cellStyle name="40% - アクセント 5 2" xfId="98" xr:uid="{00000000-0005-0000-0000-00005F000000}"/>
    <cellStyle name="40% - アクセント 5 3" xfId="99" xr:uid="{00000000-0005-0000-0000-000060000000}"/>
    <cellStyle name="40% - アクセント 5 4" xfId="100" xr:uid="{00000000-0005-0000-0000-000061000000}"/>
    <cellStyle name="40% - アクセント 5 5" xfId="101" xr:uid="{00000000-0005-0000-0000-000062000000}"/>
    <cellStyle name="40% - アクセント 5 6" xfId="102" xr:uid="{00000000-0005-0000-0000-000063000000}"/>
    <cellStyle name="40% - アクセント 5 7" xfId="103" xr:uid="{00000000-0005-0000-0000-000064000000}"/>
    <cellStyle name="40% - アクセント 5 8" xfId="104" xr:uid="{00000000-0005-0000-0000-000065000000}"/>
    <cellStyle name="40% - アクセント 5 9" xfId="105" xr:uid="{00000000-0005-0000-0000-000066000000}"/>
    <cellStyle name="40% - アクセント 6 2" xfId="106" xr:uid="{00000000-0005-0000-0000-000067000000}"/>
    <cellStyle name="40% - アクセント 6 3" xfId="107" xr:uid="{00000000-0005-0000-0000-000068000000}"/>
    <cellStyle name="40% - アクセント 6 4" xfId="108" xr:uid="{00000000-0005-0000-0000-000069000000}"/>
    <cellStyle name="40% - アクセント 6 5" xfId="109" xr:uid="{00000000-0005-0000-0000-00006A000000}"/>
    <cellStyle name="40% - アクセント 6 6" xfId="110" xr:uid="{00000000-0005-0000-0000-00006B000000}"/>
    <cellStyle name="40% - アクセント 6 7" xfId="111" xr:uid="{00000000-0005-0000-0000-00006C000000}"/>
    <cellStyle name="40% - アクセント 6 8" xfId="112" xr:uid="{00000000-0005-0000-0000-00006D000000}"/>
    <cellStyle name="40% - アクセント 6 9" xfId="113" xr:uid="{00000000-0005-0000-0000-00006E000000}"/>
    <cellStyle name="60% - Accent1" xfId="114" xr:uid="{00000000-0005-0000-0000-00006F000000}"/>
    <cellStyle name="60% - Accent2" xfId="115" xr:uid="{00000000-0005-0000-0000-000070000000}"/>
    <cellStyle name="60% - Accent3" xfId="116" xr:uid="{00000000-0005-0000-0000-000071000000}"/>
    <cellStyle name="60% - Accent4" xfId="117" xr:uid="{00000000-0005-0000-0000-000072000000}"/>
    <cellStyle name="60% - Accent5" xfId="118" xr:uid="{00000000-0005-0000-0000-000073000000}"/>
    <cellStyle name="60% - Accent6" xfId="119" xr:uid="{00000000-0005-0000-0000-000074000000}"/>
    <cellStyle name="60% - アクセント 1 2" xfId="120" xr:uid="{00000000-0005-0000-0000-000075000000}"/>
    <cellStyle name="60% - アクセント 1 3" xfId="121" xr:uid="{00000000-0005-0000-0000-000076000000}"/>
    <cellStyle name="60% - アクセント 1 4" xfId="122" xr:uid="{00000000-0005-0000-0000-000077000000}"/>
    <cellStyle name="60% - アクセント 1 5" xfId="123" xr:uid="{00000000-0005-0000-0000-000078000000}"/>
    <cellStyle name="60% - アクセント 1 6" xfId="124" xr:uid="{00000000-0005-0000-0000-000079000000}"/>
    <cellStyle name="60% - アクセント 1 7" xfId="125" xr:uid="{00000000-0005-0000-0000-00007A000000}"/>
    <cellStyle name="60% - アクセント 1 8" xfId="126" xr:uid="{00000000-0005-0000-0000-00007B000000}"/>
    <cellStyle name="60% - アクセント 1 9" xfId="127" xr:uid="{00000000-0005-0000-0000-00007C000000}"/>
    <cellStyle name="60% - アクセント 2 2" xfId="128" xr:uid="{00000000-0005-0000-0000-00007D000000}"/>
    <cellStyle name="60% - アクセント 2 3" xfId="129" xr:uid="{00000000-0005-0000-0000-00007E000000}"/>
    <cellStyle name="60% - アクセント 2 4" xfId="130" xr:uid="{00000000-0005-0000-0000-00007F000000}"/>
    <cellStyle name="60% - アクセント 2 5" xfId="131" xr:uid="{00000000-0005-0000-0000-000080000000}"/>
    <cellStyle name="60% - アクセント 2 6" xfId="132" xr:uid="{00000000-0005-0000-0000-000081000000}"/>
    <cellStyle name="60% - アクセント 2 7" xfId="133" xr:uid="{00000000-0005-0000-0000-000082000000}"/>
    <cellStyle name="60% - アクセント 2 8" xfId="134" xr:uid="{00000000-0005-0000-0000-000083000000}"/>
    <cellStyle name="60% - アクセント 2 9" xfId="135" xr:uid="{00000000-0005-0000-0000-000084000000}"/>
    <cellStyle name="60% - アクセント 3 2" xfId="136" xr:uid="{00000000-0005-0000-0000-000085000000}"/>
    <cellStyle name="60% - アクセント 3 3" xfId="137" xr:uid="{00000000-0005-0000-0000-000086000000}"/>
    <cellStyle name="60% - アクセント 3 4" xfId="138" xr:uid="{00000000-0005-0000-0000-000087000000}"/>
    <cellStyle name="60% - アクセント 3 5" xfId="139" xr:uid="{00000000-0005-0000-0000-000088000000}"/>
    <cellStyle name="60% - アクセント 3 6" xfId="140" xr:uid="{00000000-0005-0000-0000-000089000000}"/>
    <cellStyle name="60% - アクセント 3 7" xfId="141" xr:uid="{00000000-0005-0000-0000-00008A000000}"/>
    <cellStyle name="60% - アクセント 3 8" xfId="142" xr:uid="{00000000-0005-0000-0000-00008B000000}"/>
    <cellStyle name="60% - アクセント 3 9" xfId="143" xr:uid="{00000000-0005-0000-0000-00008C000000}"/>
    <cellStyle name="60% - アクセント 4 2" xfId="144" xr:uid="{00000000-0005-0000-0000-00008D000000}"/>
    <cellStyle name="60% - アクセント 4 3" xfId="145" xr:uid="{00000000-0005-0000-0000-00008E000000}"/>
    <cellStyle name="60% - アクセント 4 4" xfId="146" xr:uid="{00000000-0005-0000-0000-00008F000000}"/>
    <cellStyle name="60% - アクセント 4 5" xfId="147" xr:uid="{00000000-0005-0000-0000-000090000000}"/>
    <cellStyle name="60% - アクセント 4 6" xfId="148" xr:uid="{00000000-0005-0000-0000-000091000000}"/>
    <cellStyle name="60% - アクセント 4 7" xfId="149" xr:uid="{00000000-0005-0000-0000-000092000000}"/>
    <cellStyle name="60% - アクセント 4 8" xfId="150" xr:uid="{00000000-0005-0000-0000-000093000000}"/>
    <cellStyle name="60% - アクセント 4 9" xfId="151" xr:uid="{00000000-0005-0000-0000-000094000000}"/>
    <cellStyle name="60% - アクセント 5 2" xfId="152" xr:uid="{00000000-0005-0000-0000-000095000000}"/>
    <cellStyle name="60% - アクセント 5 3" xfId="153" xr:uid="{00000000-0005-0000-0000-000096000000}"/>
    <cellStyle name="60% - アクセント 5 4" xfId="154" xr:uid="{00000000-0005-0000-0000-000097000000}"/>
    <cellStyle name="60% - アクセント 5 5" xfId="155" xr:uid="{00000000-0005-0000-0000-000098000000}"/>
    <cellStyle name="60% - アクセント 5 6" xfId="156" xr:uid="{00000000-0005-0000-0000-000099000000}"/>
    <cellStyle name="60% - アクセント 5 7" xfId="157" xr:uid="{00000000-0005-0000-0000-00009A000000}"/>
    <cellStyle name="60% - アクセント 5 8" xfId="158" xr:uid="{00000000-0005-0000-0000-00009B000000}"/>
    <cellStyle name="60% - アクセント 5 9" xfId="159" xr:uid="{00000000-0005-0000-0000-00009C000000}"/>
    <cellStyle name="60% - アクセント 6 2" xfId="160" xr:uid="{00000000-0005-0000-0000-00009D000000}"/>
    <cellStyle name="60% - アクセント 6 3" xfId="161" xr:uid="{00000000-0005-0000-0000-00009E000000}"/>
    <cellStyle name="60% - アクセント 6 4" xfId="162" xr:uid="{00000000-0005-0000-0000-00009F000000}"/>
    <cellStyle name="60% - アクセント 6 5" xfId="163" xr:uid="{00000000-0005-0000-0000-0000A0000000}"/>
    <cellStyle name="60% - アクセント 6 6" xfId="164" xr:uid="{00000000-0005-0000-0000-0000A1000000}"/>
    <cellStyle name="60% - アクセント 6 7" xfId="165" xr:uid="{00000000-0005-0000-0000-0000A2000000}"/>
    <cellStyle name="60% - アクセント 6 8" xfId="166" xr:uid="{00000000-0005-0000-0000-0000A3000000}"/>
    <cellStyle name="60% - アクセント 6 9" xfId="167" xr:uid="{00000000-0005-0000-0000-0000A4000000}"/>
    <cellStyle name="Accent1" xfId="168" xr:uid="{00000000-0005-0000-0000-0000A5000000}"/>
    <cellStyle name="Accent2" xfId="169" xr:uid="{00000000-0005-0000-0000-0000A6000000}"/>
    <cellStyle name="Accent3" xfId="170" xr:uid="{00000000-0005-0000-0000-0000A7000000}"/>
    <cellStyle name="Accent4" xfId="171" xr:uid="{00000000-0005-0000-0000-0000A8000000}"/>
    <cellStyle name="Accent5" xfId="172" xr:uid="{00000000-0005-0000-0000-0000A9000000}"/>
    <cellStyle name="Accent6" xfId="173" xr:uid="{00000000-0005-0000-0000-0000AA000000}"/>
    <cellStyle name="args.style" xfId="174" xr:uid="{00000000-0005-0000-0000-0000AB000000}"/>
    <cellStyle name="B10" xfId="175" xr:uid="{00000000-0005-0000-0000-0000AC000000}"/>
    <cellStyle name="Bad" xfId="176" xr:uid="{00000000-0005-0000-0000-0000AD000000}"/>
    <cellStyle name="Body" xfId="177" xr:uid="{00000000-0005-0000-0000-0000AE000000}"/>
    <cellStyle name="Calc Currency (0)" xfId="178" xr:uid="{00000000-0005-0000-0000-0000AF000000}"/>
    <cellStyle name="Calc Currency (0) 2" xfId="179" xr:uid="{00000000-0005-0000-0000-0000B0000000}"/>
    <cellStyle name="Calculation" xfId="180" xr:uid="{00000000-0005-0000-0000-0000B1000000}"/>
    <cellStyle name="Calculation 2" xfId="181" xr:uid="{00000000-0005-0000-0000-0000B2000000}"/>
    <cellStyle name="Calculation 2 2" xfId="182" xr:uid="{00000000-0005-0000-0000-0000B3000000}"/>
    <cellStyle name="Calculation 2 2 2" xfId="183" xr:uid="{00000000-0005-0000-0000-0000B4000000}"/>
    <cellStyle name="Calculation 2 3" xfId="184" xr:uid="{00000000-0005-0000-0000-0000B5000000}"/>
    <cellStyle name="Calculation 2 3 2" xfId="185" xr:uid="{00000000-0005-0000-0000-0000B6000000}"/>
    <cellStyle name="Calculation 2 4" xfId="186" xr:uid="{00000000-0005-0000-0000-0000B7000000}"/>
    <cellStyle name="Calculation 2 4 2" xfId="187" xr:uid="{00000000-0005-0000-0000-0000B8000000}"/>
    <cellStyle name="Calculation 2 5" xfId="188" xr:uid="{00000000-0005-0000-0000-0000B9000000}"/>
    <cellStyle name="Calculation 2 5 2" xfId="189" xr:uid="{00000000-0005-0000-0000-0000BA000000}"/>
    <cellStyle name="Calculation 2 6" xfId="190" xr:uid="{00000000-0005-0000-0000-0000BB000000}"/>
    <cellStyle name="Calculation 2 6 2" xfId="191" xr:uid="{00000000-0005-0000-0000-0000BC000000}"/>
    <cellStyle name="Calculation 2 7" xfId="192" xr:uid="{00000000-0005-0000-0000-0000BD000000}"/>
    <cellStyle name="Calculation 3" xfId="193" xr:uid="{00000000-0005-0000-0000-0000BE000000}"/>
    <cellStyle name="Calculation 3 2" xfId="194" xr:uid="{00000000-0005-0000-0000-0000BF000000}"/>
    <cellStyle name="Calculation 4" xfId="195" xr:uid="{00000000-0005-0000-0000-0000C0000000}"/>
    <cellStyle name="Check Cell" xfId="196" xr:uid="{00000000-0005-0000-0000-0000C1000000}"/>
    <cellStyle name="Column Heading" xfId="197" xr:uid="{00000000-0005-0000-0000-0000C2000000}"/>
    <cellStyle name="Comma [0]_laroux" xfId="198" xr:uid="{00000000-0005-0000-0000-0000C3000000}"/>
    <cellStyle name="Comma_laroux" xfId="199" xr:uid="{00000000-0005-0000-0000-0000C4000000}"/>
    <cellStyle name="Currency [0]_laroux" xfId="200" xr:uid="{00000000-0005-0000-0000-0000C5000000}"/>
    <cellStyle name="Currency_laroux" xfId="201" xr:uid="{00000000-0005-0000-0000-0000C6000000}"/>
    <cellStyle name="entry" xfId="202" xr:uid="{00000000-0005-0000-0000-0000C7000000}"/>
    <cellStyle name="Explanatory Text" xfId="203" xr:uid="{00000000-0005-0000-0000-0000C8000000}"/>
    <cellStyle name="Good" xfId="204" xr:uid="{00000000-0005-0000-0000-0000C9000000}"/>
    <cellStyle name="Grey" xfId="205" xr:uid="{00000000-0005-0000-0000-0000CA000000}"/>
    <cellStyle name="Head 1" xfId="206" xr:uid="{00000000-0005-0000-0000-0000CB000000}"/>
    <cellStyle name="Header1" xfId="207" xr:uid="{00000000-0005-0000-0000-0000CC000000}"/>
    <cellStyle name="Header2" xfId="208" xr:uid="{00000000-0005-0000-0000-0000CD000000}"/>
    <cellStyle name="Header2 2" xfId="209" xr:uid="{00000000-0005-0000-0000-0000CE000000}"/>
    <cellStyle name="Header2 2 2" xfId="210" xr:uid="{00000000-0005-0000-0000-0000CF000000}"/>
    <cellStyle name="Header2 2 2 2" xfId="211" xr:uid="{00000000-0005-0000-0000-0000D0000000}"/>
    <cellStyle name="Header2 2 2 3" xfId="212" xr:uid="{00000000-0005-0000-0000-0000D1000000}"/>
    <cellStyle name="Header2 2 2 4" xfId="213" xr:uid="{00000000-0005-0000-0000-0000D2000000}"/>
    <cellStyle name="Header2 2 2 5" xfId="214" xr:uid="{00000000-0005-0000-0000-0000D3000000}"/>
    <cellStyle name="Header2 2 2 6" xfId="215" xr:uid="{00000000-0005-0000-0000-0000D4000000}"/>
    <cellStyle name="Header2 2 2 7" xfId="216" xr:uid="{00000000-0005-0000-0000-0000D5000000}"/>
    <cellStyle name="Header2 2 2 7 2" xfId="217" xr:uid="{00000000-0005-0000-0000-0000D6000000}"/>
    <cellStyle name="Header2 2 3" xfId="218" xr:uid="{00000000-0005-0000-0000-0000D7000000}"/>
    <cellStyle name="Header2 2 3 2" xfId="219" xr:uid="{00000000-0005-0000-0000-0000D8000000}"/>
    <cellStyle name="Header2 2 3 3" xfId="220" xr:uid="{00000000-0005-0000-0000-0000D9000000}"/>
    <cellStyle name="Header2 3" xfId="221" xr:uid="{00000000-0005-0000-0000-0000DA000000}"/>
    <cellStyle name="Header2 3 2" xfId="222" xr:uid="{00000000-0005-0000-0000-0000DB000000}"/>
    <cellStyle name="Header2 3 2 2" xfId="223" xr:uid="{00000000-0005-0000-0000-0000DC000000}"/>
    <cellStyle name="Header2 3 2 3" xfId="224" xr:uid="{00000000-0005-0000-0000-0000DD000000}"/>
    <cellStyle name="Header2 3 2 4" xfId="225" xr:uid="{00000000-0005-0000-0000-0000DE000000}"/>
    <cellStyle name="Header2 3 2 5" xfId="226" xr:uid="{00000000-0005-0000-0000-0000DF000000}"/>
    <cellStyle name="Header2 3 2 6" xfId="227" xr:uid="{00000000-0005-0000-0000-0000E0000000}"/>
    <cellStyle name="Header2 3 2 7" xfId="228" xr:uid="{00000000-0005-0000-0000-0000E1000000}"/>
    <cellStyle name="Header2 3 2 7 2" xfId="229" xr:uid="{00000000-0005-0000-0000-0000E2000000}"/>
    <cellStyle name="Header2 3 3" xfId="230" xr:uid="{00000000-0005-0000-0000-0000E3000000}"/>
    <cellStyle name="Header2 3 4" xfId="231" xr:uid="{00000000-0005-0000-0000-0000E4000000}"/>
    <cellStyle name="Header2 3 5" xfId="232" xr:uid="{00000000-0005-0000-0000-0000E5000000}"/>
    <cellStyle name="Header2 3 6" xfId="233" xr:uid="{00000000-0005-0000-0000-0000E6000000}"/>
    <cellStyle name="Header2 3 7" xfId="234" xr:uid="{00000000-0005-0000-0000-0000E7000000}"/>
    <cellStyle name="Header2 3 8" xfId="235" xr:uid="{00000000-0005-0000-0000-0000E8000000}"/>
    <cellStyle name="Header2 3 9" xfId="236" xr:uid="{00000000-0005-0000-0000-0000E9000000}"/>
    <cellStyle name="Header2 3 9 2" xfId="237" xr:uid="{00000000-0005-0000-0000-0000EA000000}"/>
    <cellStyle name="Header2 3 9 3" xfId="238" xr:uid="{00000000-0005-0000-0000-0000EB000000}"/>
    <cellStyle name="Header2 4" xfId="239" xr:uid="{00000000-0005-0000-0000-0000EC000000}"/>
    <cellStyle name="Header2 4 2" xfId="240" xr:uid="{00000000-0005-0000-0000-0000ED000000}"/>
    <cellStyle name="Header2 4 3" xfId="241" xr:uid="{00000000-0005-0000-0000-0000EE000000}"/>
    <cellStyle name="Header2 4 4" xfId="242" xr:uid="{00000000-0005-0000-0000-0000EF000000}"/>
    <cellStyle name="Header2 4 5" xfId="243" xr:uid="{00000000-0005-0000-0000-0000F0000000}"/>
    <cellStyle name="Header2 4 6" xfId="244" xr:uid="{00000000-0005-0000-0000-0000F1000000}"/>
    <cellStyle name="Header2 4 7" xfId="245" xr:uid="{00000000-0005-0000-0000-0000F2000000}"/>
    <cellStyle name="Header2 4 7 2" xfId="246" xr:uid="{00000000-0005-0000-0000-0000F3000000}"/>
    <cellStyle name="Header2 5" xfId="247" xr:uid="{00000000-0005-0000-0000-0000F4000000}"/>
    <cellStyle name="Header2 6" xfId="248" xr:uid="{00000000-0005-0000-0000-0000F5000000}"/>
    <cellStyle name="Header2 7" xfId="249" xr:uid="{00000000-0005-0000-0000-0000F6000000}"/>
    <cellStyle name="Header2 7 2" xfId="250" xr:uid="{00000000-0005-0000-0000-0000F7000000}"/>
    <cellStyle name="Header2 7 3" xfId="251" xr:uid="{00000000-0005-0000-0000-0000F8000000}"/>
    <cellStyle name="Heading 1" xfId="252" xr:uid="{00000000-0005-0000-0000-0000F9000000}"/>
    <cellStyle name="Heading 2" xfId="253" xr:uid="{00000000-0005-0000-0000-0000FA000000}"/>
    <cellStyle name="Heading 3" xfId="254" xr:uid="{00000000-0005-0000-0000-0000FB000000}"/>
    <cellStyle name="Heading 4" xfId="255" xr:uid="{00000000-0005-0000-0000-0000FC000000}"/>
    <cellStyle name="IBM(401K)" xfId="256" xr:uid="{00000000-0005-0000-0000-0000FD000000}"/>
    <cellStyle name="Input" xfId="257" xr:uid="{00000000-0005-0000-0000-0000FE000000}"/>
    <cellStyle name="Input [yellow]" xfId="258" xr:uid="{00000000-0005-0000-0000-0000FF000000}"/>
    <cellStyle name="Input [yellow] 2" xfId="259" xr:uid="{00000000-0005-0000-0000-000000010000}"/>
    <cellStyle name="Input [yellow] 2 2" xfId="260" xr:uid="{00000000-0005-0000-0000-000001010000}"/>
    <cellStyle name="Input [yellow] 2 2 10" xfId="1940" xr:uid="{00000000-0005-0000-0000-000002010000}"/>
    <cellStyle name="Input [yellow] 2 2 2" xfId="261" xr:uid="{00000000-0005-0000-0000-000003010000}"/>
    <cellStyle name="Input [yellow] 2 2 2 2" xfId="1941" xr:uid="{00000000-0005-0000-0000-000004010000}"/>
    <cellStyle name="Input [yellow] 2 2 3" xfId="262" xr:uid="{00000000-0005-0000-0000-000005010000}"/>
    <cellStyle name="Input [yellow] 2 2 3 2" xfId="1942" xr:uid="{00000000-0005-0000-0000-000006010000}"/>
    <cellStyle name="Input [yellow] 2 2 4" xfId="263" xr:uid="{00000000-0005-0000-0000-000007010000}"/>
    <cellStyle name="Input [yellow] 2 2 4 2" xfId="1943" xr:uid="{00000000-0005-0000-0000-000008010000}"/>
    <cellStyle name="Input [yellow] 2 2 5" xfId="264" xr:uid="{00000000-0005-0000-0000-000009010000}"/>
    <cellStyle name="Input [yellow] 2 2 5 2" xfId="1944" xr:uid="{00000000-0005-0000-0000-00000A010000}"/>
    <cellStyle name="Input [yellow] 2 2 6" xfId="265" xr:uid="{00000000-0005-0000-0000-00000B010000}"/>
    <cellStyle name="Input [yellow] 2 2 6 2" xfId="1945" xr:uid="{00000000-0005-0000-0000-00000C010000}"/>
    <cellStyle name="Input [yellow] 2 2 7" xfId="266" xr:uid="{00000000-0005-0000-0000-00000D010000}"/>
    <cellStyle name="Input [yellow] 2 2 7 2" xfId="1946" xr:uid="{00000000-0005-0000-0000-00000E010000}"/>
    <cellStyle name="Input [yellow] 2 2 8" xfId="267" xr:uid="{00000000-0005-0000-0000-00000F010000}"/>
    <cellStyle name="Input [yellow] 2 2 8 2" xfId="1947" xr:uid="{00000000-0005-0000-0000-000010010000}"/>
    <cellStyle name="Input [yellow] 2 2 9" xfId="268" xr:uid="{00000000-0005-0000-0000-000011010000}"/>
    <cellStyle name="Input [yellow] 2 2 9 2" xfId="1948" xr:uid="{00000000-0005-0000-0000-000012010000}"/>
    <cellStyle name="Input [yellow] 2 3" xfId="269" xr:uid="{00000000-0005-0000-0000-000013010000}"/>
    <cellStyle name="Input [yellow] 2 3 2" xfId="270" xr:uid="{00000000-0005-0000-0000-000014010000}"/>
    <cellStyle name="Input [yellow] 2 3 2 2" xfId="1950" xr:uid="{00000000-0005-0000-0000-000015010000}"/>
    <cellStyle name="Input [yellow] 2 3 3" xfId="271" xr:uid="{00000000-0005-0000-0000-000016010000}"/>
    <cellStyle name="Input [yellow] 2 3 3 2" xfId="1951" xr:uid="{00000000-0005-0000-0000-000017010000}"/>
    <cellStyle name="Input [yellow] 2 3 4" xfId="1949" xr:uid="{00000000-0005-0000-0000-000018010000}"/>
    <cellStyle name="Input [yellow] 2 4" xfId="1939" xr:uid="{00000000-0005-0000-0000-000019010000}"/>
    <cellStyle name="Input [yellow] 3" xfId="272" xr:uid="{00000000-0005-0000-0000-00001A010000}"/>
    <cellStyle name="Input [yellow] 3 10" xfId="1952" xr:uid="{00000000-0005-0000-0000-00001B010000}"/>
    <cellStyle name="Input [yellow] 3 2" xfId="273" xr:uid="{00000000-0005-0000-0000-00001C010000}"/>
    <cellStyle name="Input [yellow] 3 2 10" xfId="1953" xr:uid="{00000000-0005-0000-0000-00001D010000}"/>
    <cellStyle name="Input [yellow] 3 2 2" xfId="274" xr:uid="{00000000-0005-0000-0000-00001E010000}"/>
    <cellStyle name="Input [yellow] 3 2 2 2" xfId="1954" xr:uid="{00000000-0005-0000-0000-00001F010000}"/>
    <cellStyle name="Input [yellow] 3 2 3" xfId="275" xr:uid="{00000000-0005-0000-0000-000020010000}"/>
    <cellStyle name="Input [yellow] 3 2 3 2" xfId="1955" xr:uid="{00000000-0005-0000-0000-000021010000}"/>
    <cellStyle name="Input [yellow] 3 2 4" xfId="276" xr:uid="{00000000-0005-0000-0000-000022010000}"/>
    <cellStyle name="Input [yellow] 3 2 4 2" xfId="1956" xr:uid="{00000000-0005-0000-0000-000023010000}"/>
    <cellStyle name="Input [yellow] 3 2 5" xfId="277" xr:uid="{00000000-0005-0000-0000-000024010000}"/>
    <cellStyle name="Input [yellow] 3 2 5 2" xfId="1957" xr:uid="{00000000-0005-0000-0000-000025010000}"/>
    <cellStyle name="Input [yellow] 3 2 6" xfId="278" xr:uid="{00000000-0005-0000-0000-000026010000}"/>
    <cellStyle name="Input [yellow] 3 2 6 2" xfId="1958" xr:uid="{00000000-0005-0000-0000-000027010000}"/>
    <cellStyle name="Input [yellow] 3 2 7" xfId="279" xr:uid="{00000000-0005-0000-0000-000028010000}"/>
    <cellStyle name="Input [yellow] 3 2 7 2" xfId="1959" xr:uid="{00000000-0005-0000-0000-000029010000}"/>
    <cellStyle name="Input [yellow] 3 2 8" xfId="280" xr:uid="{00000000-0005-0000-0000-00002A010000}"/>
    <cellStyle name="Input [yellow] 3 2 8 2" xfId="1960" xr:uid="{00000000-0005-0000-0000-00002B010000}"/>
    <cellStyle name="Input [yellow] 3 2 9" xfId="281" xr:uid="{00000000-0005-0000-0000-00002C010000}"/>
    <cellStyle name="Input [yellow] 3 2 9 2" xfId="1961" xr:uid="{00000000-0005-0000-0000-00002D010000}"/>
    <cellStyle name="Input [yellow] 3 3" xfId="282" xr:uid="{00000000-0005-0000-0000-00002E010000}"/>
    <cellStyle name="Input [yellow] 3 3 2" xfId="1962" xr:uid="{00000000-0005-0000-0000-00002F010000}"/>
    <cellStyle name="Input [yellow] 3 4" xfId="283" xr:uid="{00000000-0005-0000-0000-000030010000}"/>
    <cellStyle name="Input [yellow] 3 4 2" xfId="1963" xr:uid="{00000000-0005-0000-0000-000031010000}"/>
    <cellStyle name="Input [yellow] 3 5" xfId="284" xr:uid="{00000000-0005-0000-0000-000032010000}"/>
    <cellStyle name="Input [yellow] 3 5 2" xfId="1964" xr:uid="{00000000-0005-0000-0000-000033010000}"/>
    <cellStyle name="Input [yellow] 3 6" xfId="285" xr:uid="{00000000-0005-0000-0000-000034010000}"/>
    <cellStyle name="Input [yellow] 3 6 2" xfId="1965" xr:uid="{00000000-0005-0000-0000-000035010000}"/>
    <cellStyle name="Input [yellow] 3 7" xfId="286" xr:uid="{00000000-0005-0000-0000-000036010000}"/>
    <cellStyle name="Input [yellow] 3 7 2" xfId="1966" xr:uid="{00000000-0005-0000-0000-000037010000}"/>
    <cellStyle name="Input [yellow] 3 8" xfId="287" xr:uid="{00000000-0005-0000-0000-000038010000}"/>
    <cellStyle name="Input [yellow] 3 8 2" xfId="1967" xr:uid="{00000000-0005-0000-0000-000039010000}"/>
    <cellStyle name="Input [yellow] 3 9" xfId="288" xr:uid="{00000000-0005-0000-0000-00003A010000}"/>
    <cellStyle name="Input [yellow] 3 9 2" xfId="289" xr:uid="{00000000-0005-0000-0000-00003B010000}"/>
    <cellStyle name="Input [yellow] 3 9 2 2" xfId="1969" xr:uid="{00000000-0005-0000-0000-00003C010000}"/>
    <cellStyle name="Input [yellow] 3 9 3" xfId="290" xr:uid="{00000000-0005-0000-0000-00003D010000}"/>
    <cellStyle name="Input [yellow] 3 9 3 2" xfId="1970" xr:uid="{00000000-0005-0000-0000-00003E010000}"/>
    <cellStyle name="Input [yellow] 3 9 4" xfId="1968" xr:uid="{00000000-0005-0000-0000-00003F010000}"/>
    <cellStyle name="Input [yellow] 4" xfId="291" xr:uid="{00000000-0005-0000-0000-000040010000}"/>
    <cellStyle name="Input [yellow] 4 2" xfId="292" xr:uid="{00000000-0005-0000-0000-000041010000}"/>
    <cellStyle name="Input [yellow] 4 2 2" xfId="1972" xr:uid="{00000000-0005-0000-0000-000042010000}"/>
    <cellStyle name="Input [yellow] 4 3" xfId="293" xr:uid="{00000000-0005-0000-0000-000043010000}"/>
    <cellStyle name="Input [yellow] 4 3 2" xfId="1973" xr:uid="{00000000-0005-0000-0000-000044010000}"/>
    <cellStyle name="Input [yellow] 4 4" xfId="294" xr:uid="{00000000-0005-0000-0000-000045010000}"/>
    <cellStyle name="Input [yellow] 4 4 2" xfId="1974" xr:uid="{00000000-0005-0000-0000-000046010000}"/>
    <cellStyle name="Input [yellow] 4 5" xfId="295" xr:uid="{00000000-0005-0000-0000-000047010000}"/>
    <cellStyle name="Input [yellow] 4 5 2" xfId="1975" xr:uid="{00000000-0005-0000-0000-000048010000}"/>
    <cellStyle name="Input [yellow] 4 6" xfId="296" xr:uid="{00000000-0005-0000-0000-000049010000}"/>
    <cellStyle name="Input [yellow] 4 6 2" xfId="1976" xr:uid="{00000000-0005-0000-0000-00004A010000}"/>
    <cellStyle name="Input [yellow] 4 7" xfId="297" xr:uid="{00000000-0005-0000-0000-00004B010000}"/>
    <cellStyle name="Input [yellow] 4 7 2" xfId="1977" xr:uid="{00000000-0005-0000-0000-00004C010000}"/>
    <cellStyle name="Input [yellow] 4 8" xfId="298" xr:uid="{00000000-0005-0000-0000-00004D010000}"/>
    <cellStyle name="Input [yellow] 4 8 2" xfId="299" xr:uid="{00000000-0005-0000-0000-00004E010000}"/>
    <cellStyle name="Input [yellow] 4 8 2 2" xfId="1979" xr:uid="{00000000-0005-0000-0000-00004F010000}"/>
    <cellStyle name="Input [yellow] 4 8 3" xfId="300" xr:uid="{00000000-0005-0000-0000-000050010000}"/>
    <cellStyle name="Input [yellow] 4 8 3 2" xfId="1980" xr:uid="{00000000-0005-0000-0000-000051010000}"/>
    <cellStyle name="Input [yellow] 4 8 4" xfId="1978" xr:uid="{00000000-0005-0000-0000-000052010000}"/>
    <cellStyle name="Input [yellow] 4 9" xfId="1971" xr:uid="{00000000-0005-0000-0000-000053010000}"/>
    <cellStyle name="Input [yellow] 5" xfId="301" xr:uid="{00000000-0005-0000-0000-000054010000}"/>
    <cellStyle name="Input [yellow] 5 2" xfId="1981" xr:uid="{00000000-0005-0000-0000-000055010000}"/>
    <cellStyle name="Input [yellow] 6" xfId="302" xr:uid="{00000000-0005-0000-0000-000056010000}"/>
    <cellStyle name="Input [yellow] 6 2" xfId="1982" xr:uid="{00000000-0005-0000-0000-000057010000}"/>
    <cellStyle name="Input [yellow] 7" xfId="303" xr:uid="{00000000-0005-0000-0000-000058010000}"/>
    <cellStyle name="Input [yellow] 7 2" xfId="304" xr:uid="{00000000-0005-0000-0000-000059010000}"/>
    <cellStyle name="Input [yellow] 7 2 2" xfId="1984" xr:uid="{00000000-0005-0000-0000-00005A010000}"/>
    <cellStyle name="Input [yellow] 7 3" xfId="305" xr:uid="{00000000-0005-0000-0000-00005B010000}"/>
    <cellStyle name="Input [yellow] 7 3 2" xfId="1985" xr:uid="{00000000-0005-0000-0000-00005C010000}"/>
    <cellStyle name="Input [yellow] 7 4" xfId="1983" xr:uid="{00000000-0005-0000-0000-00005D010000}"/>
    <cellStyle name="Input [yellow] 8" xfId="1938" xr:uid="{00000000-0005-0000-0000-00005E010000}"/>
    <cellStyle name="Input 10" xfId="306" xr:uid="{00000000-0005-0000-0000-00005F010000}"/>
    <cellStyle name="Input 10 2" xfId="307" xr:uid="{00000000-0005-0000-0000-000060010000}"/>
    <cellStyle name="Input 11" xfId="308" xr:uid="{00000000-0005-0000-0000-000061010000}"/>
    <cellStyle name="Input 11 2" xfId="309" xr:uid="{00000000-0005-0000-0000-000062010000}"/>
    <cellStyle name="Input 12" xfId="310" xr:uid="{00000000-0005-0000-0000-000063010000}"/>
    <cellStyle name="Input 12 2" xfId="311" xr:uid="{00000000-0005-0000-0000-000064010000}"/>
    <cellStyle name="Input 13" xfId="312" xr:uid="{00000000-0005-0000-0000-000065010000}"/>
    <cellStyle name="Input 13 2" xfId="313" xr:uid="{00000000-0005-0000-0000-000066010000}"/>
    <cellStyle name="Input 14" xfId="314" xr:uid="{00000000-0005-0000-0000-000067010000}"/>
    <cellStyle name="Input 14 2" xfId="315" xr:uid="{00000000-0005-0000-0000-000068010000}"/>
    <cellStyle name="Input 15" xfId="316" xr:uid="{00000000-0005-0000-0000-000069010000}"/>
    <cellStyle name="Input 15 2" xfId="317" xr:uid="{00000000-0005-0000-0000-00006A010000}"/>
    <cellStyle name="Input 16" xfId="318" xr:uid="{00000000-0005-0000-0000-00006B010000}"/>
    <cellStyle name="Input 16 2" xfId="319" xr:uid="{00000000-0005-0000-0000-00006C010000}"/>
    <cellStyle name="Input 17" xfId="320" xr:uid="{00000000-0005-0000-0000-00006D010000}"/>
    <cellStyle name="Input 17 2" xfId="321" xr:uid="{00000000-0005-0000-0000-00006E010000}"/>
    <cellStyle name="Input 18" xfId="322" xr:uid="{00000000-0005-0000-0000-00006F010000}"/>
    <cellStyle name="Input 19" xfId="323" xr:uid="{00000000-0005-0000-0000-000070010000}"/>
    <cellStyle name="Input 2" xfId="324" xr:uid="{00000000-0005-0000-0000-000071010000}"/>
    <cellStyle name="Input 2 2" xfId="325" xr:uid="{00000000-0005-0000-0000-000072010000}"/>
    <cellStyle name="Input 2 2 2" xfId="326" xr:uid="{00000000-0005-0000-0000-000073010000}"/>
    <cellStyle name="Input 2 3" xfId="327" xr:uid="{00000000-0005-0000-0000-000074010000}"/>
    <cellStyle name="Input 2 3 2" xfId="328" xr:uid="{00000000-0005-0000-0000-000075010000}"/>
    <cellStyle name="Input 2 4" xfId="329" xr:uid="{00000000-0005-0000-0000-000076010000}"/>
    <cellStyle name="Input 2 4 2" xfId="330" xr:uid="{00000000-0005-0000-0000-000077010000}"/>
    <cellStyle name="Input 2 5" xfId="331" xr:uid="{00000000-0005-0000-0000-000078010000}"/>
    <cellStyle name="Input 2 5 2" xfId="332" xr:uid="{00000000-0005-0000-0000-000079010000}"/>
    <cellStyle name="Input 2 6" xfId="333" xr:uid="{00000000-0005-0000-0000-00007A010000}"/>
    <cellStyle name="Input 2 6 2" xfId="334" xr:uid="{00000000-0005-0000-0000-00007B010000}"/>
    <cellStyle name="Input 2 7" xfId="335" xr:uid="{00000000-0005-0000-0000-00007C010000}"/>
    <cellStyle name="Input 20" xfId="336" xr:uid="{00000000-0005-0000-0000-00007D010000}"/>
    <cellStyle name="Input 21" xfId="337" xr:uid="{00000000-0005-0000-0000-00007E010000}"/>
    <cellStyle name="Input 22" xfId="338" xr:uid="{00000000-0005-0000-0000-00007F010000}"/>
    <cellStyle name="Input 23" xfId="339" xr:uid="{00000000-0005-0000-0000-000080010000}"/>
    <cellStyle name="Input 24" xfId="340" xr:uid="{00000000-0005-0000-0000-000081010000}"/>
    <cellStyle name="Input 25" xfId="341" xr:uid="{00000000-0005-0000-0000-000082010000}"/>
    <cellStyle name="Input 26" xfId="342" xr:uid="{00000000-0005-0000-0000-000083010000}"/>
    <cellStyle name="Input 3" xfId="343" xr:uid="{00000000-0005-0000-0000-000084010000}"/>
    <cellStyle name="Input 3 2" xfId="344" xr:uid="{00000000-0005-0000-0000-000085010000}"/>
    <cellStyle name="Input 4" xfId="345" xr:uid="{00000000-0005-0000-0000-000086010000}"/>
    <cellStyle name="Input 4 2" xfId="346" xr:uid="{00000000-0005-0000-0000-000087010000}"/>
    <cellStyle name="Input 5" xfId="347" xr:uid="{00000000-0005-0000-0000-000088010000}"/>
    <cellStyle name="Input 5 2" xfId="348" xr:uid="{00000000-0005-0000-0000-000089010000}"/>
    <cellStyle name="Input 6" xfId="349" xr:uid="{00000000-0005-0000-0000-00008A010000}"/>
    <cellStyle name="Input 6 2" xfId="350" xr:uid="{00000000-0005-0000-0000-00008B010000}"/>
    <cellStyle name="Input 7" xfId="351" xr:uid="{00000000-0005-0000-0000-00008C010000}"/>
    <cellStyle name="Input 7 2" xfId="352" xr:uid="{00000000-0005-0000-0000-00008D010000}"/>
    <cellStyle name="Input 8" xfId="353" xr:uid="{00000000-0005-0000-0000-00008E010000}"/>
    <cellStyle name="Input 8 2" xfId="354" xr:uid="{00000000-0005-0000-0000-00008F010000}"/>
    <cellStyle name="Input 9" xfId="355" xr:uid="{00000000-0005-0000-0000-000090010000}"/>
    <cellStyle name="Input 9 2" xfId="356" xr:uid="{00000000-0005-0000-0000-000091010000}"/>
    <cellStyle name="J401K" xfId="357" xr:uid="{00000000-0005-0000-0000-000092010000}"/>
    <cellStyle name="Linked Cell" xfId="358" xr:uid="{00000000-0005-0000-0000-000093010000}"/>
    <cellStyle name="Millares [0]_Compra" xfId="359" xr:uid="{00000000-0005-0000-0000-000094010000}"/>
    <cellStyle name="Millares_Compra" xfId="360" xr:uid="{00000000-0005-0000-0000-000095010000}"/>
    <cellStyle name="Moneda [0]_Compra" xfId="361" xr:uid="{00000000-0005-0000-0000-000096010000}"/>
    <cellStyle name="Moneda_Compra" xfId="362" xr:uid="{00000000-0005-0000-0000-000097010000}"/>
    <cellStyle name="Neutral" xfId="363" xr:uid="{00000000-0005-0000-0000-000098010000}"/>
    <cellStyle name="no dec" xfId="364" xr:uid="{00000000-0005-0000-0000-000099010000}"/>
    <cellStyle name="Normal - Style1" xfId="365" xr:uid="{00000000-0005-0000-0000-00009A010000}"/>
    <cellStyle name="Normal - Style1 2" xfId="366" xr:uid="{00000000-0005-0000-0000-00009B010000}"/>
    <cellStyle name="Normal - Style1 2 2" xfId="367" xr:uid="{00000000-0005-0000-0000-00009C010000}"/>
    <cellStyle name="Normal - Style1 2 3" xfId="368" xr:uid="{00000000-0005-0000-0000-00009D010000}"/>
    <cellStyle name="Normal_#18-Internet" xfId="369" xr:uid="{00000000-0005-0000-0000-00009E010000}"/>
    <cellStyle name="Note" xfId="370" xr:uid="{00000000-0005-0000-0000-00009F010000}"/>
    <cellStyle name="Note 2" xfId="371" xr:uid="{00000000-0005-0000-0000-0000A0010000}"/>
    <cellStyle name="Note 2 2" xfId="372" xr:uid="{00000000-0005-0000-0000-0000A1010000}"/>
    <cellStyle name="Note 2 2 2" xfId="373" xr:uid="{00000000-0005-0000-0000-0000A2010000}"/>
    <cellStyle name="Note 2 2 2 2" xfId="374" xr:uid="{00000000-0005-0000-0000-0000A3010000}"/>
    <cellStyle name="Note 2 2 3" xfId="375" xr:uid="{00000000-0005-0000-0000-0000A4010000}"/>
    <cellStyle name="Note 2 2 3 2" xfId="376" xr:uid="{00000000-0005-0000-0000-0000A5010000}"/>
    <cellStyle name="Note 2 2 4" xfId="377" xr:uid="{00000000-0005-0000-0000-0000A6010000}"/>
    <cellStyle name="Note 2 2 4 2" xfId="378" xr:uid="{00000000-0005-0000-0000-0000A7010000}"/>
    <cellStyle name="Note 2 2 5" xfId="379" xr:uid="{00000000-0005-0000-0000-0000A8010000}"/>
    <cellStyle name="Note 2 2 5 2" xfId="380" xr:uid="{00000000-0005-0000-0000-0000A9010000}"/>
    <cellStyle name="Note 2 2 6" xfId="381" xr:uid="{00000000-0005-0000-0000-0000AA010000}"/>
    <cellStyle name="Note 2 2 6 2" xfId="382" xr:uid="{00000000-0005-0000-0000-0000AB010000}"/>
    <cellStyle name="Note 2 2 7" xfId="383" xr:uid="{00000000-0005-0000-0000-0000AC010000}"/>
    <cellStyle name="Note 2 3" xfId="384" xr:uid="{00000000-0005-0000-0000-0000AD010000}"/>
    <cellStyle name="Note 2 3 2" xfId="385" xr:uid="{00000000-0005-0000-0000-0000AE010000}"/>
    <cellStyle name="Note 2 4" xfId="386" xr:uid="{00000000-0005-0000-0000-0000AF010000}"/>
    <cellStyle name="Note 3" xfId="387" xr:uid="{00000000-0005-0000-0000-0000B0010000}"/>
    <cellStyle name="Note 3 2" xfId="388" xr:uid="{00000000-0005-0000-0000-0000B1010000}"/>
    <cellStyle name="Note 3 2 2" xfId="389" xr:uid="{00000000-0005-0000-0000-0000B2010000}"/>
    <cellStyle name="Note 3 2 2 2" xfId="390" xr:uid="{00000000-0005-0000-0000-0000B3010000}"/>
    <cellStyle name="Note 3 2 3" xfId="391" xr:uid="{00000000-0005-0000-0000-0000B4010000}"/>
    <cellStyle name="Note 3 2 3 2" xfId="392" xr:uid="{00000000-0005-0000-0000-0000B5010000}"/>
    <cellStyle name="Note 3 2 4" xfId="393" xr:uid="{00000000-0005-0000-0000-0000B6010000}"/>
    <cellStyle name="Note 3 2 4 2" xfId="394" xr:uid="{00000000-0005-0000-0000-0000B7010000}"/>
    <cellStyle name="Note 3 2 5" xfId="395" xr:uid="{00000000-0005-0000-0000-0000B8010000}"/>
    <cellStyle name="Note 3 2 5 2" xfId="396" xr:uid="{00000000-0005-0000-0000-0000B9010000}"/>
    <cellStyle name="Note 3 2 6" xfId="397" xr:uid="{00000000-0005-0000-0000-0000BA010000}"/>
    <cellStyle name="Note 3 2 6 2" xfId="398" xr:uid="{00000000-0005-0000-0000-0000BB010000}"/>
    <cellStyle name="Note 3 2 7" xfId="399" xr:uid="{00000000-0005-0000-0000-0000BC010000}"/>
    <cellStyle name="Note 3 3" xfId="400" xr:uid="{00000000-0005-0000-0000-0000BD010000}"/>
    <cellStyle name="Note 3 3 2" xfId="401" xr:uid="{00000000-0005-0000-0000-0000BE010000}"/>
    <cellStyle name="Note 3 4" xfId="402" xr:uid="{00000000-0005-0000-0000-0000BF010000}"/>
    <cellStyle name="Note 3 4 2" xfId="403" xr:uid="{00000000-0005-0000-0000-0000C0010000}"/>
    <cellStyle name="Note 3 5" xfId="404" xr:uid="{00000000-0005-0000-0000-0000C1010000}"/>
    <cellStyle name="Note 3 5 2" xfId="405" xr:uid="{00000000-0005-0000-0000-0000C2010000}"/>
    <cellStyle name="Note 3 6" xfId="406" xr:uid="{00000000-0005-0000-0000-0000C3010000}"/>
    <cellStyle name="Note 3 6 2" xfId="407" xr:uid="{00000000-0005-0000-0000-0000C4010000}"/>
    <cellStyle name="Note 3 7" xfId="408" xr:uid="{00000000-0005-0000-0000-0000C5010000}"/>
    <cellStyle name="Note 3 7 2" xfId="409" xr:uid="{00000000-0005-0000-0000-0000C6010000}"/>
    <cellStyle name="Note 3 8" xfId="410" xr:uid="{00000000-0005-0000-0000-0000C7010000}"/>
    <cellStyle name="Note 4" xfId="411" xr:uid="{00000000-0005-0000-0000-0000C8010000}"/>
    <cellStyle name="Note 4 2" xfId="412" xr:uid="{00000000-0005-0000-0000-0000C9010000}"/>
    <cellStyle name="Note 4 2 2" xfId="413" xr:uid="{00000000-0005-0000-0000-0000CA010000}"/>
    <cellStyle name="Note 4 3" xfId="414" xr:uid="{00000000-0005-0000-0000-0000CB010000}"/>
    <cellStyle name="Note 4 3 2" xfId="415" xr:uid="{00000000-0005-0000-0000-0000CC010000}"/>
    <cellStyle name="Note 4 4" xfId="416" xr:uid="{00000000-0005-0000-0000-0000CD010000}"/>
    <cellStyle name="Note 4 4 2" xfId="417" xr:uid="{00000000-0005-0000-0000-0000CE010000}"/>
    <cellStyle name="Note 4 5" xfId="418" xr:uid="{00000000-0005-0000-0000-0000CF010000}"/>
    <cellStyle name="Note 4 5 2" xfId="419" xr:uid="{00000000-0005-0000-0000-0000D0010000}"/>
    <cellStyle name="Note 4 6" xfId="420" xr:uid="{00000000-0005-0000-0000-0000D1010000}"/>
    <cellStyle name="Note 4 6 2" xfId="421" xr:uid="{00000000-0005-0000-0000-0000D2010000}"/>
    <cellStyle name="Note 4 7" xfId="422" xr:uid="{00000000-0005-0000-0000-0000D3010000}"/>
    <cellStyle name="Note 5" xfId="423" xr:uid="{00000000-0005-0000-0000-0000D4010000}"/>
    <cellStyle name="Note 5 2" xfId="424" xr:uid="{00000000-0005-0000-0000-0000D5010000}"/>
    <cellStyle name="Output" xfId="425" xr:uid="{00000000-0005-0000-0000-0000D6010000}"/>
    <cellStyle name="Output 2" xfId="426" xr:uid="{00000000-0005-0000-0000-0000D7010000}"/>
    <cellStyle name="Output 2 2" xfId="427" xr:uid="{00000000-0005-0000-0000-0000D8010000}"/>
    <cellStyle name="Output 2 2 2" xfId="428" xr:uid="{00000000-0005-0000-0000-0000D9010000}"/>
    <cellStyle name="Output 2 3" xfId="429" xr:uid="{00000000-0005-0000-0000-0000DA010000}"/>
    <cellStyle name="Output 2 3 2" xfId="430" xr:uid="{00000000-0005-0000-0000-0000DB010000}"/>
    <cellStyle name="Output 2 4" xfId="431" xr:uid="{00000000-0005-0000-0000-0000DC010000}"/>
    <cellStyle name="Output 2 4 2" xfId="432" xr:uid="{00000000-0005-0000-0000-0000DD010000}"/>
    <cellStyle name="Output 2 5" xfId="433" xr:uid="{00000000-0005-0000-0000-0000DE010000}"/>
    <cellStyle name="Output 2 5 2" xfId="434" xr:uid="{00000000-0005-0000-0000-0000DF010000}"/>
    <cellStyle name="Output 2 6" xfId="435" xr:uid="{00000000-0005-0000-0000-0000E0010000}"/>
    <cellStyle name="Output 2 6 2" xfId="436" xr:uid="{00000000-0005-0000-0000-0000E1010000}"/>
    <cellStyle name="Output 2 7" xfId="437" xr:uid="{00000000-0005-0000-0000-0000E2010000}"/>
    <cellStyle name="Output 3" xfId="438" xr:uid="{00000000-0005-0000-0000-0000E3010000}"/>
    <cellStyle name="Output 3 2" xfId="439" xr:uid="{00000000-0005-0000-0000-0000E4010000}"/>
    <cellStyle name="per.style" xfId="440" xr:uid="{00000000-0005-0000-0000-0000E5010000}"/>
    <cellStyle name="Percent [2]" xfId="441" xr:uid="{00000000-0005-0000-0000-0000E6010000}"/>
    <cellStyle name="price" xfId="442" xr:uid="{00000000-0005-0000-0000-0000E7010000}"/>
    <cellStyle name="PSChar" xfId="443" xr:uid="{00000000-0005-0000-0000-0000E8010000}"/>
    <cellStyle name="PSHeading" xfId="444" xr:uid="{00000000-0005-0000-0000-0000E9010000}"/>
    <cellStyle name="QDF" xfId="445" xr:uid="{00000000-0005-0000-0000-0000EA010000}"/>
    <cellStyle name="revised" xfId="446" xr:uid="{00000000-0005-0000-0000-0000EB010000}"/>
    <cellStyle name="section" xfId="447" xr:uid="{00000000-0005-0000-0000-0000EC010000}"/>
    <cellStyle name="subhead" xfId="448" xr:uid="{00000000-0005-0000-0000-0000ED010000}"/>
    <cellStyle name="title" xfId="449" xr:uid="{00000000-0005-0000-0000-0000EE010000}"/>
    <cellStyle name="Total" xfId="450" xr:uid="{00000000-0005-0000-0000-0000EF010000}"/>
    <cellStyle name="Total 2" xfId="451" xr:uid="{00000000-0005-0000-0000-0000F0010000}"/>
    <cellStyle name="Total 2 2" xfId="452" xr:uid="{00000000-0005-0000-0000-0000F1010000}"/>
    <cellStyle name="Total 2 2 2" xfId="453" xr:uid="{00000000-0005-0000-0000-0000F2010000}"/>
    <cellStyle name="Total 2 3" xfId="454" xr:uid="{00000000-0005-0000-0000-0000F3010000}"/>
    <cellStyle name="Total 2 3 2" xfId="455" xr:uid="{00000000-0005-0000-0000-0000F4010000}"/>
    <cellStyle name="Total 2 4" xfId="456" xr:uid="{00000000-0005-0000-0000-0000F5010000}"/>
    <cellStyle name="Total 2 4 2" xfId="457" xr:uid="{00000000-0005-0000-0000-0000F6010000}"/>
    <cellStyle name="Total 2 5" xfId="458" xr:uid="{00000000-0005-0000-0000-0000F7010000}"/>
    <cellStyle name="Total 2 5 2" xfId="459" xr:uid="{00000000-0005-0000-0000-0000F8010000}"/>
    <cellStyle name="Total 2 6" xfId="460" xr:uid="{00000000-0005-0000-0000-0000F9010000}"/>
    <cellStyle name="Total 2 6 2" xfId="461" xr:uid="{00000000-0005-0000-0000-0000FA010000}"/>
    <cellStyle name="Total 2 7" xfId="462" xr:uid="{00000000-0005-0000-0000-0000FB010000}"/>
    <cellStyle name="Total 3" xfId="463" xr:uid="{00000000-0005-0000-0000-0000FC010000}"/>
    <cellStyle name="Total 3 2" xfId="464" xr:uid="{00000000-0005-0000-0000-0000FD010000}"/>
    <cellStyle name="Warning Text" xfId="465" xr:uid="{00000000-0005-0000-0000-0000FE010000}"/>
    <cellStyle name="アクセント 1 2" xfId="466" xr:uid="{00000000-0005-0000-0000-0000FF010000}"/>
    <cellStyle name="アクセント 1 3" xfId="467" xr:uid="{00000000-0005-0000-0000-000000020000}"/>
    <cellStyle name="アクセント 1 4" xfId="468" xr:uid="{00000000-0005-0000-0000-000001020000}"/>
    <cellStyle name="アクセント 1 5" xfId="469" xr:uid="{00000000-0005-0000-0000-000002020000}"/>
    <cellStyle name="アクセント 1 6" xfId="470" xr:uid="{00000000-0005-0000-0000-000003020000}"/>
    <cellStyle name="アクセント 1 7" xfId="471" xr:uid="{00000000-0005-0000-0000-000004020000}"/>
    <cellStyle name="アクセント 1 8" xfId="472" xr:uid="{00000000-0005-0000-0000-000005020000}"/>
    <cellStyle name="アクセント 1 9" xfId="473" xr:uid="{00000000-0005-0000-0000-000006020000}"/>
    <cellStyle name="アクセント 2 2" xfId="474" xr:uid="{00000000-0005-0000-0000-000007020000}"/>
    <cellStyle name="アクセント 2 3" xfId="475" xr:uid="{00000000-0005-0000-0000-000008020000}"/>
    <cellStyle name="アクセント 2 4" xfId="476" xr:uid="{00000000-0005-0000-0000-000009020000}"/>
    <cellStyle name="アクセント 2 5" xfId="477" xr:uid="{00000000-0005-0000-0000-00000A020000}"/>
    <cellStyle name="アクセント 2 6" xfId="478" xr:uid="{00000000-0005-0000-0000-00000B020000}"/>
    <cellStyle name="アクセント 2 7" xfId="479" xr:uid="{00000000-0005-0000-0000-00000C020000}"/>
    <cellStyle name="アクセント 2 8" xfId="480" xr:uid="{00000000-0005-0000-0000-00000D020000}"/>
    <cellStyle name="アクセント 2 9" xfId="481" xr:uid="{00000000-0005-0000-0000-00000E020000}"/>
    <cellStyle name="アクセント 3 2" xfId="482" xr:uid="{00000000-0005-0000-0000-00000F020000}"/>
    <cellStyle name="アクセント 3 3" xfId="483" xr:uid="{00000000-0005-0000-0000-000010020000}"/>
    <cellStyle name="アクセント 3 4" xfId="484" xr:uid="{00000000-0005-0000-0000-000011020000}"/>
    <cellStyle name="アクセント 3 5" xfId="485" xr:uid="{00000000-0005-0000-0000-000012020000}"/>
    <cellStyle name="アクセント 3 6" xfId="486" xr:uid="{00000000-0005-0000-0000-000013020000}"/>
    <cellStyle name="アクセント 3 7" xfId="487" xr:uid="{00000000-0005-0000-0000-000014020000}"/>
    <cellStyle name="アクセント 3 8" xfId="488" xr:uid="{00000000-0005-0000-0000-000015020000}"/>
    <cellStyle name="アクセント 3 9" xfId="489" xr:uid="{00000000-0005-0000-0000-000016020000}"/>
    <cellStyle name="アクセント 4 2" xfId="490" xr:uid="{00000000-0005-0000-0000-000017020000}"/>
    <cellStyle name="アクセント 4 3" xfId="491" xr:uid="{00000000-0005-0000-0000-000018020000}"/>
    <cellStyle name="アクセント 4 4" xfId="492" xr:uid="{00000000-0005-0000-0000-000019020000}"/>
    <cellStyle name="アクセント 4 5" xfId="493" xr:uid="{00000000-0005-0000-0000-00001A020000}"/>
    <cellStyle name="アクセント 4 6" xfId="494" xr:uid="{00000000-0005-0000-0000-00001B020000}"/>
    <cellStyle name="アクセント 4 7" xfId="495" xr:uid="{00000000-0005-0000-0000-00001C020000}"/>
    <cellStyle name="アクセント 4 8" xfId="496" xr:uid="{00000000-0005-0000-0000-00001D020000}"/>
    <cellStyle name="アクセント 4 9" xfId="497" xr:uid="{00000000-0005-0000-0000-00001E020000}"/>
    <cellStyle name="アクセント 5 2" xfId="498" xr:uid="{00000000-0005-0000-0000-00001F020000}"/>
    <cellStyle name="アクセント 5 3" xfId="499" xr:uid="{00000000-0005-0000-0000-000020020000}"/>
    <cellStyle name="アクセント 5 4" xfId="500" xr:uid="{00000000-0005-0000-0000-000021020000}"/>
    <cellStyle name="アクセント 5 5" xfId="501" xr:uid="{00000000-0005-0000-0000-000022020000}"/>
    <cellStyle name="アクセント 5 6" xfId="502" xr:uid="{00000000-0005-0000-0000-000023020000}"/>
    <cellStyle name="アクセント 5 7" xfId="503" xr:uid="{00000000-0005-0000-0000-000024020000}"/>
    <cellStyle name="アクセント 5 8" xfId="504" xr:uid="{00000000-0005-0000-0000-000025020000}"/>
    <cellStyle name="アクセント 5 9" xfId="505" xr:uid="{00000000-0005-0000-0000-000026020000}"/>
    <cellStyle name="アクセント 6 2" xfId="506" xr:uid="{00000000-0005-0000-0000-000027020000}"/>
    <cellStyle name="アクセント 6 3" xfId="507" xr:uid="{00000000-0005-0000-0000-000028020000}"/>
    <cellStyle name="アクセント 6 4" xfId="508" xr:uid="{00000000-0005-0000-0000-000029020000}"/>
    <cellStyle name="アクセント 6 5" xfId="509" xr:uid="{00000000-0005-0000-0000-00002A020000}"/>
    <cellStyle name="アクセント 6 6" xfId="510" xr:uid="{00000000-0005-0000-0000-00002B020000}"/>
    <cellStyle name="アクセント 6 7" xfId="511" xr:uid="{00000000-0005-0000-0000-00002C020000}"/>
    <cellStyle name="アクセント 6 8" xfId="512" xr:uid="{00000000-0005-0000-0000-00002D020000}"/>
    <cellStyle name="アクセント 6 9" xfId="513" xr:uid="{00000000-0005-0000-0000-00002E020000}"/>
    <cellStyle name="センター" xfId="514" xr:uid="{00000000-0005-0000-0000-00002F020000}"/>
    <cellStyle name="タイトル 2" xfId="515" xr:uid="{00000000-0005-0000-0000-000030020000}"/>
    <cellStyle name="タイトル 3" xfId="516" xr:uid="{00000000-0005-0000-0000-000031020000}"/>
    <cellStyle name="タイトル 4" xfId="517" xr:uid="{00000000-0005-0000-0000-000032020000}"/>
    <cellStyle name="タイトル 5" xfId="518" xr:uid="{00000000-0005-0000-0000-000033020000}"/>
    <cellStyle name="タイトル 6" xfId="519" xr:uid="{00000000-0005-0000-0000-000034020000}"/>
    <cellStyle name="タイトル 7" xfId="520" xr:uid="{00000000-0005-0000-0000-000035020000}"/>
    <cellStyle name="タイトル 8" xfId="521" xr:uid="{00000000-0005-0000-0000-000036020000}"/>
    <cellStyle name="タイトル 9" xfId="522" xr:uid="{00000000-0005-0000-0000-000037020000}"/>
    <cellStyle name="チェック セル 2" xfId="523" xr:uid="{00000000-0005-0000-0000-000038020000}"/>
    <cellStyle name="チェック セル 3" xfId="524" xr:uid="{00000000-0005-0000-0000-000039020000}"/>
    <cellStyle name="チェック セル 4" xfId="525" xr:uid="{00000000-0005-0000-0000-00003A020000}"/>
    <cellStyle name="チェック セル 5" xfId="526" xr:uid="{00000000-0005-0000-0000-00003B020000}"/>
    <cellStyle name="チェック セル 6" xfId="527" xr:uid="{00000000-0005-0000-0000-00003C020000}"/>
    <cellStyle name="チェック セル 7" xfId="528" xr:uid="{00000000-0005-0000-0000-00003D020000}"/>
    <cellStyle name="チェック セル 8" xfId="529" xr:uid="{00000000-0005-0000-0000-00003E020000}"/>
    <cellStyle name="チェック セル 9" xfId="530" xr:uid="{00000000-0005-0000-0000-00003F020000}"/>
    <cellStyle name="チャート" xfId="531" xr:uid="{00000000-0005-0000-0000-000040020000}"/>
    <cellStyle name="どちらでもない 2" xfId="532" xr:uid="{00000000-0005-0000-0000-000041020000}"/>
    <cellStyle name="どちらでもない 3" xfId="533" xr:uid="{00000000-0005-0000-0000-000042020000}"/>
    <cellStyle name="どちらでもない 4" xfId="534" xr:uid="{00000000-0005-0000-0000-000043020000}"/>
    <cellStyle name="どちらでもない 5" xfId="535" xr:uid="{00000000-0005-0000-0000-000044020000}"/>
    <cellStyle name="どちらでもない 6" xfId="536" xr:uid="{00000000-0005-0000-0000-000045020000}"/>
    <cellStyle name="どちらでもない 7" xfId="537" xr:uid="{00000000-0005-0000-0000-000046020000}"/>
    <cellStyle name="どちらでもない 8" xfId="538" xr:uid="{00000000-0005-0000-0000-000047020000}"/>
    <cellStyle name="どちらでもない 9" xfId="539" xr:uid="{00000000-0005-0000-0000-000048020000}"/>
    <cellStyle name="パーセント 2" xfId="540" xr:uid="{00000000-0005-0000-0000-000049020000}"/>
    <cellStyle name="パーセント 2 2" xfId="541" xr:uid="{00000000-0005-0000-0000-00004A020000}"/>
    <cellStyle name="パーセント 3" xfId="542" xr:uid="{00000000-0005-0000-0000-00004B020000}"/>
    <cellStyle name="ハイパーリンク 2" xfId="543" xr:uid="{00000000-0005-0000-0000-00004C020000}"/>
    <cellStyle name="ハイパーリンク 2 2" xfId="544" xr:uid="{00000000-0005-0000-0000-00004D020000}"/>
    <cellStyle name="ハイパーリンク 2 3" xfId="545" xr:uid="{00000000-0005-0000-0000-00004E020000}"/>
    <cellStyle name="ハイパーリンク 3" xfId="546" xr:uid="{00000000-0005-0000-0000-00004F020000}"/>
    <cellStyle name="メモ 2" xfId="547" xr:uid="{00000000-0005-0000-0000-000050020000}"/>
    <cellStyle name="メモ 2 2" xfId="548" xr:uid="{00000000-0005-0000-0000-000051020000}"/>
    <cellStyle name="メモ 2 2 2" xfId="549" xr:uid="{00000000-0005-0000-0000-000052020000}"/>
    <cellStyle name="メモ 2 2 2 2" xfId="550" xr:uid="{00000000-0005-0000-0000-000053020000}"/>
    <cellStyle name="メモ 2 2 2 2 2" xfId="551" xr:uid="{00000000-0005-0000-0000-000054020000}"/>
    <cellStyle name="メモ 2 2 2 3" xfId="552" xr:uid="{00000000-0005-0000-0000-000055020000}"/>
    <cellStyle name="メモ 2 2 2 3 2" xfId="553" xr:uid="{00000000-0005-0000-0000-000056020000}"/>
    <cellStyle name="メモ 2 2 2 4" xfId="554" xr:uid="{00000000-0005-0000-0000-000057020000}"/>
    <cellStyle name="メモ 2 2 2 4 2" xfId="555" xr:uid="{00000000-0005-0000-0000-000058020000}"/>
    <cellStyle name="メモ 2 2 2 5" xfId="556" xr:uid="{00000000-0005-0000-0000-000059020000}"/>
    <cellStyle name="メモ 2 2 2 5 2" xfId="557" xr:uid="{00000000-0005-0000-0000-00005A020000}"/>
    <cellStyle name="メモ 2 2 2 6" xfId="558" xr:uid="{00000000-0005-0000-0000-00005B020000}"/>
    <cellStyle name="メモ 2 2 2 6 2" xfId="559" xr:uid="{00000000-0005-0000-0000-00005C020000}"/>
    <cellStyle name="メモ 2 2 2 7" xfId="560" xr:uid="{00000000-0005-0000-0000-00005D020000}"/>
    <cellStyle name="メモ 2 2 3" xfId="561" xr:uid="{00000000-0005-0000-0000-00005E020000}"/>
    <cellStyle name="メモ 2 2 3 2" xfId="562" xr:uid="{00000000-0005-0000-0000-00005F020000}"/>
    <cellStyle name="メモ 2 2 4" xfId="563" xr:uid="{00000000-0005-0000-0000-000060020000}"/>
    <cellStyle name="メモ 2 3" xfId="564" xr:uid="{00000000-0005-0000-0000-000061020000}"/>
    <cellStyle name="メモ 2 3 2" xfId="565" xr:uid="{00000000-0005-0000-0000-000062020000}"/>
    <cellStyle name="メモ 2 3 2 2" xfId="566" xr:uid="{00000000-0005-0000-0000-000063020000}"/>
    <cellStyle name="メモ 2 3 2 2 2" xfId="567" xr:uid="{00000000-0005-0000-0000-000064020000}"/>
    <cellStyle name="メモ 2 3 2 3" xfId="568" xr:uid="{00000000-0005-0000-0000-000065020000}"/>
    <cellStyle name="メモ 2 3 2 3 2" xfId="569" xr:uid="{00000000-0005-0000-0000-000066020000}"/>
    <cellStyle name="メモ 2 3 2 4" xfId="570" xr:uid="{00000000-0005-0000-0000-000067020000}"/>
    <cellStyle name="メモ 2 3 2 4 2" xfId="571" xr:uid="{00000000-0005-0000-0000-000068020000}"/>
    <cellStyle name="メモ 2 3 2 5" xfId="572" xr:uid="{00000000-0005-0000-0000-000069020000}"/>
    <cellStyle name="メモ 2 3 2 5 2" xfId="573" xr:uid="{00000000-0005-0000-0000-00006A020000}"/>
    <cellStyle name="メモ 2 3 2 6" xfId="574" xr:uid="{00000000-0005-0000-0000-00006B020000}"/>
    <cellStyle name="メモ 2 3 2 6 2" xfId="575" xr:uid="{00000000-0005-0000-0000-00006C020000}"/>
    <cellStyle name="メモ 2 3 2 7" xfId="576" xr:uid="{00000000-0005-0000-0000-00006D020000}"/>
    <cellStyle name="メモ 2 3 3" xfId="577" xr:uid="{00000000-0005-0000-0000-00006E020000}"/>
    <cellStyle name="メモ 2 3 3 2" xfId="578" xr:uid="{00000000-0005-0000-0000-00006F020000}"/>
    <cellStyle name="メモ 2 4" xfId="579" xr:uid="{00000000-0005-0000-0000-000070020000}"/>
    <cellStyle name="メモ 2 4 2" xfId="580" xr:uid="{00000000-0005-0000-0000-000071020000}"/>
    <cellStyle name="メモ 2 4 2 2" xfId="581" xr:uid="{00000000-0005-0000-0000-000072020000}"/>
    <cellStyle name="メモ 2 4 2 2 2" xfId="582" xr:uid="{00000000-0005-0000-0000-000073020000}"/>
    <cellStyle name="メモ 2 4 2 3" xfId="583" xr:uid="{00000000-0005-0000-0000-000074020000}"/>
    <cellStyle name="メモ 2 4 2 3 2" xfId="584" xr:uid="{00000000-0005-0000-0000-000075020000}"/>
    <cellStyle name="メモ 2 4 2 4" xfId="585" xr:uid="{00000000-0005-0000-0000-000076020000}"/>
    <cellStyle name="メモ 2 4 2 4 2" xfId="586" xr:uid="{00000000-0005-0000-0000-000077020000}"/>
    <cellStyle name="メモ 2 4 2 5" xfId="587" xr:uid="{00000000-0005-0000-0000-000078020000}"/>
    <cellStyle name="メモ 2 4 2 5 2" xfId="588" xr:uid="{00000000-0005-0000-0000-000079020000}"/>
    <cellStyle name="メモ 2 4 2 6" xfId="589" xr:uid="{00000000-0005-0000-0000-00007A020000}"/>
    <cellStyle name="メモ 2 4 2 6 2" xfId="590" xr:uid="{00000000-0005-0000-0000-00007B020000}"/>
    <cellStyle name="メモ 2 4 2 7" xfId="591" xr:uid="{00000000-0005-0000-0000-00007C020000}"/>
    <cellStyle name="メモ 2 4 3" xfId="592" xr:uid="{00000000-0005-0000-0000-00007D020000}"/>
    <cellStyle name="メモ 2 4 3 2" xfId="593" xr:uid="{00000000-0005-0000-0000-00007E020000}"/>
    <cellStyle name="メモ 2 4 4" xfId="594" xr:uid="{00000000-0005-0000-0000-00007F020000}"/>
    <cellStyle name="メモ 2 4 4 2" xfId="595" xr:uid="{00000000-0005-0000-0000-000080020000}"/>
    <cellStyle name="メモ 2 4 5" xfId="596" xr:uid="{00000000-0005-0000-0000-000081020000}"/>
    <cellStyle name="メモ 2 4 5 2" xfId="597" xr:uid="{00000000-0005-0000-0000-000082020000}"/>
    <cellStyle name="メモ 2 4 6" xfId="598" xr:uid="{00000000-0005-0000-0000-000083020000}"/>
    <cellStyle name="メモ 2 4 6 2" xfId="599" xr:uid="{00000000-0005-0000-0000-000084020000}"/>
    <cellStyle name="メモ 2 4 7" xfId="600" xr:uid="{00000000-0005-0000-0000-000085020000}"/>
    <cellStyle name="メモ 2 4 7 2" xfId="601" xr:uid="{00000000-0005-0000-0000-000086020000}"/>
    <cellStyle name="メモ 2 4 8" xfId="602" xr:uid="{00000000-0005-0000-0000-000087020000}"/>
    <cellStyle name="メモ 2 5" xfId="603" xr:uid="{00000000-0005-0000-0000-000088020000}"/>
    <cellStyle name="メモ 2 5 2" xfId="604" xr:uid="{00000000-0005-0000-0000-000089020000}"/>
    <cellStyle name="メモ 2 5 2 2" xfId="605" xr:uid="{00000000-0005-0000-0000-00008A020000}"/>
    <cellStyle name="メモ 2 5 2 2 2" xfId="606" xr:uid="{00000000-0005-0000-0000-00008B020000}"/>
    <cellStyle name="メモ 2 5 2 3" xfId="607" xr:uid="{00000000-0005-0000-0000-00008C020000}"/>
    <cellStyle name="メモ 2 5 2 3 2" xfId="608" xr:uid="{00000000-0005-0000-0000-00008D020000}"/>
    <cellStyle name="メモ 2 5 2 4" xfId="609" xr:uid="{00000000-0005-0000-0000-00008E020000}"/>
    <cellStyle name="メモ 2 5 2 4 2" xfId="610" xr:uid="{00000000-0005-0000-0000-00008F020000}"/>
    <cellStyle name="メモ 2 5 2 5" xfId="611" xr:uid="{00000000-0005-0000-0000-000090020000}"/>
    <cellStyle name="メモ 2 5 2 5 2" xfId="612" xr:uid="{00000000-0005-0000-0000-000091020000}"/>
    <cellStyle name="メモ 2 5 2 6" xfId="613" xr:uid="{00000000-0005-0000-0000-000092020000}"/>
    <cellStyle name="メモ 2 5 2 6 2" xfId="614" xr:uid="{00000000-0005-0000-0000-000093020000}"/>
    <cellStyle name="メモ 2 5 2 7" xfId="615" xr:uid="{00000000-0005-0000-0000-000094020000}"/>
    <cellStyle name="メモ 2 5 3" xfId="616" xr:uid="{00000000-0005-0000-0000-000095020000}"/>
    <cellStyle name="メモ 2 5 3 2" xfId="617" xr:uid="{00000000-0005-0000-0000-000096020000}"/>
    <cellStyle name="メモ 2 5 4" xfId="618" xr:uid="{00000000-0005-0000-0000-000097020000}"/>
    <cellStyle name="メモ 2 5 4 2" xfId="619" xr:uid="{00000000-0005-0000-0000-000098020000}"/>
    <cellStyle name="メモ 2 5 5" xfId="620" xr:uid="{00000000-0005-0000-0000-000099020000}"/>
    <cellStyle name="メモ 2 5 5 2" xfId="621" xr:uid="{00000000-0005-0000-0000-00009A020000}"/>
    <cellStyle name="メモ 2 5 6" xfId="622" xr:uid="{00000000-0005-0000-0000-00009B020000}"/>
    <cellStyle name="メモ 2 5 6 2" xfId="623" xr:uid="{00000000-0005-0000-0000-00009C020000}"/>
    <cellStyle name="メモ 2 5 7" xfId="624" xr:uid="{00000000-0005-0000-0000-00009D020000}"/>
    <cellStyle name="メモ 2 5 7 2" xfId="625" xr:uid="{00000000-0005-0000-0000-00009E020000}"/>
    <cellStyle name="メモ 2 5 8" xfId="626" xr:uid="{00000000-0005-0000-0000-00009F020000}"/>
    <cellStyle name="メモ 2 6" xfId="627" xr:uid="{00000000-0005-0000-0000-0000A0020000}"/>
    <cellStyle name="メモ 2 6 2" xfId="628" xr:uid="{00000000-0005-0000-0000-0000A1020000}"/>
    <cellStyle name="メモ 2 6 2 2" xfId="629" xr:uid="{00000000-0005-0000-0000-0000A2020000}"/>
    <cellStyle name="メモ 2 6 2 2 2" xfId="630" xr:uid="{00000000-0005-0000-0000-0000A3020000}"/>
    <cellStyle name="メモ 2 6 2 3" xfId="631" xr:uid="{00000000-0005-0000-0000-0000A4020000}"/>
    <cellStyle name="メモ 2 6 2 3 2" xfId="632" xr:uid="{00000000-0005-0000-0000-0000A5020000}"/>
    <cellStyle name="メモ 2 6 2 4" xfId="633" xr:uid="{00000000-0005-0000-0000-0000A6020000}"/>
    <cellStyle name="メモ 2 6 2 4 2" xfId="634" xr:uid="{00000000-0005-0000-0000-0000A7020000}"/>
    <cellStyle name="メモ 2 6 2 5" xfId="635" xr:uid="{00000000-0005-0000-0000-0000A8020000}"/>
    <cellStyle name="メモ 2 6 2 5 2" xfId="636" xr:uid="{00000000-0005-0000-0000-0000A9020000}"/>
    <cellStyle name="メモ 2 6 2 6" xfId="637" xr:uid="{00000000-0005-0000-0000-0000AA020000}"/>
    <cellStyle name="メモ 2 6 2 6 2" xfId="638" xr:uid="{00000000-0005-0000-0000-0000AB020000}"/>
    <cellStyle name="メモ 2 6 2 7" xfId="639" xr:uid="{00000000-0005-0000-0000-0000AC020000}"/>
    <cellStyle name="メモ 2 6 3" xfId="640" xr:uid="{00000000-0005-0000-0000-0000AD020000}"/>
    <cellStyle name="メモ 2 6 3 2" xfId="641" xr:uid="{00000000-0005-0000-0000-0000AE020000}"/>
    <cellStyle name="メモ 2 6 4" xfId="642" xr:uid="{00000000-0005-0000-0000-0000AF020000}"/>
    <cellStyle name="メモ 2 6 4 2" xfId="643" xr:uid="{00000000-0005-0000-0000-0000B0020000}"/>
    <cellStyle name="メモ 2 6 5" xfId="644" xr:uid="{00000000-0005-0000-0000-0000B1020000}"/>
    <cellStyle name="メモ 2 6 5 2" xfId="645" xr:uid="{00000000-0005-0000-0000-0000B2020000}"/>
    <cellStyle name="メモ 2 6 6" xfId="646" xr:uid="{00000000-0005-0000-0000-0000B3020000}"/>
    <cellStyle name="メモ 2 6 6 2" xfId="647" xr:uid="{00000000-0005-0000-0000-0000B4020000}"/>
    <cellStyle name="メモ 2 6 7" xfId="648" xr:uid="{00000000-0005-0000-0000-0000B5020000}"/>
    <cellStyle name="メモ 2 6 7 2" xfId="649" xr:uid="{00000000-0005-0000-0000-0000B6020000}"/>
    <cellStyle name="メモ 2 6 8" xfId="650" xr:uid="{00000000-0005-0000-0000-0000B7020000}"/>
    <cellStyle name="メモ 2 7" xfId="651" xr:uid="{00000000-0005-0000-0000-0000B8020000}"/>
    <cellStyle name="メモ 2 7 2" xfId="652" xr:uid="{00000000-0005-0000-0000-0000B9020000}"/>
    <cellStyle name="メモ 2 7 2 2" xfId="653" xr:uid="{00000000-0005-0000-0000-0000BA020000}"/>
    <cellStyle name="メモ 2 7 3" xfId="654" xr:uid="{00000000-0005-0000-0000-0000BB020000}"/>
    <cellStyle name="メモ 2 7 3 2" xfId="655" xr:uid="{00000000-0005-0000-0000-0000BC020000}"/>
    <cellStyle name="メモ 2 7 4" xfId="656" xr:uid="{00000000-0005-0000-0000-0000BD020000}"/>
    <cellStyle name="メモ 2 7 4 2" xfId="657" xr:uid="{00000000-0005-0000-0000-0000BE020000}"/>
    <cellStyle name="メモ 2 7 5" xfId="658" xr:uid="{00000000-0005-0000-0000-0000BF020000}"/>
    <cellStyle name="メモ 2 7 5 2" xfId="659" xr:uid="{00000000-0005-0000-0000-0000C0020000}"/>
    <cellStyle name="メモ 2 7 6" xfId="660" xr:uid="{00000000-0005-0000-0000-0000C1020000}"/>
    <cellStyle name="メモ 2 7 6 2" xfId="661" xr:uid="{00000000-0005-0000-0000-0000C2020000}"/>
    <cellStyle name="メモ 2 7 7" xfId="662" xr:uid="{00000000-0005-0000-0000-0000C3020000}"/>
    <cellStyle name="メモ 2 8" xfId="663" xr:uid="{00000000-0005-0000-0000-0000C4020000}"/>
    <cellStyle name="メモ 2 8 2" xfId="664" xr:uid="{00000000-0005-0000-0000-0000C5020000}"/>
    <cellStyle name="メモ 3" xfId="665" xr:uid="{00000000-0005-0000-0000-0000C6020000}"/>
    <cellStyle name="メモ 3 2" xfId="666" xr:uid="{00000000-0005-0000-0000-0000C7020000}"/>
    <cellStyle name="メモ 3 2 2" xfId="667" xr:uid="{00000000-0005-0000-0000-0000C8020000}"/>
    <cellStyle name="メモ 3 2 2 2" xfId="668" xr:uid="{00000000-0005-0000-0000-0000C9020000}"/>
    <cellStyle name="メモ 3 2 3" xfId="669" xr:uid="{00000000-0005-0000-0000-0000CA020000}"/>
    <cellStyle name="メモ 3 2 3 2" xfId="670" xr:uid="{00000000-0005-0000-0000-0000CB020000}"/>
    <cellStyle name="メモ 3 2 4" xfId="671" xr:uid="{00000000-0005-0000-0000-0000CC020000}"/>
    <cellStyle name="メモ 3 2 4 2" xfId="672" xr:uid="{00000000-0005-0000-0000-0000CD020000}"/>
    <cellStyle name="メモ 3 2 5" xfId="673" xr:uid="{00000000-0005-0000-0000-0000CE020000}"/>
    <cellStyle name="メモ 3 2 5 2" xfId="674" xr:uid="{00000000-0005-0000-0000-0000CF020000}"/>
    <cellStyle name="メモ 3 2 6" xfId="675" xr:uid="{00000000-0005-0000-0000-0000D0020000}"/>
    <cellStyle name="メモ 3 2 6 2" xfId="676" xr:uid="{00000000-0005-0000-0000-0000D1020000}"/>
    <cellStyle name="メモ 3 2 7" xfId="677" xr:uid="{00000000-0005-0000-0000-0000D2020000}"/>
    <cellStyle name="メモ 3 3" xfId="678" xr:uid="{00000000-0005-0000-0000-0000D3020000}"/>
    <cellStyle name="メモ 3 3 2" xfId="679" xr:uid="{00000000-0005-0000-0000-0000D4020000}"/>
    <cellStyle name="メモ 3 4" xfId="680" xr:uid="{00000000-0005-0000-0000-0000D5020000}"/>
    <cellStyle name="メモ 3 5" xfId="681" xr:uid="{00000000-0005-0000-0000-0000D6020000}"/>
    <cellStyle name="メモ 4" xfId="682" xr:uid="{00000000-0005-0000-0000-0000D7020000}"/>
    <cellStyle name="メモ 4 2" xfId="683" xr:uid="{00000000-0005-0000-0000-0000D8020000}"/>
    <cellStyle name="メモ 4 2 2" xfId="684" xr:uid="{00000000-0005-0000-0000-0000D9020000}"/>
    <cellStyle name="メモ 4 2 2 2" xfId="685" xr:uid="{00000000-0005-0000-0000-0000DA020000}"/>
    <cellStyle name="メモ 4 2 3" xfId="686" xr:uid="{00000000-0005-0000-0000-0000DB020000}"/>
    <cellStyle name="メモ 4 2 3 2" xfId="687" xr:uid="{00000000-0005-0000-0000-0000DC020000}"/>
    <cellStyle name="メモ 4 2 4" xfId="688" xr:uid="{00000000-0005-0000-0000-0000DD020000}"/>
    <cellStyle name="メモ 4 2 4 2" xfId="689" xr:uid="{00000000-0005-0000-0000-0000DE020000}"/>
    <cellStyle name="メモ 4 2 5" xfId="690" xr:uid="{00000000-0005-0000-0000-0000DF020000}"/>
    <cellStyle name="メモ 4 2 5 2" xfId="691" xr:uid="{00000000-0005-0000-0000-0000E0020000}"/>
    <cellStyle name="メモ 4 2 6" xfId="692" xr:uid="{00000000-0005-0000-0000-0000E1020000}"/>
    <cellStyle name="メモ 4 2 6 2" xfId="693" xr:uid="{00000000-0005-0000-0000-0000E2020000}"/>
    <cellStyle name="メモ 4 2 7" xfId="694" xr:uid="{00000000-0005-0000-0000-0000E3020000}"/>
    <cellStyle name="メモ 4 3" xfId="695" xr:uid="{00000000-0005-0000-0000-0000E4020000}"/>
    <cellStyle name="メモ 4 3 2" xfId="696" xr:uid="{00000000-0005-0000-0000-0000E5020000}"/>
    <cellStyle name="メモ 4 4" xfId="697" xr:uid="{00000000-0005-0000-0000-0000E6020000}"/>
    <cellStyle name="メモ 5" xfId="698" xr:uid="{00000000-0005-0000-0000-0000E7020000}"/>
    <cellStyle name="メモ 5 2" xfId="699" xr:uid="{00000000-0005-0000-0000-0000E8020000}"/>
    <cellStyle name="メモ 5 2 2" xfId="700" xr:uid="{00000000-0005-0000-0000-0000E9020000}"/>
    <cellStyle name="メモ 5 3" xfId="701" xr:uid="{00000000-0005-0000-0000-0000EA020000}"/>
    <cellStyle name="メモ 5 3 2" xfId="702" xr:uid="{00000000-0005-0000-0000-0000EB020000}"/>
    <cellStyle name="メモ 5 4" xfId="703" xr:uid="{00000000-0005-0000-0000-0000EC020000}"/>
    <cellStyle name="メモ 5 4 2" xfId="704" xr:uid="{00000000-0005-0000-0000-0000ED020000}"/>
    <cellStyle name="メモ 5 5" xfId="705" xr:uid="{00000000-0005-0000-0000-0000EE020000}"/>
    <cellStyle name="メモ 5 5 2" xfId="706" xr:uid="{00000000-0005-0000-0000-0000EF020000}"/>
    <cellStyle name="メモ 5 6" xfId="707" xr:uid="{00000000-0005-0000-0000-0000F0020000}"/>
    <cellStyle name="メモ 5 6 2" xfId="708" xr:uid="{00000000-0005-0000-0000-0000F1020000}"/>
    <cellStyle name="メモ 5 7" xfId="709" xr:uid="{00000000-0005-0000-0000-0000F2020000}"/>
    <cellStyle name="メモ 5 7 2" xfId="710" xr:uid="{00000000-0005-0000-0000-0000F3020000}"/>
    <cellStyle name="メモ 6" xfId="711" xr:uid="{00000000-0005-0000-0000-0000F4020000}"/>
    <cellStyle name="メモ 7" xfId="712" xr:uid="{00000000-0005-0000-0000-0000F5020000}"/>
    <cellStyle name="メモ 8" xfId="713" xr:uid="{00000000-0005-0000-0000-0000F6020000}"/>
    <cellStyle name="メモ 9" xfId="714" xr:uid="{00000000-0005-0000-0000-0000F7020000}"/>
    <cellStyle name="リンク セル 2" xfId="715" xr:uid="{00000000-0005-0000-0000-0000F8020000}"/>
    <cellStyle name="リンク セル 3" xfId="716" xr:uid="{00000000-0005-0000-0000-0000F9020000}"/>
    <cellStyle name="リンク セル 4" xfId="717" xr:uid="{00000000-0005-0000-0000-0000FA020000}"/>
    <cellStyle name="リンク セル 5" xfId="718" xr:uid="{00000000-0005-0000-0000-0000FB020000}"/>
    <cellStyle name="リンク セル 6" xfId="719" xr:uid="{00000000-0005-0000-0000-0000FC020000}"/>
    <cellStyle name="リンク セル 7" xfId="720" xr:uid="{00000000-0005-0000-0000-0000FD020000}"/>
    <cellStyle name="リンク セル 8" xfId="721" xr:uid="{00000000-0005-0000-0000-0000FE020000}"/>
    <cellStyle name="リンク セル 9" xfId="722" xr:uid="{00000000-0005-0000-0000-0000FF020000}"/>
    <cellStyle name="_x001d_・_x000c_ﾏ・_x000d_ﾂ・_x0001__x0016__x0011_F5_x0007__x0001__x0001_" xfId="723" xr:uid="{00000000-0005-0000-0000-000000030000}"/>
    <cellStyle name="_x001d_・_x000c_ﾏ・_x000d_ﾂ・_x0001__x0016__x0011_F5_x0007__x0001__x0001_ 2" xfId="724" xr:uid="{00000000-0005-0000-0000-000001030000}"/>
    <cellStyle name="_x001d_・_x000c_ﾏ・_x000d_ﾂ・_x0001__x0016__x0011_F5_x0007__x0001__x0001_ 2 2" xfId="725" xr:uid="{00000000-0005-0000-0000-000002030000}"/>
    <cellStyle name="_x001d_・_x000c_ﾏ・_x000d_ﾂ・_x0001__x0016__x0011_F5_x0007__x0001__x0001_ 2 2 2" xfId="726" xr:uid="{00000000-0005-0000-0000-000003030000}"/>
    <cellStyle name="_x001d_・_x000c_ﾏ・_x000d_ﾂ・_x0001__x0016__x0011_F5_x0007__x0001__x0001_ 2 3" xfId="727" xr:uid="{00000000-0005-0000-0000-000004030000}"/>
    <cellStyle name="_x001d_・_x000c_ﾏ・_x000d_ﾂ・_x0001__x0016__x0011_F5_x0007__x0001__x0001_ 3" xfId="728" xr:uid="{00000000-0005-0000-0000-000005030000}"/>
    <cellStyle name="_x001d_・_x000c_ﾏ・_x000d_ﾂ・_x0001__x0016__x0011_F5_x0007__x0001__x0001_ 3 2" xfId="729" xr:uid="{00000000-0005-0000-0000-000006030000}"/>
    <cellStyle name="悪い 2" xfId="730" xr:uid="{00000000-0005-0000-0000-000007030000}"/>
    <cellStyle name="悪い 3" xfId="731" xr:uid="{00000000-0005-0000-0000-000008030000}"/>
    <cellStyle name="悪い 4" xfId="732" xr:uid="{00000000-0005-0000-0000-000009030000}"/>
    <cellStyle name="悪い 5" xfId="733" xr:uid="{00000000-0005-0000-0000-00000A030000}"/>
    <cellStyle name="悪い 6" xfId="734" xr:uid="{00000000-0005-0000-0000-00000B030000}"/>
    <cellStyle name="悪い 7" xfId="735" xr:uid="{00000000-0005-0000-0000-00000C030000}"/>
    <cellStyle name="悪い 8" xfId="736" xr:uid="{00000000-0005-0000-0000-00000D030000}"/>
    <cellStyle name="悪い 9" xfId="737" xr:uid="{00000000-0005-0000-0000-00000E030000}"/>
    <cellStyle name="計算 2" xfId="738" xr:uid="{00000000-0005-0000-0000-00000F030000}"/>
    <cellStyle name="計算 2 2" xfId="739" xr:uid="{00000000-0005-0000-0000-000010030000}"/>
    <cellStyle name="計算 2 2 2" xfId="740" xr:uid="{00000000-0005-0000-0000-000011030000}"/>
    <cellStyle name="計算 2 2 2 2" xfId="741" xr:uid="{00000000-0005-0000-0000-000012030000}"/>
    <cellStyle name="計算 2 2 2 2 2" xfId="742" xr:uid="{00000000-0005-0000-0000-000013030000}"/>
    <cellStyle name="計算 2 2 2 3" xfId="743" xr:uid="{00000000-0005-0000-0000-000014030000}"/>
    <cellStyle name="計算 2 2 2 3 2" xfId="744" xr:uid="{00000000-0005-0000-0000-000015030000}"/>
    <cellStyle name="計算 2 2 2 4" xfId="745" xr:uid="{00000000-0005-0000-0000-000016030000}"/>
    <cellStyle name="計算 2 2 2 4 2" xfId="746" xr:uid="{00000000-0005-0000-0000-000017030000}"/>
    <cellStyle name="計算 2 2 2 5" xfId="747" xr:uid="{00000000-0005-0000-0000-000018030000}"/>
    <cellStyle name="計算 2 2 2 5 2" xfId="748" xr:uid="{00000000-0005-0000-0000-000019030000}"/>
    <cellStyle name="計算 2 2 2 6" xfId="749" xr:uid="{00000000-0005-0000-0000-00001A030000}"/>
    <cellStyle name="計算 2 2 2 6 2" xfId="750" xr:uid="{00000000-0005-0000-0000-00001B030000}"/>
    <cellStyle name="計算 2 2 2 7" xfId="751" xr:uid="{00000000-0005-0000-0000-00001C030000}"/>
    <cellStyle name="計算 2 2 3" xfId="752" xr:uid="{00000000-0005-0000-0000-00001D030000}"/>
    <cellStyle name="計算 2 2 3 2" xfId="753" xr:uid="{00000000-0005-0000-0000-00001E030000}"/>
    <cellStyle name="計算 2 2 4" xfId="754" xr:uid="{00000000-0005-0000-0000-00001F030000}"/>
    <cellStyle name="計算 2 3" xfId="755" xr:uid="{00000000-0005-0000-0000-000020030000}"/>
    <cellStyle name="計算 2 3 2" xfId="756" xr:uid="{00000000-0005-0000-0000-000021030000}"/>
    <cellStyle name="計算 2 3 2 2" xfId="757" xr:uid="{00000000-0005-0000-0000-000022030000}"/>
    <cellStyle name="計算 2 3 3" xfId="758" xr:uid="{00000000-0005-0000-0000-000023030000}"/>
    <cellStyle name="計算 2 3 3 2" xfId="759" xr:uid="{00000000-0005-0000-0000-000024030000}"/>
    <cellStyle name="計算 2 3 4" xfId="760" xr:uid="{00000000-0005-0000-0000-000025030000}"/>
    <cellStyle name="計算 2 3 4 2" xfId="761" xr:uid="{00000000-0005-0000-0000-000026030000}"/>
    <cellStyle name="計算 2 3 5" xfId="762" xr:uid="{00000000-0005-0000-0000-000027030000}"/>
    <cellStyle name="計算 2 3 5 2" xfId="763" xr:uid="{00000000-0005-0000-0000-000028030000}"/>
    <cellStyle name="計算 2 3 6" xfId="764" xr:uid="{00000000-0005-0000-0000-000029030000}"/>
    <cellStyle name="計算 2 3 6 2" xfId="765" xr:uid="{00000000-0005-0000-0000-00002A030000}"/>
    <cellStyle name="計算 2 3 7" xfId="766" xr:uid="{00000000-0005-0000-0000-00002B030000}"/>
    <cellStyle name="計算 2 4" xfId="767" xr:uid="{00000000-0005-0000-0000-00002C030000}"/>
    <cellStyle name="計算 2 4 2" xfId="768" xr:uid="{00000000-0005-0000-0000-00002D030000}"/>
    <cellStyle name="計算 2 5" xfId="769" xr:uid="{00000000-0005-0000-0000-00002E030000}"/>
    <cellStyle name="計算 3" xfId="770" xr:uid="{00000000-0005-0000-0000-00002F030000}"/>
    <cellStyle name="計算 3 2" xfId="771" xr:uid="{00000000-0005-0000-0000-000030030000}"/>
    <cellStyle name="計算 3 2 2" xfId="772" xr:uid="{00000000-0005-0000-0000-000031030000}"/>
    <cellStyle name="計算 3 2 2 2" xfId="773" xr:uid="{00000000-0005-0000-0000-000032030000}"/>
    <cellStyle name="計算 3 2 3" xfId="774" xr:uid="{00000000-0005-0000-0000-000033030000}"/>
    <cellStyle name="計算 3 2 3 2" xfId="775" xr:uid="{00000000-0005-0000-0000-000034030000}"/>
    <cellStyle name="計算 3 2 4" xfId="776" xr:uid="{00000000-0005-0000-0000-000035030000}"/>
    <cellStyle name="計算 3 2 4 2" xfId="777" xr:uid="{00000000-0005-0000-0000-000036030000}"/>
    <cellStyle name="計算 3 2 5" xfId="778" xr:uid="{00000000-0005-0000-0000-000037030000}"/>
    <cellStyle name="計算 3 2 5 2" xfId="779" xr:uid="{00000000-0005-0000-0000-000038030000}"/>
    <cellStyle name="計算 3 2 6" xfId="780" xr:uid="{00000000-0005-0000-0000-000039030000}"/>
    <cellStyle name="計算 3 2 6 2" xfId="781" xr:uid="{00000000-0005-0000-0000-00003A030000}"/>
    <cellStyle name="計算 3 2 7" xfId="782" xr:uid="{00000000-0005-0000-0000-00003B030000}"/>
    <cellStyle name="計算 3 3" xfId="783" xr:uid="{00000000-0005-0000-0000-00003C030000}"/>
    <cellStyle name="計算 3 3 2" xfId="784" xr:uid="{00000000-0005-0000-0000-00003D030000}"/>
    <cellStyle name="計算 3 4" xfId="785" xr:uid="{00000000-0005-0000-0000-00003E030000}"/>
    <cellStyle name="計算 4" xfId="786" xr:uid="{00000000-0005-0000-0000-00003F030000}"/>
    <cellStyle name="計算 4 2" xfId="787" xr:uid="{00000000-0005-0000-0000-000040030000}"/>
    <cellStyle name="計算 4 2 2" xfId="788" xr:uid="{00000000-0005-0000-0000-000041030000}"/>
    <cellStyle name="計算 4 3" xfId="789" xr:uid="{00000000-0005-0000-0000-000042030000}"/>
    <cellStyle name="計算 4 3 2" xfId="790" xr:uid="{00000000-0005-0000-0000-000043030000}"/>
    <cellStyle name="計算 4 4" xfId="791" xr:uid="{00000000-0005-0000-0000-000044030000}"/>
    <cellStyle name="計算 4 4 2" xfId="792" xr:uid="{00000000-0005-0000-0000-000045030000}"/>
    <cellStyle name="計算 4 5" xfId="793" xr:uid="{00000000-0005-0000-0000-000046030000}"/>
    <cellStyle name="計算 4 5 2" xfId="794" xr:uid="{00000000-0005-0000-0000-000047030000}"/>
    <cellStyle name="計算 4 6" xfId="795" xr:uid="{00000000-0005-0000-0000-000048030000}"/>
    <cellStyle name="計算 4 6 2" xfId="796" xr:uid="{00000000-0005-0000-0000-000049030000}"/>
    <cellStyle name="計算 4 7" xfId="797" xr:uid="{00000000-0005-0000-0000-00004A030000}"/>
    <cellStyle name="計算 5" xfId="798" xr:uid="{00000000-0005-0000-0000-00004B030000}"/>
    <cellStyle name="計算 6" xfId="799" xr:uid="{00000000-0005-0000-0000-00004C030000}"/>
    <cellStyle name="計算 7" xfId="800" xr:uid="{00000000-0005-0000-0000-00004D030000}"/>
    <cellStyle name="計算 8" xfId="801" xr:uid="{00000000-0005-0000-0000-00004E030000}"/>
    <cellStyle name="計算 9" xfId="802" xr:uid="{00000000-0005-0000-0000-00004F030000}"/>
    <cellStyle name="警告文 2" xfId="803" xr:uid="{00000000-0005-0000-0000-000050030000}"/>
    <cellStyle name="警告文 3" xfId="804" xr:uid="{00000000-0005-0000-0000-000051030000}"/>
    <cellStyle name="警告文 4" xfId="805" xr:uid="{00000000-0005-0000-0000-000052030000}"/>
    <cellStyle name="警告文 5" xfId="806" xr:uid="{00000000-0005-0000-0000-000053030000}"/>
    <cellStyle name="警告文 6" xfId="807" xr:uid="{00000000-0005-0000-0000-000054030000}"/>
    <cellStyle name="警告文 7" xfId="808" xr:uid="{00000000-0005-0000-0000-000055030000}"/>
    <cellStyle name="警告文 8" xfId="809" xr:uid="{00000000-0005-0000-0000-000056030000}"/>
    <cellStyle name="警告文 9" xfId="810" xr:uid="{00000000-0005-0000-0000-000057030000}"/>
    <cellStyle name="桁蟻唇Ｆ [0.00]_laroux" xfId="811" xr:uid="{00000000-0005-0000-0000-000058030000}"/>
    <cellStyle name="桁蟻唇Ｆ_A°DAU±ATIsA" xfId="812" xr:uid="{00000000-0005-0000-0000-000059030000}"/>
    <cellStyle name="桁区切り 2" xfId="813" xr:uid="{00000000-0005-0000-0000-00005A030000}"/>
    <cellStyle name="桁区切り 2 2" xfId="814" xr:uid="{00000000-0005-0000-0000-00005B030000}"/>
    <cellStyle name="桁区切り 2 2 2" xfId="815" xr:uid="{00000000-0005-0000-0000-00005C030000}"/>
    <cellStyle name="桁区切り 2 3" xfId="816" xr:uid="{00000000-0005-0000-0000-00005D030000}"/>
    <cellStyle name="桁区切り 2 4" xfId="817" xr:uid="{00000000-0005-0000-0000-00005E030000}"/>
    <cellStyle name="桁区切り 2 4 2" xfId="818" xr:uid="{00000000-0005-0000-0000-00005F030000}"/>
    <cellStyle name="桁区切り 2 4 3" xfId="819" xr:uid="{00000000-0005-0000-0000-000060030000}"/>
    <cellStyle name="桁区切り 2 5" xfId="820" xr:uid="{00000000-0005-0000-0000-000061030000}"/>
    <cellStyle name="桁区切り 2 5 2" xfId="821" xr:uid="{00000000-0005-0000-0000-000062030000}"/>
    <cellStyle name="桁区切り 2 5 3" xfId="822" xr:uid="{00000000-0005-0000-0000-000063030000}"/>
    <cellStyle name="桁区切り 2 6" xfId="823" xr:uid="{00000000-0005-0000-0000-000064030000}"/>
    <cellStyle name="桁区切り 2_バックアップセンタ_切替テストスケジュール_20120406~10" xfId="824" xr:uid="{00000000-0005-0000-0000-000065030000}"/>
    <cellStyle name="桁区切り 3" xfId="825" xr:uid="{00000000-0005-0000-0000-000066030000}"/>
    <cellStyle name="桁区切り 3 2" xfId="826" xr:uid="{00000000-0005-0000-0000-000067030000}"/>
    <cellStyle name="桁区切り 3 2 2" xfId="827" xr:uid="{00000000-0005-0000-0000-000068030000}"/>
    <cellStyle name="桁区切り 3 2 3" xfId="828" xr:uid="{00000000-0005-0000-0000-000069030000}"/>
    <cellStyle name="桁区切り 3 3" xfId="829" xr:uid="{00000000-0005-0000-0000-00006A030000}"/>
    <cellStyle name="桁区切り 4" xfId="830" xr:uid="{00000000-0005-0000-0000-00006B030000}"/>
    <cellStyle name="桁区切り 4 2" xfId="831" xr:uid="{00000000-0005-0000-0000-00006C030000}"/>
    <cellStyle name="桁区切り 4 2 2" xfId="832" xr:uid="{00000000-0005-0000-0000-00006D030000}"/>
    <cellStyle name="桁区切り 4 2 3" xfId="833" xr:uid="{00000000-0005-0000-0000-00006E030000}"/>
    <cellStyle name="桁区切り 4 3" xfId="834" xr:uid="{00000000-0005-0000-0000-00006F030000}"/>
    <cellStyle name="桁区切り 4 4" xfId="835" xr:uid="{00000000-0005-0000-0000-000070030000}"/>
    <cellStyle name="桁区切り 5" xfId="836" xr:uid="{00000000-0005-0000-0000-000071030000}"/>
    <cellStyle name="桁区切り 5 2" xfId="837" xr:uid="{00000000-0005-0000-0000-000072030000}"/>
    <cellStyle name="桁区切り 5 3" xfId="838" xr:uid="{00000000-0005-0000-0000-000073030000}"/>
    <cellStyle name="桁区切り 6" xfId="839" xr:uid="{00000000-0005-0000-0000-000074030000}"/>
    <cellStyle name="見出し 1 2" xfId="840" xr:uid="{00000000-0005-0000-0000-000075030000}"/>
    <cellStyle name="見出し 1 3" xfId="841" xr:uid="{00000000-0005-0000-0000-000076030000}"/>
    <cellStyle name="見出し 1 4" xfId="842" xr:uid="{00000000-0005-0000-0000-000077030000}"/>
    <cellStyle name="見出し 1 5" xfId="843" xr:uid="{00000000-0005-0000-0000-000078030000}"/>
    <cellStyle name="見出し 1 6" xfId="844" xr:uid="{00000000-0005-0000-0000-000079030000}"/>
    <cellStyle name="見出し 1 7" xfId="845" xr:uid="{00000000-0005-0000-0000-00007A030000}"/>
    <cellStyle name="見出し 1 8" xfId="846" xr:uid="{00000000-0005-0000-0000-00007B030000}"/>
    <cellStyle name="見出し 1 9" xfId="847" xr:uid="{00000000-0005-0000-0000-00007C030000}"/>
    <cellStyle name="見出し 2 2" xfId="848" xr:uid="{00000000-0005-0000-0000-00007D030000}"/>
    <cellStyle name="見出し 2 3" xfId="849" xr:uid="{00000000-0005-0000-0000-00007E030000}"/>
    <cellStyle name="見出し 2 4" xfId="850" xr:uid="{00000000-0005-0000-0000-00007F030000}"/>
    <cellStyle name="見出し 2 5" xfId="851" xr:uid="{00000000-0005-0000-0000-000080030000}"/>
    <cellStyle name="見出し 2 6" xfId="852" xr:uid="{00000000-0005-0000-0000-000081030000}"/>
    <cellStyle name="見出し 2 7" xfId="853" xr:uid="{00000000-0005-0000-0000-000082030000}"/>
    <cellStyle name="見出し 2 8" xfId="854" xr:uid="{00000000-0005-0000-0000-000083030000}"/>
    <cellStyle name="見出し 2 9" xfId="855" xr:uid="{00000000-0005-0000-0000-000084030000}"/>
    <cellStyle name="見出し 3 2" xfId="856" xr:uid="{00000000-0005-0000-0000-000085030000}"/>
    <cellStyle name="見出し 3 3" xfId="857" xr:uid="{00000000-0005-0000-0000-000086030000}"/>
    <cellStyle name="見出し 3 4" xfId="858" xr:uid="{00000000-0005-0000-0000-000087030000}"/>
    <cellStyle name="見出し 3 5" xfId="859" xr:uid="{00000000-0005-0000-0000-000088030000}"/>
    <cellStyle name="見出し 3 6" xfId="860" xr:uid="{00000000-0005-0000-0000-000089030000}"/>
    <cellStyle name="見出し 3 7" xfId="861" xr:uid="{00000000-0005-0000-0000-00008A030000}"/>
    <cellStyle name="見出し 3 8" xfId="862" xr:uid="{00000000-0005-0000-0000-00008B030000}"/>
    <cellStyle name="見出し 3 9" xfId="863" xr:uid="{00000000-0005-0000-0000-00008C030000}"/>
    <cellStyle name="見出し 4 2" xfId="864" xr:uid="{00000000-0005-0000-0000-00008D030000}"/>
    <cellStyle name="見出し 4 3" xfId="865" xr:uid="{00000000-0005-0000-0000-00008E030000}"/>
    <cellStyle name="見出し 4 4" xfId="866" xr:uid="{00000000-0005-0000-0000-00008F030000}"/>
    <cellStyle name="見出し 4 5" xfId="867" xr:uid="{00000000-0005-0000-0000-000090030000}"/>
    <cellStyle name="見出し 4 6" xfId="868" xr:uid="{00000000-0005-0000-0000-000091030000}"/>
    <cellStyle name="見出し 4 7" xfId="869" xr:uid="{00000000-0005-0000-0000-000092030000}"/>
    <cellStyle name="見出し 4 8" xfId="870" xr:uid="{00000000-0005-0000-0000-000093030000}"/>
    <cellStyle name="見出し 4 9" xfId="871" xr:uid="{00000000-0005-0000-0000-000094030000}"/>
    <cellStyle name="構成図作成用" xfId="872" xr:uid="{00000000-0005-0000-0000-000095030000}"/>
    <cellStyle name="取り消し" xfId="873" xr:uid="{00000000-0005-0000-0000-000096030000}"/>
    <cellStyle name="集計 2" xfId="874" xr:uid="{00000000-0005-0000-0000-000097030000}"/>
    <cellStyle name="集計 2 2" xfId="875" xr:uid="{00000000-0005-0000-0000-000098030000}"/>
    <cellStyle name="集計 2 2 2" xfId="876" xr:uid="{00000000-0005-0000-0000-000099030000}"/>
    <cellStyle name="集計 2 2 2 2" xfId="877" xr:uid="{00000000-0005-0000-0000-00009A030000}"/>
    <cellStyle name="集計 2 2 2 2 2" xfId="878" xr:uid="{00000000-0005-0000-0000-00009B030000}"/>
    <cellStyle name="集計 2 2 2 3" xfId="879" xr:uid="{00000000-0005-0000-0000-00009C030000}"/>
    <cellStyle name="集計 2 2 2 3 2" xfId="880" xr:uid="{00000000-0005-0000-0000-00009D030000}"/>
    <cellStyle name="集計 2 2 2 4" xfId="881" xr:uid="{00000000-0005-0000-0000-00009E030000}"/>
    <cellStyle name="集計 2 2 2 4 2" xfId="882" xr:uid="{00000000-0005-0000-0000-00009F030000}"/>
    <cellStyle name="集計 2 2 2 5" xfId="883" xr:uid="{00000000-0005-0000-0000-0000A0030000}"/>
    <cellStyle name="集計 2 2 2 5 2" xfId="884" xr:uid="{00000000-0005-0000-0000-0000A1030000}"/>
    <cellStyle name="集計 2 2 2 6" xfId="885" xr:uid="{00000000-0005-0000-0000-0000A2030000}"/>
    <cellStyle name="集計 2 2 2 6 2" xfId="886" xr:uid="{00000000-0005-0000-0000-0000A3030000}"/>
    <cellStyle name="集計 2 2 2 7" xfId="887" xr:uid="{00000000-0005-0000-0000-0000A4030000}"/>
    <cellStyle name="集計 2 2 3" xfId="888" xr:uid="{00000000-0005-0000-0000-0000A5030000}"/>
    <cellStyle name="集計 2 2 3 2" xfId="889" xr:uid="{00000000-0005-0000-0000-0000A6030000}"/>
    <cellStyle name="集計 2 3" xfId="890" xr:uid="{00000000-0005-0000-0000-0000A7030000}"/>
    <cellStyle name="集計 2 3 2" xfId="891" xr:uid="{00000000-0005-0000-0000-0000A8030000}"/>
    <cellStyle name="集計 2 3 2 2" xfId="892" xr:uid="{00000000-0005-0000-0000-0000A9030000}"/>
    <cellStyle name="集計 2 3 3" xfId="893" xr:uid="{00000000-0005-0000-0000-0000AA030000}"/>
    <cellStyle name="集計 2 3 3 2" xfId="894" xr:uid="{00000000-0005-0000-0000-0000AB030000}"/>
    <cellStyle name="集計 2 3 4" xfId="895" xr:uid="{00000000-0005-0000-0000-0000AC030000}"/>
    <cellStyle name="集計 2 3 4 2" xfId="896" xr:uid="{00000000-0005-0000-0000-0000AD030000}"/>
    <cellStyle name="集計 2 3 5" xfId="897" xr:uid="{00000000-0005-0000-0000-0000AE030000}"/>
    <cellStyle name="集計 2 3 5 2" xfId="898" xr:uid="{00000000-0005-0000-0000-0000AF030000}"/>
    <cellStyle name="集計 2 3 6" xfId="899" xr:uid="{00000000-0005-0000-0000-0000B0030000}"/>
    <cellStyle name="集計 2 3 6 2" xfId="900" xr:uid="{00000000-0005-0000-0000-0000B1030000}"/>
    <cellStyle name="集計 2 3 7" xfId="901" xr:uid="{00000000-0005-0000-0000-0000B2030000}"/>
    <cellStyle name="集計 2 4" xfId="902" xr:uid="{00000000-0005-0000-0000-0000B3030000}"/>
    <cellStyle name="集計 2 4 2" xfId="903" xr:uid="{00000000-0005-0000-0000-0000B4030000}"/>
    <cellStyle name="集計 3" xfId="904" xr:uid="{00000000-0005-0000-0000-0000B5030000}"/>
    <cellStyle name="集計 3 2" xfId="905" xr:uid="{00000000-0005-0000-0000-0000B6030000}"/>
    <cellStyle name="集計 3 2 2" xfId="906" xr:uid="{00000000-0005-0000-0000-0000B7030000}"/>
    <cellStyle name="集計 3 2 2 2" xfId="907" xr:uid="{00000000-0005-0000-0000-0000B8030000}"/>
    <cellStyle name="集計 3 2 3" xfId="908" xr:uid="{00000000-0005-0000-0000-0000B9030000}"/>
    <cellStyle name="集計 3 2 3 2" xfId="909" xr:uid="{00000000-0005-0000-0000-0000BA030000}"/>
    <cellStyle name="集計 3 2 4" xfId="910" xr:uid="{00000000-0005-0000-0000-0000BB030000}"/>
    <cellStyle name="集計 3 2 4 2" xfId="911" xr:uid="{00000000-0005-0000-0000-0000BC030000}"/>
    <cellStyle name="集計 3 2 5" xfId="912" xr:uid="{00000000-0005-0000-0000-0000BD030000}"/>
    <cellStyle name="集計 3 2 5 2" xfId="913" xr:uid="{00000000-0005-0000-0000-0000BE030000}"/>
    <cellStyle name="集計 3 2 6" xfId="914" xr:uid="{00000000-0005-0000-0000-0000BF030000}"/>
    <cellStyle name="集計 3 2 6 2" xfId="915" xr:uid="{00000000-0005-0000-0000-0000C0030000}"/>
    <cellStyle name="集計 3 2 7" xfId="916" xr:uid="{00000000-0005-0000-0000-0000C1030000}"/>
    <cellStyle name="集計 3 3" xfId="917" xr:uid="{00000000-0005-0000-0000-0000C2030000}"/>
    <cellStyle name="集計 3 3 2" xfId="918" xr:uid="{00000000-0005-0000-0000-0000C3030000}"/>
    <cellStyle name="集計 3 4" xfId="919" xr:uid="{00000000-0005-0000-0000-0000C4030000}"/>
    <cellStyle name="集計 4" xfId="920" xr:uid="{00000000-0005-0000-0000-0000C5030000}"/>
    <cellStyle name="集計 4 2" xfId="921" xr:uid="{00000000-0005-0000-0000-0000C6030000}"/>
    <cellStyle name="集計 4 2 2" xfId="922" xr:uid="{00000000-0005-0000-0000-0000C7030000}"/>
    <cellStyle name="集計 4 3" xfId="923" xr:uid="{00000000-0005-0000-0000-0000C8030000}"/>
    <cellStyle name="集計 4 3 2" xfId="924" xr:uid="{00000000-0005-0000-0000-0000C9030000}"/>
    <cellStyle name="集計 4 4" xfId="925" xr:uid="{00000000-0005-0000-0000-0000CA030000}"/>
    <cellStyle name="集計 4 4 2" xfId="926" xr:uid="{00000000-0005-0000-0000-0000CB030000}"/>
    <cellStyle name="集計 4 5" xfId="927" xr:uid="{00000000-0005-0000-0000-0000CC030000}"/>
    <cellStyle name="集計 4 5 2" xfId="928" xr:uid="{00000000-0005-0000-0000-0000CD030000}"/>
    <cellStyle name="集計 4 6" xfId="929" xr:uid="{00000000-0005-0000-0000-0000CE030000}"/>
    <cellStyle name="集計 4 6 2" xfId="930" xr:uid="{00000000-0005-0000-0000-0000CF030000}"/>
    <cellStyle name="集計 4 7" xfId="931" xr:uid="{00000000-0005-0000-0000-0000D0030000}"/>
    <cellStyle name="集計 5" xfId="932" xr:uid="{00000000-0005-0000-0000-0000D1030000}"/>
    <cellStyle name="集計 6" xfId="933" xr:uid="{00000000-0005-0000-0000-0000D2030000}"/>
    <cellStyle name="集計 7" xfId="934" xr:uid="{00000000-0005-0000-0000-0000D3030000}"/>
    <cellStyle name="集計 8" xfId="935" xr:uid="{00000000-0005-0000-0000-0000D4030000}"/>
    <cellStyle name="集計 9" xfId="936" xr:uid="{00000000-0005-0000-0000-0000D5030000}"/>
    <cellStyle name="出力 2" xfId="937" xr:uid="{00000000-0005-0000-0000-0000D6030000}"/>
    <cellStyle name="出力 2 2" xfId="938" xr:uid="{00000000-0005-0000-0000-0000D7030000}"/>
    <cellStyle name="出力 2 2 2" xfId="939" xr:uid="{00000000-0005-0000-0000-0000D8030000}"/>
    <cellStyle name="出力 2 2 2 2" xfId="940" xr:uid="{00000000-0005-0000-0000-0000D9030000}"/>
    <cellStyle name="出力 2 2 2 2 2" xfId="941" xr:uid="{00000000-0005-0000-0000-0000DA030000}"/>
    <cellStyle name="出力 2 2 2 3" xfId="942" xr:uid="{00000000-0005-0000-0000-0000DB030000}"/>
    <cellStyle name="出力 2 2 2 3 2" xfId="943" xr:uid="{00000000-0005-0000-0000-0000DC030000}"/>
    <cellStyle name="出力 2 2 2 4" xfId="944" xr:uid="{00000000-0005-0000-0000-0000DD030000}"/>
    <cellStyle name="出力 2 2 2 4 2" xfId="945" xr:uid="{00000000-0005-0000-0000-0000DE030000}"/>
    <cellStyle name="出力 2 2 2 5" xfId="946" xr:uid="{00000000-0005-0000-0000-0000DF030000}"/>
    <cellStyle name="出力 2 2 2 5 2" xfId="947" xr:uid="{00000000-0005-0000-0000-0000E0030000}"/>
    <cellStyle name="出力 2 2 2 6" xfId="948" xr:uid="{00000000-0005-0000-0000-0000E1030000}"/>
    <cellStyle name="出力 2 2 2 6 2" xfId="949" xr:uid="{00000000-0005-0000-0000-0000E2030000}"/>
    <cellStyle name="出力 2 2 2 7" xfId="950" xr:uid="{00000000-0005-0000-0000-0000E3030000}"/>
    <cellStyle name="出力 2 2 3" xfId="951" xr:uid="{00000000-0005-0000-0000-0000E4030000}"/>
    <cellStyle name="出力 2 2 3 2" xfId="952" xr:uid="{00000000-0005-0000-0000-0000E5030000}"/>
    <cellStyle name="出力 2 3" xfId="953" xr:uid="{00000000-0005-0000-0000-0000E6030000}"/>
    <cellStyle name="出力 2 3 2" xfId="954" xr:uid="{00000000-0005-0000-0000-0000E7030000}"/>
    <cellStyle name="出力 2 3 2 2" xfId="955" xr:uid="{00000000-0005-0000-0000-0000E8030000}"/>
    <cellStyle name="出力 2 3 3" xfId="956" xr:uid="{00000000-0005-0000-0000-0000E9030000}"/>
    <cellStyle name="出力 2 3 3 2" xfId="957" xr:uid="{00000000-0005-0000-0000-0000EA030000}"/>
    <cellStyle name="出力 2 3 4" xfId="958" xr:uid="{00000000-0005-0000-0000-0000EB030000}"/>
    <cellStyle name="出力 2 3 4 2" xfId="959" xr:uid="{00000000-0005-0000-0000-0000EC030000}"/>
    <cellStyle name="出力 2 3 5" xfId="960" xr:uid="{00000000-0005-0000-0000-0000ED030000}"/>
    <cellStyle name="出力 2 3 5 2" xfId="961" xr:uid="{00000000-0005-0000-0000-0000EE030000}"/>
    <cellStyle name="出力 2 3 6" xfId="962" xr:uid="{00000000-0005-0000-0000-0000EF030000}"/>
    <cellStyle name="出力 2 3 6 2" xfId="963" xr:uid="{00000000-0005-0000-0000-0000F0030000}"/>
    <cellStyle name="出力 2 3 7" xfId="964" xr:uid="{00000000-0005-0000-0000-0000F1030000}"/>
    <cellStyle name="出力 2 4" xfId="965" xr:uid="{00000000-0005-0000-0000-0000F2030000}"/>
    <cellStyle name="出力 2 4 2" xfId="966" xr:uid="{00000000-0005-0000-0000-0000F3030000}"/>
    <cellStyle name="出力 3" xfId="967" xr:uid="{00000000-0005-0000-0000-0000F4030000}"/>
    <cellStyle name="出力 3 2" xfId="968" xr:uid="{00000000-0005-0000-0000-0000F5030000}"/>
    <cellStyle name="出力 3 2 2" xfId="969" xr:uid="{00000000-0005-0000-0000-0000F6030000}"/>
    <cellStyle name="出力 3 2 2 2" xfId="970" xr:uid="{00000000-0005-0000-0000-0000F7030000}"/>
    <cellStyle name="出力 3 2 3" xfId="971" xr:uid="{00000000-0005-0000-0000-0000F8030000}"/>
    <cellStyle name="出力 3 2 3 2" xfId="972" xr:uid="{00000000-0005-0000-0000-0000F9030000}"/>
    <cellStyle name="出力 3 2 4" xfId="973" xr:uid="{00000000-0005-0000-0000-0000FA030000}"/>
    <cellStyle name="出力 3 2 4 2" xfId="974" xr:uid="{00000000-0005-0000-0000-0000FB030000}"/>
    <cellStyle name="出力 3 2 5" xfId="975" xr:uid="{00000000-0005-0000-0000-0000FC030000}"/>
    <cellStyle name="出力 3 2 5 2" xfId="976" xr:uid="{00000000-0005-0000-0000-0000FD030000}"/>
    <cellStyle name="出力 3 2 6" xfId="977" xr:uid="{00000000-0005-0000-0000-0000FE030000}"/>
    <cellStyle name="出力 3 2 6 2" xfId="978" xr:uid="{00000000-0005-0000-0000-0000FF030000}"/>
    <cellStyle name="出力 3 2 7" xfId="979" xr:uid="{00000000-0005-0000-0000-000000040000}"/>
    <cellStyle name="出力 3 3" xfId="980" xr:uid="{00000000-0005-0000-0000-000001040000}"/>
    <cellStyle name="出力 3 3 2" xfId="981" xr:uid="{00000000-0005-0000-0000-000002040000}"/>
    <cellStyle name="出力 3 4" xfId="982" xr:uid="{00000000-0005-0000-0000-000003040000}"/>
    <cellStyle name="出力 4" xfId="983" xr:uid="{00000000-0005-0000-0000-000004040000}"/>
    <cellStyle name="出力 4 2" xfId="984" xr:uid="{00000000-0005-0000-0000-000005040000}"/>
    <cellStyle name="出力 4 2 2" xfId="985" xr:uid="{00000000-0005-0000-0000-000006040000}"/>
    <cellStyle name="出力 4 3" xfId="986" xr:uid="{00000000-0005-0000-0000-000007040000}"/>
    <cellStyle name="出力 4 3 2" xfId="987" xr:uid="{00000000-0005-0000-0000-000008040000}"/>
    <cellStyle name="出力 4 4" xfId="988" xr:uid="{00000000-0005-0000-0000-000009040000}"/>
    <cellStyle name="出力 4 4 2" xfId="989" xr:uid="{00000000-0005-0000-0000-00000A040000}"/>
    <cellStyle name="出力 4 5" xfId="990" xr:uid="{00000000-0005-0000-0000-00000B040000}"/>
    <cellStyle name="出力 4 5 2" xfId="991" xr:uid="{00000000-0005-0000-0000-00000C040000}"/>
    <cellStyle name="出力 4 6" xfId="992" xr:uid="{00000000-0005-0000-0000-00000D040000}"/>
    <cellStyle name="出力 4 6 2" xfId="993" xr:uid="{00000000-0005-0000-0000-00000E040000}"/>
    <cellStyle name="出力 4 7" xfId="994" xr:uid="{00000000-0005-0000-0000-00000F040000}"/>
    <cellStyle name="出力 5" xfId="995" xr:uid="{00000000-0005-0000-0000-000010040000}"/>
    <cellStyle name="出力 6" xfId="996" xr:uid="{00000000-0005-0000-0000-000011040000}"/>
    <cellStyle name="出力 7" xfId="997" xr:uid="{00000000-0005-0000-0000-000012040000}"/>
    <cellStyle name="出力 8" xfId="998" xr:uid="{00000000-0005-0000-0000-000013040000}"/>
    <cellStyle name="出力 9" xfId="999" xr:uid="{00000000-0005-0000-0000-000014040000}"/>
    <cellStyle name="人月" xfId="1000" xr:uid="{00000000-0005-0000-0000-000015040000}"/>
    <cellStyle name="説明文 2" xfId="1001" xr:uid="{00000000-0005-0000-0000-000016040000}"/>
    <cellStyle name="説明文 3" xfId="1002" xr:uid="{00000000-0005-0000-0000-000017040000}"/>
    <cellStyle name="説明文 4" xfId="1003" xr:uid="{00000000-0005-0000-0000-000018040000}"/>
    <cellStyle name="説明文 5" xfId="1004" xr:uid="{00000000-0005-0000-0000-000019040000}"/>
    <cellStyle name="説明文 6" xfId="1005" xr:uid="{00000000-0005-0000-0000-00001A040000}"/>
    <cellStyle name="説明文 7" xfId="1006" xr:uid="{00000000-0005-0000-0000-00001B040000}"/>
    <cellStyle name="説明文 8" xfId="1007" xr:uid="{00000000-0005-0000-0000-00001C040000}"/>
    <cellStyle name="説明文 9" xfId="1008" xr:uid="{00000000-0005-0000-0000-00001D040000}"/>
    <cellStyle name="脱浦 [0.00]_laroux" xfId="1009" xr:uid="{00000000-0005-0000-0000-00001E040000}"/>
    <cellStyle name="脱浦_laroux" xfId="1010" xr:uid="{00000000-0005-0000-0000-00001F040000}"/>
    <cellStyle name="通貨 [0.00" xfId="1011" xr:uid="{00000000-0005-0000-0000-000020040000}"/>
    <cellStyle name="通貨 [0.00 2" xfId="1012" xr:uid="{00000000-0005-0000-0000-000021040000}"/>
    <cellStyle name="通貨 [0.00 3" xfId="1013" xr:uid="{00000000-0005-0000-0000-000022040000}"/>
    <cellStyle name="通貨 [0.00 4" xfId="1014" xr:uid="{00000000-0005-0000-0000-000023040000}"/>
    <cellStyle name="通貨 [0.00 5" xfId="1015" xr:uid="{00000000-0005-0000-0000-000024040000}"/>
    <cellStyle name="通貨 [0.00 6" xfId="1016" xr:uid="{00000000-0005-0000-0000-000025040000}"/>
    <cellStyle name="通貨 2" xfId="1017" xr:uid="{00000000-0005-0000-0000-000026040000}"/>
    <cellStyle name="通貨 2 2" xfId="1018" xr:uid="{00000000-0005-0000-0000-000027040000}"/>
    <cellStyle name="通貨 2 2 2" xfId="1019" xr:uid="{00000000-0005-0000-0000-000028040000}"/>
    <cellStyle name="通貨 2 2 3" xfId="1020" xr:uid="{00000000-0005-0000-0000-000029040000}"/>
    <cellStyle name="通貨 2 3" xfId="1021" xr:uid="{00000000-0005-0000-0000-00002A040000}"/>
    <cellStyle name="通貨 2 4" xfId="1022" xr:uid="{00000000-0005-0000-0000-00002B040000}"/>
    <cellStyle name="通貨 2 5" xfId="1023" xr:uid="{00000000-0005-0000-0000-00002C040000}"/>
    <cellStyle name="通貨 3" xfId="1024" xr:uid="{00000000-0005-0000-0000-00002D040000}"/>
    <cellStyle name="入力 2" xfId="1025" xr:uid="{00000000-0005-0000-0000-00002E040000}"/>
    <cellStyle name="入力 2 2" xfId="1026" xr:uid="{00000000-0005-0000-0000-00002F040000}"/>
    <cellStyle name="入力 2 2 2" xfId="1027" xr:uid="{00000000-0005-0000-0000-000030040000}"/>
    <cellStyle name="入力 2 2 2 2" xfId="1028" xr:uid="{00000000-0005-0000-0000-000031040000}"/>
    <cellStyle name="入力 2 2 2 2 2" xfId="1029" xr:uid="{00000000-0005-0000-0000-000032040000}"/>
    <cellStyle name="入力 2 2 2 3" xfId="1030" xr:uid="{00000000-0005-0000-0000-000033040000}"/>
    <cellStyle name="入力 2 2 2 3 2" xfId="1031" xr:uid="{00000000-0005-0000-0000-000034040000}"/>
    <cellStyle name="入力 2 2 2 4" xfId="1032" xr:uid="{00000000-0005-0000-0000-000035040000}"/>
    <cellStyle name="入力 2 2 2 4 2" xfId="1033" xr:uid="{00000000-0005-0000-0000-000036040000}"/>
    <cellStyle name="入力 2 2 2 5" xfId="1034" xr:uid="{00000000-0005-0000-0000-000037040000}"/>
    <cellStyle name="入力 2 2 2 5 2" xfId="1035" xr:uid="{00000000-0005-0000-0000-000038040000}"/>
    <cellStyle name="入力 2 2 2 6" xfId="1036" xr:uid="{00000000-0005-0000-0000-000039040000}"/>
    <cellStyle name="入力 2 2 2 6 2" xfId="1037" xr:uid="{00000000-0005-0000-0000-00003A040000}"/>
    <cellStyle name="入力 2 2 2 7" xfId="1038" xr:uid="{00000000-0005-0000-0000-00003B040000}"/>
    <cellStyle name="入力 2 2 3" xfId="1039" xr:uid="{00000000-0005-0000-0000-00003C040000}"/>
    <cellStyle name="入力 2 2 3 2" xfId="1040" xr:uid="{00000000-0005-0000-0000-00003D040000}"/>
    <cellStyle name="入力 2 2 4" xfId="1041" xr:uid="{00000000-0005-0000-0000-00003E040000}"/>
    <cellStyle name="入力 2 3" xfId="1042" xr:uid="{00000000-0005-0000-0000-00003F040000}"/>
    <cellStyle name="入力 2 3 2" xfId="1043" xr:uid="{00000000-0005-0000-0000-000040040000}"/>
    <cellStyle name="入力 2 3 2 2" xfId="1044" xr:uid="{00000000-0005-0000-0000-000041040000}"/>
    <cellStyle name="入力 2 3 3" xfId="1045" xr:uid="{00000000-0005-0000-0000-000042040000}"/>
    <cellStyle name="入力 2 3 3 2" xfId="1046" xr:uid="{00000000-0005-0000-0000-000043040000}"/>
    <cellStyle name="入力 2 3 4" xfId="1047" xr:uid="{00000000-0005-0000-0000-000044040000}"/>
    <cellStyle name="入力 2 3 4 2" xfId="1048" xr:uid="{00000000-0005-0000-0000-000045040000}"/>
    <cellStyle name="入力 2 3 5" xfId="1049" xr:uid="{00000000-0005-0000-0000-000046040000}"/>
    <cellStyle name="入力 2 3 5 2" xfId="1050" xr:uid="{00000000-0005-0000-0000-000047040000}"/>
    <cellStyle name="入力 2 3 6" xfId="1051" xr:uid="{00000000-0005-0000-0000-000048040000}"/>
    <cellStyle name="入力 2 3 6 2" xfId="1052" xr:uid="{00000000-0005-0000-0000-000049040000}"/>
    <cellStyle name="入力 2 3 7" xfId="1053" xr:uid="{00000000-0005-0000-0000-00004A040000}"/>
    <cellStyle name="入力 2 4" xfId="1054" xr:uid="{00000000-0005-0000-0000-00004B040000}"/>
    <cellStyle name="入力 2 4 2" xfId="1055" xr:uid="{00000000-0005-0000-0000-00004C040000}"/>
    <cellStyle name="入力 2 5" xfId="1056" xr:uid="{00000000-0005-0000-0000-00004D040000}"/>
    <cellStyle name="入力 3" xfId="1057" xr:uid="{00000000-0005-0000-0000-00004E040000}"/>
    <cellStyle name="入力 3 2" xfId="1058" xr:uid="{00000000-0005-0000-0000-00004F040000}"/>
    <cellStyle name="入力 3 2 2" xfId="1059" xr:uid="{00000000-0005-0000-0000-000050040000}"/>
    <cellStyle name="入力 3 2 2 2" xfId="1060" xr:uid="{00000000-0005-0000-0000-000051040000}"/>
    <cellStyle name="入力 3 2 3" xfId="1061" xr:uid="{00000000-0005-0000-0000-000052040000}"/>
    <cellStyle name="入力 3 2 3 2" xfId="1062" xr:uid="{00000000-0005-0000-0000-000053040000}"/>
    <cellStyle name="入力 3 2 4" xfId="1063" xr:uid="{00000000-0005-0000-0000-000054040000}"/>
    <cellStyle name="入力 3 2 4 2" xfId="1064" xr:uid="{00000000-0005-0000-0000-000055040000}"/>
    <cellStyle name="入力 3 2 5" xfId="1065" xr:uid="{00000000-0005-0000-0000-000056040000}"/>
    <cellStyle name="入力 3 2 5 2" xfId="1066" xr:uid="{00000000-0005-0000-0000-000057040000}"/>
    <cellStyle name="入力 3 2 6" xfId="1067" xr:uid="{00000000-0005-0000-0000-000058040000}"/>
    <cellStyle name="入力 3 2 6 2" xfId="1068" xr:uid="{00000000-0005-0000-0000-000059040000}"/>
    <cellStyle name="入力 3 2 7" xfId="1069" xr:uid="{00000000-0005-0000-0000-00005A040000}"/>
    <cellStyle name="入力 3 3" xfId="1070" xr:uid="{00000000-0005-0000-0000-00005B040000}"/>
    <cellStyle name="入力 3 3 2" xfId="1071" xr:uid="{00000000-0005-0000-0000-00005C040000}"/>
    <cellStyle name="入力 3 4" xfId="1072" xr:uid="{00000000-0005-0000-0000-00005D040000}"/>
    <cellStyle name="入力 4" xfId="1073" xr:uid="{00000000-0005-0000-0000-00005E040000}"/>
    <cellStyle name="入力 4 2" xfId="1074" xr:uid="{00000000-0005-0000-0000-00005F040000}"/>
    <cellStyle name="入力 4 2 2" xfId="1075" xr:uid="{00000000-0005-0000-0000-000060040000}"/>
    <cellStyle name="入力 4 3" xfId="1076" xr:uid="{00000000-0005-0000-0000-000061040000}"/>
    <cellStyle name="入力 4 3 2" xfId="1077" xr:uid="{00000000-0005-0000-0000-000062040000}"/>
    <cellStyle name="入力 4 4" xfId="1078" xr:uid="{00000000-0005-0000-0000-000063040000}"/>
    <cellStyle name="入力 4 4 2" xfId="1079" xr:uid="{00000000-0005-0000-0000-000064040000}"/>
    <cellStyle name="入力 4 5" xfId="1080" xr:uid="{00000000-0005-0000-0000-000065040000}"/>
    <cellStyle name="入力 4 5 2" xfId="1081" xr:uid="{00000000-0005-0000-0000-000066040000}"/>
    <cellStyle name="入力 4 6" xfId="1082" xr:uid="{00000000-0005-0000-0000-000067040000}"/>
    <cellStyle name="入力 4 6 2" xfId="1083" xr:uid="{00000000-0005-0000-0000-000068040000}"/>
    <cellStyle name="入力 4 7" xfId="1084" xr:uid="{00000000-0005-0000-0000-000069040000}"/>
    <cellStyle name="入力 5" xfId="1085" xr:uid="{00000000-0005-0000-0000-00006A040000}"/>
    <cellStyle name="入力 6" xfId="1086" xr:uid="{00000000-0005-0000-0000-00006B040000}"/>
    <cellStyle name="入力 7" xfId="1087" xr:uid="{00000000-0005-0000-0000-00006C040000}"/>
    <cellStyle name="入力 8" xfId="1088" xr:uid="{00000000-0005-0000-0000-00006D040000}"/>
    <cellStyle name="入力 9" xfId="1089" xr:uid="{00000000-0005-0000-0000-00006E040000}"/>
    <cellStyle name="標準" xfId="0" builtinId="0"/>
    <cellStyle name="標準 10" xfId="1090" xr:uid="{00000000-0005-0000-0000-000070040000}"/>
    <cellStyle name="標準 10 2" xfId="1091" xr:uid="{00000000-0005-0000-0000-000071040000}"/>
    <cellStyle name="標準 10 3" xfId="2" xr:uid="{00000000-0005-0000-0000-000072040000}"/>
    <cellStyle name="標準 10 4" xfId="1092" xr:uid="{00000000-0005-0000-0000-000073040000}"/>
    <cellStyle name="標準 10 5" xfId="1093" xr:uid="{00000000-0005-0000-0000-000074040000}"/>
    <cellStyle name="標準 100" xfId="1094" xr:uid="{00000000-0005-0000-0000-000075040000}"/>
    <cellStyle name="標準 100 2" xfId="1095" xr:uid="{00000000-0005-0000-0000-000076040000}"/>
    <cellStyle name="標準 100 2 2" xfId="1096" xr:uid="{00000000-0005-0000-0000-000077040000}"/>
    <cellStyle name="標準 100 2 2 2" xfId="1097" xr:uid="{00000000-0005-0000-0000-000078040000}"/>
    <cellStyle name="標準 100 2 2 3" xfId="1098" xr:uid="{00000000-0005-0000-0000-000079040000}"/>
    <cellStyle name="標準 100 2 2 4" xfId="1099" xr:uid="{00000000-0005-0000-0000-00007A040000}"/>
    <cellStyle name="標準 100 2 3" xfId="1100" xr:uid="{00000000-0005-0000-0000-00007B040000}"/>
    <cellStyle name="標準 100 2 4" xfId="1101" xr:uid="{00000000-0005-0000-0000-00007C040000}"/>
    <cellStyle name="標準 100 2 5" xfId="1102" xr:uid="{00000000-0005-0000-0000-00007D040000}"/>
    <cellStyle name="標準 100 3" xfId="1103" xr:uid="{00000000-0005-0000-0000-00007E040000}"/>
    <cellStyle name="標準 100 3 2" xfId="1104" xr:uid="{00000000-0005-0000-0000-00007F040000}"/>
    <cellStyle name="標準 100 3 3" xfId="1105" xr:uid="{00000000-0005-0000-0000-000080040000}"/>
    <cellStyle name="標準 100 3 4" xfId="1106" xr:uid="{00000000-0005-0000-0000-000081040000}"/>
    <cellStyle name="標準 100 4" xfId="1107" xr:uid="{00000000-0005-0000-0000-000082040000}"/>
    <cellStyle name="標準 100 5" xfId="1108" xr:uid="{00000000-0005-0000-0000-000083040000}"/>
    <cellStyle name="標準 100 6" xfId="1109" xr:uid="{00000000-0005-0000-0000-000084040000}"/>
    <cellStyle name="標準 101" xfId="1110" xr:uid="{00000000-0005-0000-0000-000085040000}"/>
    <cellStyle name="標準 102" xfId="1111" xr:uid="{00000000-0005-0000-0000-000086040000}"/>
    <cellStyle name="標準 102 2" xfId="1112" xr:uid="{00000000-0005-0000-0000-000087040000}"/>
    <cellStyle name="標準 102 2 2" xfId="1113" xr:uid="{00000000-0005-0000-0000-000088040000}"/>
    <cellStyle name="標準 102 2 3" xfId="1114" xr:uid="{00000000-0005-0000-0000-000089040000}"/>
    <cellStyle name="標準 102 2 4" xfId="1115" xr:uid="{00000000-0005-0000-0000-00008A040000}"/>
    <cellStyle name="標準 102 3" xfId="1116" xr:uid="{00000000-0005-0000-0000-00008B040000}"/>
    <cellStyle name="標準 102 4" xfId="1117" xr:uid="{00000000-0005-0000-0000-00008C040000}"/>
    <cellStyle name="標準 102 5" xfId="1118" xr:uid="{00000000-0005-0000-0000-00008D040000}"/>
    <cellStyle name="標準 103" xfId="1119" xr:uid="{00000000-0005-0000-0000-00008E040000}"/>
    <cellStyle name="標準 104" xfId="1120" xr:uid="{00000000-0005-0000-0000-00008F040000}"/>
    <cellStyle name="標準 104 2" xfId="1121" xr:uid="{00000000-0005-0000-0000-000090040000}"/>
    <cellStyle name="標準 104 3" xfId="1122" xr:uid="{00000000-0005-0000-0000-000091040000}"/>
    <cellStyle name="標準 104 4" xfId="1123" xr:uid="{00000000-0005-0000-0000-000092040000}"/>
    <cellStyle name="標準 105" xfId="1124" xr:uid="{00000000-0005-0000-0000-000093040000}"/>
    <cellStyle name="標準 106" xfId="1125" xr:uid="{00000000-0005-0000-0000-000094040000}"/>
    <cellStyle name="標準 107" xfId="1126" xr:uid="{00000000-0005-0000-0000-000095040000}"/>
    <cellStyle name="標準 108" xfId="1127" xr:uid="{00000000-0005-0000-0000-000096040000}"/>
    <cellStyle name="標準 109" xfId="1128" xr:uid="{00000000-0005-0000-0000-000097040000}"/>
    <cellStyle name="標準 11" xfId="1129" xr:uid="{00000000-0005-0000-0000-000098040000}"/>
    <cellStyle name="標準 11 2" xfId="1130" xr:uid="{00000000-0005-0000-0000-000099040000}"/>
    <cellStyle name="標準 11 3" xfId="1131" xr:uid="{00000000-0005-0000-0000-00009A040000}"/>
    <cellStyle name="標準 110" xfId="1132" xr:uid="{00000000-0005-0000-0000-00009B040000}"/>
    <cellStyle name="標準 111" xfId="1133" xr:uid="{00000000-0005-0000-0000-00009C040000}"/>
    <cellStyle name="標準 112" xfId="1134" xr:uid="{00000000-0005-0000-0000-00009D040000}"/>
    <cellStyle name="標準 113" xfId="1135" xr:uid="{00000000-0005-0000-0000-00009E040000}"/>
    <cellStyle name="標準 114" xfId="1136" xr:uid="{00000000-0005-0000-0000-00009F040000}"/>
    <cellStyle name="標準 115" xfId="1137" xr:uid="{00000000-0005-0000-0000-0000A0040000}"/>
    <cellStyle name="標準 116" xfId="1138" xr:uid="{00000000-0005-0000-0000-0000A1040000}"/>
    <cellStyle name="標準 117" xfId="1139" xr:uid="{00000000-0005-0000-0000-0000A2040000}"/>
    <cellStyle name="標準 118" xfId="1140" xr:uid="{00000000-0005-0000-0000-0000A3040000}"/>
    <cellStyle name="標準 119" xfId="1141" xr:uid="{00000000-0005-0000-0000-0000A4040000}"/>
    <cellStyle name="標準 12" xfId="1142" xr:uid="{00000000-0005-0000-0000-0000A5040000}"/>
    <cellStyle name="標準 12 2" xfId="1143" xr:uid="{00000000-0005-0000-0000-0000A6040000}"/>
    <cellStyle name="標準 12 2 2" xfId="1144" xr:uid="{00000000-0005-0000-0000-0000A7040000}"/>
    <cellStyle name="標準 12 2 3" xfId="1145" xr:uid="{00000000-0005-0000-0000-0000A8040000}"/>
    <cellStyle name="標準 12 3" xfId="1146" xr:uid="{00000000-0005-0000-0000-0000A9040000}"/>
    <cellStyle name="標準 12 3 2" xfId="1147" xr:uid="{00000000-0005-0000-0000-0000AA040000}"/>
    <cellStyle name="標準 12 3 3" xfId="1148" xr:uid="{00000000-0005-0000-0000-0000AB040000}"/>
    <cellStyle name="標準 120" xfId="1149" xr:uid="{00000000-0005-0000-0000-0000AC040000}"/>
    <cellStyle name="標準 121" xfId="1150" xr:uid="{00000000-0005-0000-0000-0000AD040000}"/>
    <cellStyle name="標準 122" xfId="1151" xr:uid="{00000000-0005-0000-0000-0000AE040000}"/>
    <cellStyle name="標準 123" xfId="1152" xr:uid="{00000000-0005-0000-0000-0000AF040000}"/>
    <cellStyle name="標準 124" xfId="1153" xr:uid="{00000000-0005-0000-0000-0000B0040000}"/>
    <cellStyle name="標準 125" xfId="1154" xr:uid="{00000000-0005-0000-0000-0000B1040000}"/>
    <cellStyle name="標準 126" xfId="1155" xr:uid="{00000000-0005-0000-0000-0000B2040000}"/>
    <cellStyle name="標準 127" xfId="1156" xr:uid="{00000000-0005-0000-0000-0000B3040000}"/>
    <cellStyle name="標準 128" xfId="1157" xr:uid="{00000000-0005-0000-0000-0000B4040000}"/>
    <cellStyle name="標準 129" xfId="1158" xr:uid="{00000000-0005-0000-0000-0000B5040000}"/>
    <cellStyle name="標準 13" xfId="1159" xr:uid="{00000000-0005-0000-0000-0000B6040000}"/>
    <cellStyle name="標準 13 2" xfId="1160" xr:uid="{00000000-0005-0000-0000-0000B7040000}"/>
    <cellStyle name="標準 13 3" xfId="1161" xr:uid="{00000000-0005-0000-0000-0000B8040000}"/>
    <cellStyle name="標準 13 4" xfId="1162" xr:uid="{00000000-0005-0000-0000-0000B9040000}"/>
    <cellStyle name="標準 13 5" xfId="1163" xr:uid="{00000000-0005-0000-0000-0000BA040000}"/>
    <cellStyle name="標準 130" xfId="1164" xr:uid="{00000000-0005-0000-0000-0000BB040000}"/>
    <cellStyle name="標準 131" xfId="1165" xr:uid="{00000000-0005-0000-0000-0000BC040000}"/>
    <cellStyle name="標準 132" xfId="1" xr:uid="{00000000-0005-0000-0000-0000BD040000}"/>
    <cellStyle name="標準 136" xfId="1166" xr:uid="{00000000-0005-0000-0000-0000BE040000}"/>
    <cellStyle name="標準 14" xfId="1167" xr:uid="{00000000-0005-0000-0000-0000BF040000}"/>
    <cellStyle name="標準 14 2" xfId="1168" xr:uid="{00000000-0005-0000-0000-0000C0040000}"/>
    <cellStyle name="標準 14 2 2" xfId="1169" xr:uid="{00000000-0005-0000-0000-0000C1040000}"/>
    <cellStyle name="標準 14 2 3" xfId="1170" xr:uid="{00000000-0005-0000-0000-0000C2040000}"/>
    <cellStyle name="標準 14 3" xfId="1171" xr:uid="{00000000-0005-0000-0000-0000C3040000}"/>
    <cellStyle name="標準 14 4" xfId="1172" xr:uid="{00000000-0005-0000-0000-0000C4040000}"/>
    <cellStyle name="標準 15" xfId="1173" xr:uid="{00000000-0005-0000-0000-0000C5040000}"/>
    <cellStyle name="標準 15 2" xfId="1174" xr:uid="{00000000-0005-0000-0000-0000C6040000}"/>
    <cellStyle name="標準 15 2 2" xfId="1175" xr:uid="{00000000-0005-0000-0000-0000C7040000}"/>
    <cellStyle name="標準 15 2 3" xfId="1176" xr:uid="{00000000-0005-0000-0000-0000C8040000}"/>
    <cellStyle name="標準 15 3" xfId="1177" xr:uid="{00000000-0005-0000-0000-0000C9040000}"/>
    <cellStyle name="標準 15 4" xfId="1178" xr:uid="{00000000-0005-0000-0000-0000CA040000}"/>
    <cellStyle name="標準 15 5" xfId="1179" xr:uid="{00000000-0005-0000-0000-0000CB040000}"/>
    <cellStyle name="標準 15 6" xfId="1180" xr:uid="{00000000-0005-0000-0000-0000CC040000}"/>
    <cellStyle name="標準 16" xfId="1181" xr:uid="{00000000-0005-0000-0000-0000CD040000}"/>
    <cellStyle name="標準 16 2" xfId="1182" xr:uid="{00000000-0005-0000-0000-0000CE040000}"/>
    <cellStyle name="標準 16 2 2" xfId="1183" xr:uid="{00000000-0005-0000-0000-0000CF040000}"/>
    <cellStyle name="標準 16 2 3" xfId="1184" xr:uid="{00000000-0005-0000-0000-0000D0040000}"/>
    <cellStyle name="標準 16 3" xfId="1185" xr:uid="{00000000-0005-0000-0000-0000D1040000}"/>
    <cellStyle name="標準 16 4" xfId="1186" xr:uid="{00000000-0005-0000-0000-0000D2040000}"/>
    <cellStyle name="標準 16 5" xfId="1187" xr:uid="{00000000-0005-0000-0000-0000D3040000}"/>
    <cellStyle name="標準 17" xfId="1188" xr:uid="{00000000-0005-0000-0000-0000D4040000}"/>
    <cellStyle name="標準 17 2" xfId="1189" xr:uid="{00000000-0005-0000-0000-0000D5040000}"/>
    <cellStyle name="標準 17 2 2" xfId="1190" xr:uid="{00000000-0005-0000-0000-0000D6040000}"/>
    <cellStyle name="標準 17 2 3" xfId="1191" xr:uid="{00000000-0005-0000-0000-0000D7040000}"/>
    <cellStyle name="標準 17 3" xfId="1192" xr:uid="{00000000-0005-0000-0000-0000D8040000}"/>
    <cellStyle name="標準 17 4" xfId="1193" xr:uid="{00000000-0005-0000-0000-0000D9040000}"/>
    <cellStyle name="標準 17 5" xfId="1194" xr:uid="{00000000-0005-0000-0000-0000DA040000}"/>
    <cellStyle name="標準 18" xfId="1195" xr:uid="{00000000-0005-0000-0000-0000DB040000}"/>
    <cellStyle name="標準 18 2" xfId="1196" xr:uid="{00000000-0005-0000-0000-0000DC040000}"/>
    <cellStyle name="標準 18 2 2" xfId="1197" xr:uid="{00000000-0005-0000-0000-0000DD040000}"/>
    <cellStyle name="標準 18 2 3" xfId="1198" xr:uid="{00000000-0005-0000-0000-0000DE040000}"/>
    <cellStyle name="標準 18 2 4" xfId="1199" xr:uid="{00000000-0005-0000-0000-0000DF040000}"/>
    <cellStyle name="標準 18 3" xfId="1200" xr:uid="{00000000-0005-0000-0000-0000E0040000}"/>
    <cellStyle name="標準 18 4" xfId="1201" xr:uid="{00000000-0005-0000-0000-0000E1040000}"/>
    <cellStyle name="標準 18 5" xfId="1202" xr:uid="{00000000-0005-0000-0000-0000E2040000}"/>
    <cellStyle name="標準 18 6" xfId="1203" xr:uid="{00000000-0005-0000-0000-0000E3040000}"/>
    <cellStyle name="標準 19" xfId="1204" xr:uid="{00000000-0005-0000-0000-0000E4040000}"/>
    <cellStyle name="標準 19 2" xfId="1205" xr:uid="{00000000-0005-0000-0000-0000E5040000}"/>
    <cellStyle name="標準 19 3" xfId="1206" xr:uid="{00000000-0005-0000-0000-0000E6040000}"/>
    <cellStyle name="標準 2" xfId="1207" xr:uid="{00000000-0005-0000-0000-0000E7040000}"/>
    <cellStyle name="標準 2 10" xfId="1208" xr:uid="{00000000-0005-0000-0000-0000E8040000}"/>
    <cellStyle name="標準 2 11" xfId="1209" xr:uid="{00000000-0005-0000-0000-0000E9040000}"/>
    <cellStyle name="標準 2 12" xfId="1210" xr:uid="{00000000-0005-0000-0000-0000EA040000}"/>
    <cellStyle name="標準 2 13" xfId="1211" xr:uid="{00000000-0005-0000-0000-0000EB040000}"/>
    <cellStyle name="標準 2 2" xfId="1212" xr:uid="{00000000-0005-0000-0000-0000EC040000}"/>
    <cellStyle name="標準 2 2 2" xfId="1213" xr:uid="{00000000-0005-0000-0000-0000ED040000}"/>
    <cellStyle name="標準 2 2 2 2" xfId="1214" xr:uid="{00000000-0005-0000-0000-0000EE040000}"/>
    <cellStyle name="標準 2 2 2 2 2" xfId="1215" xr:uid="{00000000-0005-0000-0000-0000EF040000}"/>
    <cellStyle name="標準 2 2 2 2 3" xfId="1216" xr:uid="{00000000-0005-0000-0000-0000F0040000}"/>
    <cellStyle name="標準 2 2 2 3" xfId="1217" xr:uid="{00000000-0005-0000-0000-0000F1040000}"/>
    <cellStyle name="標準 2 2 3" xfId="1218" xr:uid="{00000000-0005-0000-0000-0000F2040000}"/>
    <cellStyle name="標準 2 2 3 2" xfId="1219" xr:uid="{00000000-0005-0000-0000-0000F3040000}"/>
    <cellStyle name="標準 2 2 3 3" xfId="1220" xr:uid="{00000000-0005-0000-0000-0000F4040000}"/>
    <cellStyle name="標準 2 2 4" xfId="1221" xr:uid="{00000000-0005-0000-0000-0000F5040000}"/>
    <cellStyle name="標準 2 2 4 2" xfId="1222" xr:uid="{00000000-0005-0000-0000-0000F6040000}"/>
    <cellStyle name="標準 2 2 4 3" xfId="1223" xr:uid="{00000000-0005-0000-0000-0000F7040000}"/>
    <cellStyle name="標準 2 2 5" xfId="1224" xr:uid="{00000000-0005-0000-0000-0000F8040000}"/>
    <cellStyle name="標準 2 2 5 2" xfId="1225" xr:uid="{00000000-0005-0000-0000-0000F9040000}"/>
    <cellStyle name="標準 2 2 5 3" xfId="1226" xr:uid="{00000000-0005-0000-0000-0000FA040000}"/>
    <cellStyle name="標準 2 2 6" xfId="1227" xr:uid="{00000000-0005-0000-0000-0000FB040000}"/>
    <cellStyle name="標準 2 2 6 2" xfId="1228" xr:uid="{00000000-0005-0000-0000-0000FC040000}"/>
    <cellStyle name="標準 2 2 6 3" xfId="1229" xr:uid="{00000000-0005-0000-0000-0000FD040000}"/>
    <cellStyle name="標準 2 2 7" xfId="1230" xr:uid="{00000000-0005-0000-0000-0000FE040000}"/>
    <cellStyle name="標準 2 2 8" xfId="1231" xr:uid="{00000000-0005-0000-0000-0000FF040000}"/>
    <cellStyle name="標準 2 2_(別紙1)参加者テスト仕様書(JPN)_ver1.81" xfId="1232" xr:uid="{00000000-0005-0000-0000-000000050000}"/>
    <cellStyle name="標準 2 3" xfId="1233" xr:uid="{00000000-0005-0000-0000-000001050000}"/>
    <cellStyle name="標準 2 3 2" xfId="1234" xr:uid="{00000000-0005-0000-0000-000002050000}"/>
    <cellStyle name="標準 2 3 2 2" xfId="1235" xr:uid="{00000000-0005-0000-0000-000003050000}"/>
    <cellStyle name="標準 2 3 3" xfId="1236" xr:uid="{00000000-0005-0000-0000-000004050000}"/>
    <cellStyle name="標準 2 3 3 2" xfId="1237" xr:uid="{00000000-0005-0000-0000-000005050000}"/>
    <cellStyle name="標準 2 3 3 3" xfId="1238" xr:uid="{00000000-0005-0000-0000-000006050000}"/>
    <cellStyle name="標準 2 3 4" xfId="1239" xr:uid="{00000000-0005-0000-0000-000007050000}"/>
    <cellStyle name="標準 2 4" xfId="1240" xr:uid="{00000000-0005-0000-0000-000008050000}"/>
    <cellStyle name="標準 2 4 2" xfId="1241" xr:uid="{00000000-0005-0000-0000-000009050000}"/>
    <cellStyle name="標準 2 4 2 2" xfId="1242" xr:uid="{00000000-0005-0000-0000-00000A050000}"/>
    <cellStyle name="標準 2 4 3" xfId="1243" xr:uid="{00000000-0005-0000-0000-00000B050000}"/>
    <cellStyle name="標準 2 5" xfId="1244" xr:uid="{00000000-0005-0000-0000-00000C050000}"/>
    <cellStyle name="標準 2 5 2" xfId="1245" xr:uid="{00000000-0005-0000-0000-00000D050000}"/>
    <cellStyle name="標準 2 5 3" xfId="1246" xr:uid="{00000000-0005-0000-0000-00000E050000}"/>
    <cellStyle name="標準 2 6" xfId="1247" xr:uid="{00000000-0005-0000-0000-00000F050000}"/>
    <cellStyle name="標準 2 6 2" xfId="1248" xr:uid="{00000000-0005-0000-0000-000010050000}"/>
    <cellStyle name="標準 2 6 3" xfId="1249" xr:uid="{00000000-0005-0000-0000-000011050000}"/>
    <cellStyle name="標準 2 6 4" xfId="1250" xr:uid="{00000000-0005-0000-0000-000012050000}"/>
    <cellStyle name="標準 2 7" xfId="1251" xr:uid="{00000000-0005-0000-0000-000013050000}"/>
    <cellStyle name="標準 2 7 2" xfId="1252" xr:uid="{00000000-0005-0000-0000-000014050000}"/>
    <cellStyle name="標準 2 8" xfId="1253" xr:uid="{00000000-0005-0000-0000-000015050000}"/>
    <cellStyle name="標準 2 8 2" xfId="1254" xr:uid="{00000000-0005-0000-0000-000016050000}"/>
    <cellStyle name="標準 2 9" xfId="1255" xr:uid="{00000000-0005-0000-0000-000017050000}"/>
    <cellStyle name="標準 2_(別紙1)参加者テスト仕様書(JPN)_ver1.81" xfId="1256" xr:uid="{00000000-0005-0000-0000-000018050000}"/>
    <cellStyle name="標準 20" xfId="1257" xr:uid="{00000000-0005-0000-0000-000019050000}"/>
    <cellStyle name="標準 20 2" xfId="1258" xr:uid="{00000000-0005-0000-0000-00001A050000}"/>
    <cellStyle name="標準 20 3" xfId="1259" xr:uid="{00000000-0005-0000-0000-00001B050000}"/>
    <cellStyle name="標準 20 4" xfId="1260" xr:uid="{00000000-0005-0000-0000-00001C050000}"/>
    <cellStyle name="標準 20 5" xfId="1261" xr:uid="{00000000-0005-0000-0000-00001D050000}"/>
    <cellStyle name="標準 21" xfId="1262" xr:uid="{00000000-0005-0000-0000-00001E050000}"/>
    <cellStyle name="標準 21 2" xfId="1263" xr:uid="{00000000-0005-0000-0000-00001F050000}"/>
    <cellStyle name="標準 21 2 2" xfId="1264" xr:uid="{00000000-0005-0000-0000-000020050000}"/>
    <cellStyle name="標準 21 3" xfId="1265" xr:uid="{00000000-0005-0000-0000-000021050000}"/>
    <cellStyle name="標準 21 3 2" xfId="1266" xr:uid="{00000000-0005-0000-0000-000022050000}"/>
    <cellStyle name="標準 21 4" xfId="1267" xr:uid="{00000000-0005-0000-0000-000023050000}"/>
    <cellStyle name="標準 21 5" xfId="1268" xr:uid="{00000000-0005-0000-0000-000024050000}"/>
    <cellStyle name="標準 22" xfId="1269" xr:uid="{00000000-0005-0000-0000-000025050000}"/>
    <cellStyle name="標準 22 2" xfId="1270" xr:uid="{00000000-0005-0000-0000-000026050000}"/>
    <cellStyle name="標準 22 3" xfId="1271" xr:uid="{00000000-0005-0000-0000-000027050000}"/>
    <cellStyle name="標準 23" xfId="1272" xr:uid="{00000000-0005-0000-0000-000028050000}"/>
    <cellStyle name="標準 23 2" xfId="1273" xr:uid="{00000000-0005-0000-0000-000029050000}"/>
    <cellStyle name="標準 23 3" xfId="1274" xr:uid="{00000000-0005-0000-0000-00002A050000}"/>
    <cellStyle name="標準 24" xfId="1275" xr:uid="{00000000-0005-0000-0000-00002B050000}"/>
    <cellStyle name="標準 24 2" xfId="1276" xr:uid="{00000000-0005-0000-0000-00002C050000}"/>
    <cellStyle name="標準 24 3" xfId="1277" xr:uid="{00000000-0005-0000-0000-00002D050000}"/>
    <cellStyle name="標準 25" xfId="1278" xr:uid="{00000000-0005-0000-0000-00002E050000}"/>
    <cellStyle name="標準 26" xfId="1279" xr:uid="{00000000-0005-0000-0000-00002F050000}"/>
    <cellStyle name="標準 27" xfId="1280" xr:uid="{00000000-0005-0000-0000-000030050000}"/>
    <cellStyle name="標準 28" xfId="1281" xr:uid="{00000000-0005-0000-0000-000031050000}"/>
    <cellStyle name="標準 29" xfId="1282" xr:uid="{00000000-0005-0000-0000-000032050000}"/>
    <cellStyle name="標準 3" xfId="1283" xr:uid="{00000000-0005-0000-0000-000033050000}"/>
    <cellStyle name="標準 3 10" xfId="1284" xr:uid="{00000000-0005-0000-0000-000034050000}"/>
    <cellStyle name="標準 3 11" xfId="1285" xr:uid="{00000000-0005-0000-0000-000035050000}"/>
    <cellStyle name="標準 3 2" xfId="1286" xr:uid="{00000000-0005-0000-0000-000036050000}"/>
    <cellStyle name="標準 3 2 2" xfId="1287" xr:uid="{00000000-0005-0000-0000-000037050000}"/>
    <cellStyle name="標準 3 2 2 2" xfId="1288" xr:uid="{00000000-0005-0000-0000-000038050000}"/>
    <cellStyle name="標準 3 2 2 3" xfId="1289" xr:uid="{00000000-0005-0000-0000-000039050000}"/>
    <cellStyle name="標準 3 2 3" xfId="1290" xr:uid="{00000000-0005-0000-0000-00003A050000}"/>
    <cellStyle name="標準 3 2 3 2" xfId="1291" xr:uid="{00000000-0005-0000-0000-00003B050000}"/>
    <cellStyle name="標準 3 2 3 3" xfId="1292" xr:uid="{00000000-0005-0000-0000-00003C050000}"/>
    <cellStyle name="標準 3 2 4" xfId="1293" xr:uid="{00000000-0005-0000-0000-00003D050000}"/>
    <cellStyle name="標準 3 2 5" xfId="1294" xr:uid="{00000000-0005-0000-0000-00003E050000}"/>
    <cellStyle name="標準 3 3" xfId="1295" xr:uid="{00000000-0005-0000-0000-00003F050000}"/>
    <cellStyle name="標準 3 4" xfId="1296" xr:uid="{00000000-0005-0000-0000-000040050000}"/>
    <cellStyle name="標準 3 4 2" xfId="1297" xr:uid="{00000000-0005-0000-0000-000041050000}"/>
    <cellStyle name="標準 3 4 3" xfId="1298" xr:uid="{00000000-0005-0000-0000-000042050000}"/>
    <cellStyle name="標準 3 5" xfId="1299" xr:uid="{00000000-0005-0000-0000-000043050000}"/>
    <cellStyle name="標準 3 5 2" xfId="1300" xr:uid="{00000000-0005-0000-0000-000044050000}"/>
    <cellStyle name="標準 3 5 3" xfId="1301" xr:uid="{00000000-0005-0000-0000-000045050000}"/>
    <cellStyle name="標準 3 6" xfId="1302" xr:uid="{00000000-0005-0000-0000-000046050000}"/>
    <cellStyle name="標準 3 6 2" xfId="1303" xr:uid="{00000000-0005-0000-0000-000047050000}"/>
    <cellStyle name="標準 3 7" xfId="1304" xr:uid="{00000000-0005-0000-0000-000048050000}"/>
    <cellStyle name="標準 3 8" xfId="1305" xr:uid="{00000000-0005-0000-0000-000049050000}"/>
    <cellStyle name="標準 3 9" xfId="1306" xr:uid="{00000000-0005-0000-0000-00004A050000}"/>
    <cellStyle name="標準 3_【Quick取得データ配信ツール(仮)】課題管理表（EUC）_20121210" xfId="1307" xr:uid="{00000000-0005-0000-0000-00004B050000}"/>
    <cellStyle name="標準 30" xfId="1308" xr:uid="{00000000-0005-0000-0000-00004C050000}"/>
    <cellStyle name="標準 31" xfId="1309" xr:uid="{00000000-0005-0000-0000-00004D050000}"/>
    <cellStyle name="標準 31 2" xfId="1310" xr:uid="{00000000-0005-0000-0000-00004E050000}"/>
    <cellStyle name="標準 31 3" xfId="1311" xr:uid="{00000000-0005-0000-0000-00004F050000}"/>
    <cellStyle name="標準 32" xfId="1312" xr:uid="{00000000-0005-0000-0000-000050050000}"/>
    <cellStyle name="標準 32 2" xfId="1313" xr:uid="{00000000-0005-0000-0000-000051050000}"/>
    <cellStyle name="標準 32 3" xfId="1314" xr:uid="{00000000-0005-0000-0000-000052050000}"/>
    <cellStyle name="標準 33" xfId="1315" xr:uid="{00000000-0005-0000-0000-000053050000}"/>
    <cellStyle name="標準 33 2" xfId="1316" xr:uid="{00000000-0005-0000-0000-000054050000}"/>
    <cellStyle name="標準 33 3" xfId="1317" xr:uid="{00000000-0005-0000-0000-000055050000}"/>
    <cellStyle name="標準 34" xfId="1318" xr:uid="{00000000-0005-0000-0000-000056050000}"/>
    <cellStyle name="標準 34 2" xfId="1319" xr:uid="{00000000-0005-0000-0000-000057050000}"/>
    <cellStyle name="標準 34 3" xfId="1320" xr:uid="{00000000-0005-0000-0000-000058050000}"/>
    <cellStyle name="標準 35" xfId="1321" xr:uid="{00000000-0005-0000-0000-000059050000}"/>
    <cellStyle name="標準 35 2" xfId="1322" xr:uid="{00000000-0005-0000-0000-00005A050000}"/>
    <cellStyle name="標準 35 3" xfId="1323" xr:uid="{00000000-0005-0000-0000-00005B050000}"/>
    <cellStyle name="標準 36" xfId="1324" xr:uid="{00000000-0005-0000-0000-00005C050000}"/>
    <cellStyle name="標準 36 2" xfId="1325" xr:uid="{00000000-0005-0000-0000-00005D050000}"/>
    <cellStyle name="標準 36 3" xfId="1326" xr:uid="{00000000-0005-0000-0000-00005E050000}"/>
    <cellStyle name="標準 37" xfId="1327" xr:uid="{00000000-0005-0000-0000-00005F050000}"/>
    <cellStyle name="標準 37 2" xfId="1328" xr:uid="{00000000-0005-0000-0000-000060050000}"/>
    <cellStyle name="標準 37 3" xfId="1329" xr:uid="{00000000-0005-0000-0000-000061050000}"/>
    <cellStyle name="標準 38" xfId="1330" xr:uid="{00000000-0005-0000-0000-000062050000}"/>
    <cellStyle name="標準 39" xfId="1331" xr:uid="{00000000-0005-0000-0000-000063050000}"/>
    <cellStyle name="標準 39 2" xfId="1332" xr:uid="{00000000-0005-0000-0000-000064050000}"/>
    <cellStyle name="標準 39 3" xfId="1333" xr:uid="{00000000-0005-0000-0000-000065050000}"/>
    <cellStyle name="標準 4" xfId="1334" xr:uid="{00000000-0005-0000-0000-000066050000}"/>
    <cellStyle name="標準 4 2" xfId="1335" xr:uid="{00000000-0005-0000-0000-000067050000}"/>
    <cellStyle name="標準 4 2 2" xfId="1336" xr:uid="{00000000-0005-0000-0000-000068050000}"/>
    <cellStyle name="標準 4 2 2 2" xfId="1337" xr:uid="{00000000-0005-0000-0000-000069050000}"/>
    <cellStyle name="標準 4 2 2 3" xfId="1338" xr:uid="{00000000-0005-0000-0000-00006A050000}"/>
    <cellStyle name="標準 4 2 3" xfId="1339" xr:uid="{00000000-0005-0000-0000-00006B050000}"/>
    <cellStyle name="標準 4 3" xfId="1340" xr:uid="{00000000-0005-0000-0000-00006C050000}"/>
    <cellStyle name="標準 4 3 2" xfId="1341" xr:uid="{00000000-0005-0000-0000-00006D050000}"/>
    <cellStyle name="標準 4 3 3" xfId="1342" xr:uid="{00000000-0005-0000-0000-00006E050000}"/>
    <cellStyle name="標準 4 4" xfId="1343" xr:uid="{00000000-0005-0000-0000-00006F050000}"/>
    <cellStyle name="標準 4 4 2" xfId="1344" xr:uid="{00000000-0005-0000-0000-000070050000}"/>
    <cellStyle name="標準 4 4 3" xfId="1345" xr:uid="{00000000-0005-0000-0000-000071050000}"/>
    <cellStyle name="標準 4 5" xfId="1346" xr:uid="{00000000-0005-0000-0000-000072050000}"/>
    <cellStyle name="標準 4 6" xfId="1347" xr:uid="{00000000-0005-0000-0000-000073050000}"/>
    <cellStyle name="標準 4_20121011__1_F⇒O_【証拠金１本化】課題管理（清算）" xfId="1348" xr:uid="{00000000-0005-0000-0000-000074050000}"/>
    <cellStyle name="標準 40" xfId="1349" xr:uid="{00000000-0005-0000-0000-000075050000}"/>
    <cellStyle name="標準 41" xfId="1350" xr:uid="{00000000-0005-0000-0000-000076050000}"/>
    <cellStyle name="標準 42" xfId="1351" xr:uid="{00000000-0005-0000-0000-000077050000}"/>
    <cellStyle name="標準 43" xfId="1352" xr:uid="{00000000-0005-0000-0000-000078050000}"/>
    <cellStyle name="標準 44" xfId="1353" xr:uid="{00000000-0005-0000-0000-000079050000}"/>
    <cellStyle name="標準 45" xfId="1354" xr:uid="{00000000-0005-0000-0000-00007A050000}"/>
    <cellStyle name="標準 46" xfId="1355" xr:uid="{00000000-0005-0000-0000-00007B050000}"/>
    <cellStyle name="標準 47" xfId="1356" xr:uid="{00000000-0005-0000-0000-00007C050000}"/>
    <cellStyle name="標準 48" xfId="1357" xr:uid="{00000000-0005-0000-0000-00007D050000}"/>
    <cellStyle name="標準 49" xfId="1358" xr:uid="{00000000-0005-0000-0000-00007E050000}"/>
    <cellStyle name="標準 5" xfId="1359" xr:uid="{00000000-0005-0000-0000-00007F050000}"/>
    <cellStyle name="標準 5 2" xfId="1360" xr:uid="{00000000-0005-0000-0000-000080050000}"/>
    <cellStyle name="標準 5 2 2" xfId="1361" xr:uid="{00000000-0005-0000-0000-000081050000}"/>
    <cellStyle name="標準 5 2 2 2" xfId="1362" xr:uid="{00000000-0005-0000-0000-000082050000}"/>
    <cellStyle name="標準 5 2 2 3" xfId="1363" xr:uid="{00000000-0005-0000-0000-000083050000}"/>
    <cellStyle name="標準 5 2 3" xfId="1364" xr:uid="{00000000-0005-0000-0000-000084050000}"/>
    <cellStyle name="標準 5 2 3 2" xfId="1365" xr:uid="{00000000-0005-0000-0000-000085050000}"/>
    <cellStyle name="標準 5 2 3 3" xfId="1366" xr:uid="{00000000-0005-0000-0000-000086050000}"/>
    <cellStyle name="標準 5 3" xfId="1367" xr:uid="{00000000-0005-0000-0000-000087050000}"/>
    <cellStyle name="標準 5 4" xfId="1368" xr:uid="{00000000-0005-0000-0000-000088050000}"/>
    <cellStyle name="標準 5 4 2" xfId="1369" xr:uid="{00000000-0005-0000-0000-000089050000}"/>
    <cellStyle name="標準 5_バックアップセンタ_切替テストスケジュール_20120406~10" xfId="1370" xr:uid="{00000000-0005-0000-0000-00008A050000}"/>
    <cellStyle name="標準 50" xfId="1371" xr:uid="{00000000-0005-0000-0000-00008B050000}"/>
    <cellStyle name="標準 51" xfId="1372" xr:uid="{00000000-0005-0000-0000-00008C050000}"/>
    <cellStyle name="標準 52" xfId="1373" xr:uid="{00000000-0005-0000-0000-00008D050000}"/>
    <cellStyle name="標準 53" xfId="1374" xr:uid="{00000000-0005-0000-0000-00008E050000}"/>
    <cellStyle name="標準 54" xfId="1375" xr:uid="{00000000-0005-0000-0000-00008F050000}"/>
    <cellStyle name="標準 55" xfId="1376" xr:uid="{00000000-0005-0000-0000-000090050000}"/>
    <cellStyle name="標準 56" xfId="1377" xr:uid="{00000000-0005-0000-0000-000091050000}"/>
    <cellStyle name="標準 57" xfId="1378" xr:uid="{00000000-0005-0000-0000-000092050000}"/>
    <cellStyle name="標準 58" xfId="1379" xr:uid="{00000000-0005-0000-0000-000093050000}"/>
    <cellStyle name="標準 59" xfId="1380" xr:uid="{00000000-0005-0000-0000-000094050000}"/>
    <cellStyle name="標準 6" xfId="1381" xr:uid="{00000000-0005-0000-0000-000095050000}"/>
    <cellStyle name="標準 6 2" xfId="1382" xr:uid="{00000000-0005-0000-0000-000096050000}"/>
    <cellStyle name="標準 6 2 2" xfId="1383" xr:uid="{00000000-0005-0000-0000-000097050000}"/>
    <cellStyle name="標準 6 2 3" xfId="1384" xr:uid="{00000000-0005-0000-0000-000098050000}"/>
    <cellStyle name="標準 6 2 4" xfId="1385" xr:uid="{00000000-0005-0000-0000-000099050000}"/>
    <cellStyle name="標準 6 3" xfId="1386" xr:uid="{00000000-0005-0000-0000-00009A050000}"/>
    <cellStyle name="標準 6_バックアップセンタ_切替テストスケジュール_20120406~10" xfId="1387" xr:uid="{00000000-0005-0000-0000-00009B050000}"/>
    <cellStyle name="標準 60" xfId="1388" xr:uid="{00000000-0005-0000-0000-00009C050000}"/>
    <cellStyle name="標準 61" xfId="1389" xr:uid="{00000000-0005-0000-0000-00009D050000}"/>
    <cellStyle name="標準 62" xfId="1390" xr:uid="{00000000-0005-0000-0000-00009E050000}"/>
    <cellStyle name="標準 63" xfId="1391" xr:uid="{00000000-0005-0000-0000-00009F050000}"/>
    <cellStyle name="標準 64" xfId="1392" xr:uid="{00000000-0005-0000-0000-0000A0050000}"/>
    <cellStyle name="標準 65" xfId="1393" xr:uid="{00000000-0005-0000-0000-0000A1050000}"/>
    <cellStyle name="標準 66" xfId="1394" xr:uid="{00000000-0005-0000-0000-0000A2050000}"/>
    <cellStyle name="標準 67" xfId="1395" xr:uid="{00000000-0005-0000-0000-0000A3050000}"/>
    <cellStyle name="標準 68" xfId="1396" xr:uid="{00000000-0005-0000-0000-0000A4050000}"/>
    <cellStyle name="標準 69" xfId="1397" xr:uid="{00000000-0005-0000-0000-0000A5050000}"/>
    <cellStyle name="標準 69 2" xfId="1398" xr:uid="{00000000-0005-0000-0000-0000A6050000}"/>
    <cellStyle name="標準 69 2 2" xfId="1399" xr:uid="{00000000-0005-0000-0000-0000A7050000}"/>
    <cellStyle name="標準 69 2 2 2" xfId="1400" xr:uid="{00000000-0005-0000-0000-0000A8050000}"/>
    <cellStyle name="標準 69 2 2 3" xfId="1401" xr:uid="{00000000-0005-0000-0000-0000A9050000}"/>
    <cellStyle name="標準 69 2 2 4" xfId="1402" xr:uid="{00000000-0005-0000-0000-0000AA050000}"/>
    <cellStyle name="標準 69 2 3" xfId="1403" xr:uid="{00000000-0005-0000-0000-0000AB050000}"/>
    <cellStyle name="標準 69 2 4" xfId="1404" xr:uid="{00000000-0005-0000-0000-0000AC050000}"/>
    <cellStyle name="標準 69 2 5" xfId="1405" xr:uid="{00000000-0005-0000-0000-0000AD050000}"/>
    <cellStyle name="標準 69 3" xfId="1406" xr:uid="{00000000-0005-0000-0000-0000AE050000}"/>
    <cellStyle name="標準 69 3 2" xfId="1407" xr:uid="{00000000-0005-0000-0000-0000AF050000}"/>
    <cellStyle name="標準 69 3 3" xfId="1408" xr:uid="{00000000-0005-0000-0000-0000B0050000}"/>
    <cellStyle name="標準 69 3 4" xfId="1409" xr:uid="{00000000-0005-0000-0000-0000B1050000}"/>
    <cellStyle name="標準 69 4" xfId="1410" xr:uid="{00000000-0005-0000-0000-0000B2050000}"/>
    <cellStyle name="標準 69 5" xfId="1411" xr:uid="{00000000-0005-0000-0000-0000B3050000}"/>
    <cellStyle name="標準 69 6" xfId="1412" xr:uid="{00000000-0005-0000-0000-0000B4050000}"/>
    <cellStyle name="標準 69 7" xfId="1413" xr:uid="{00000000-0005-0000-0000-0000B5050000}"/>
    <cellStyle name="標準 69 8" xfId="1414" xr:uid="{00000000-0005-0000-0000-0000B6050000}"/>
    <cellStyle name="標準 7" xfId="1415" xr:uid="{00000000-0005-0000-0000-0000B7050000}"/>
    <cellStyle name="標準 7 2" xfId="1416" xr:uid="{00000000-0005-0000-0000-0000B8050000}"/>
    <cellStyle name="標準 7 2 2" xfId="1417" xr:uid="{00000000-0005-0000-0000-0000B9050000}"/>
    <cellStyle name="標準 7 2 3" xfId="1418" xr:uid="{00000000-0005-0000-0000-0000BA050000}"/>
    <cellStyle name="標準 7 3" xfId="1419" xr:uid="{00000000-0005-0000-0000-0000BB050000}"/>
    <cellStyle name="標準 7 3 2" xfId="1420" xr:uid="{00000000-0005-0000-0000-0000BC050000}"/>
    <cellStyle name="標準 7 3 3" xfId="1421" xr:uid="{00000000-0005-0000-0000-0000BD050000}"/>
    <cellStyle name="標準 7 4" xfId="1422" xr:uid="{00000000-0005-0000-0000-0000BE050000}"/>
    <cellStyle name="標準 7 4 2" xfId="1423" xr:uid="{00000000-0005-0000-0000-0000BF050000}"/>
    <cellStyle name="標準 7 4 3" xfId="1424" xr:uid="{00000000-0005-0000-0000-0000C0050000}"/>
    <cellStyle name="標準 7 5" xfId="1425" xr:uid="{00000000-0005-0000-0000-0000C1050000}"/>
    <cellStyle name="標準 70" xfId="1426" xr:uid="{00000000-0005-0000-0000-0000C2050000}"/>
    <cellStyle name="標準 70 2" xfId="1427" xr:uid="{00000000-0005-0000-0000-0000C3050000}"/>
    <cellStyle name="標準 70 2 2" xfId="1428" xr:uid="{00000000-0005-0000-0000-0000C4050000}"/>
    <cellStyle name="標準 70 2 2 2" xfId="1429" xr:uid="{00000000-0005-0000-0000-0000C5050000}"/>
    <cellStyle name="標準 70 2 2 3" xfId="1430" xr:uid="{00000000-0005-0000-0000-0000C6050000}"/>
    <cellStyle name="標準 70 2 2 4" xfId="1431" xr:uid="{00000000-0005-0000-0000-0000C7050000}"/>
    <cellStyle name="標準 70 2 3" xfId="1432" xr:uid="{00000000-0005-0000-0000-0000C8050000}"/>
    <cellStyle name="標準 70 2 4" xfId="1433" xr:uid="{00000000-0005-0000-0000-0000C9050000}"/>
    <cellStyle name="標準 70 2 5" xfId="1434" xr:uid="{00000000-0005-0000-0000-0000CA050000}"/>
    <cellStyle name="標準 70 3" xfId="1435" xr:uid="{00000000-0005-0000-0000-0000CB050000}"/>
    <cellStyle name="標準 70 3 2" xfId="1436" xr:uid="{00000000-0005-0000-0000-0000CC050000}"/>
    <cellStyle name="標準 70 3 3" xfId="1437" xr:uid="{00000000-0005-0000-0000-0000CD050000}"/>
    <cellStyle name="標準 70 3 4" xfId="1438" xr:uid="{00000000-0005-0000-0000-0000CE050000}"/>
    <cellStyle name="標準 70 4" xfId="1439" xr:uid="{00000000-0005-0000-0000-0000CF050000}"/>
    <cellStyle name="標準 70 5" xfId="1440" xr:uid="{00000000-0005-0000-0000-0000D0050000}"/>
    <cellStyle name="標準 70 6" xfId="1441" xr:uid="{00000000-0005-0000-0000-0000D1050000}"/>
    <cellStyle name="標準 70 7" xfId="1442" xr:uid="{00000000-0005-0000-0000-0000D2050000}"/>
    <cellStyle name="標準 70 8" xfId="1443" xr:uid="{00000000-0005-0000-0000-0000D3050000}"/>
    <cellStyle name="標準 71" xfId="1444" xr:uid="{00000000-0005-0000-0000-0000D4050000}"/>
    <cellStyle name="標準 71 2" xfId="1445" xr:uid="{00000000-0005-0000-0000-0000D5050000}"/>
    <cellStyle name="標準 71 2 2" xfId="1446" xr:uid="{00000000-0005-0000-0000-0000D6050000}"/>
    <cellStyle name="標準 71 2 2 2" xfId="1447" xr:uid="{00000000-0005-0000-0000-0000D7050000}"/>
    <cellStyle name="標準 71 2 2 3" xfId="1448" xr:uid="{00000000-0005-0000-0000-0000D8050000}"/>
    <cellStyle name="標準 71 2 2 4" xfId="1449" xr:uid="{00000000-0005-0000-0000-0000D9050000}"/>
    <cellStyle name="標準 71 2 3" xfId="1450" xr:uid="{00000000-0005-0000-0000-0000DA050000}"/>
    <cellStyle name="標準 71 2 4" xfId="1451" xr:uid="{00000000-0005-0000-0000-0000DB050000}"/>
    <cellStyle name="標準 71 2 5" xfId="1452" xr:uid="{00000000-0005-0000-0000-0000DC050000}"/>
    <cellStyle name="標準 71 3" xfId="1453" xr:uid="{00000000-0005-0000-0000-0000DD050000}"/>
    <cellStyle name="標準 71 3 2" xfId="1454" xr:uid="{00000000-0005-0000-0000-0000DE050000}"/>
    <cellStyle name="標準 71 3 3" xfId="1455" xr:uid="{00000000-0005-0000-0000-0000DF050000}"/>
    <cellStyle name="標準 71 3 4" xfId="1456" xr:uid="{00000000-0005-0000-0000-0000E0050000}"/>
    <cellStyle name="標準 71 4" xfId="1457" xr:uid="{00000000-0005-0000-0000-0000E1050000}"/>
    <cellStyle name="標準 71 5" xfId="1458" xr:uid="{00000000-0005-0000-0000-0000E2050000}"/>
    <cellStyle name="標準 71 6" xfId="1459" xr:uid="{00000000-0005-0000-0000-0000E3050000}"/>
    <cellStyle name="標準 71 7" xfId="1460" xr:uid="{00000000-0005-0000-0000-0000E4050000}"/>
    <cellStyle name="標準 71 8" xfId="1461" xr:uid="{00000000-0005-0000-0000-0000E5050000}"/>
    <cellStyle name="標準 72" xfId="1462" xr:uid="{00000000-0005-0000-0000-0000E6050000}"/>
    <cellStyle name="標準 72 2" xfId="1463" xr:uid="{00000000-0005-0000-0000-0000E7050000}"/>
    <cellStyle name="標準 72 2 2" xfId="1464" xr:uid="{00000000-0005-0000-0000-0000E8050000}"/>
    <cellStyle name="標準 72 2 2 2" xfId="1465" xr:uid="{00000000-0005-0000-0000-0000E9050000}"/>
    <cellStyle name="標準 72 2 2 3" xfId="1466" xr:uid="{00000000-0005-0000-0000-0000EA050000}"/>
    <cellStyle name="標準 72 2 2 4" xfId="1467" xr:uid="{00000000-0005-0000-0000-0000EB050000}"/>
    <cellStyle name="標準 72 2 3" xfId="1468" xr:uid="{00000000-0005-0000-0000-0000EC050000}"/>
    <cellStyle name="標準 72 2 4" xfId="1469" xr:uid="{00000000-0005-0000-0000-0000ED050000}"/>
    <cellStyle name="標準 72 2 5" xfId="1470" xr:uid="{00000000-0005-0000-0000-0000EE050000}"/>
    <cellStyle name="標準 72 3" xfId="1471" xr:uid="{00000000-0005-0000-0000-0000EF050000}"/>
    <cellStyle name="標準 72 3 2" xfId="1472" xr:uid="{00000000-0005-0000-0000-0000F0050000}"/>
    <cellStyle name="標準 72 3 3" xfId="1473" xr:uid="{00000000-0005-0000-0000-0000F1050000}"/>
    <cellStyle name="標準 72 3 4" xfId="1474" xr:uid="{00000000-0005-0000-0000-0000F2050000}"/>
    <cellStyle name="標準 72 4" xfId="1475" xr:uid="{00000000-0005-0000-0000-0000F3050000}"/>
    <cellStyle name="標準 72 5" xfId="1476" xr:uid="{00000000-0005-0000-0000-0000F4050000}"/>
    <cellStyle name="標準 72 6" xfId="1477" xr:uid="{00000000-0005-0000-0000-0000F5050000}"/>
    <cellStyle name="標準 72 7" xfId="1478" xr:uid="{00000000-0005-0000-0000-0000F6050000}"/>
    <cellStyle name="標準 72 8" xfId="1479" xr:uid="{00000000-0005-0000-0000-0000F7050000}"/>
    <cellStyle name="標準 73" xfId="1480" xr:uid="{00000000-0005-0000-0000-0000F8050000}"/>
    <cellStyle name="標準 73 2" xfId="1481" xr:uid="{00000000-0005-0000-0000-0000F9050000}"/>
    <cellStyle name="標準 73 2 2" xfId="1482" xr:uid="{00000000-0005-0000-0000-0000FA050000}"/>
    <cellStyle name="標準 73 2 2 2" xfId="1483" xr:uid="{00000000-0005-0000-0000-0000FB050000}"/>
    <cellStyle name="標準 73 2 2 3" xfId="1484" xr:uid="{00000000-0005-0000-0000-0000FC050000}"/>
    <cellStyle name="標準 73 2 2 4" xfId="1485" xr:uid="{00000000-0005-0000-0000-0000FD050000}"/>
    <cellStyle name="標準 73 2 3" xfId="1486" xr:uid="{00000000-0005-0000-0000-0000FE050000}"/>
    <cellStyle name="標準 73 2 4" xfId="1487" xr:uid="{00000000-0005-0000-0000-0000FF050000}"/>
    <cellStyle name="標準 73 2 5" xfId="1488" xr:uid="{00000000-0005-0000-0000-000000060000}"/>
    <cellStyle name="標準 73 3" xfId="1489" xr:uid="{00000000-0005-0000-0000-000001060000}"/>
    <cellStyle name="標準 73 3 2" xfId="1490" xr:uid="{00000000-0005-0000-0000-000002060000}"/>
    <cellStyle name="標準 73 3 3" xfId="1491" xr:uid="{00000000-0005-0000-0000-000003060000}"/>
    <cellStyle name="標準 73 3 4" xfId="1492" xr:uid="{00000000-0005-0000-0000-000004060000}"/>
    <cellStyle name="標準 73 4" xfId="1493" xr:uid="{00000000-0005-0000-0000-000005060000}"/>
    <cellStyle name="標準 73 5" xfId="1494" xr:uid="{00000000-0005-0000-0000-000006060000}"/>
    <cellStyle name="標準 73 6" xfId="1495" xr:uid="{00000000-0005-0000-0000-000007060000}"/>
    <cellStyle name="標準 74" xfId="1496" xr:uid="{00000000-0005-0000-0000-000008060000}"/>
    <cellStyle name="標準 74 2" xfId="1497" xr:uid="{00000000-0005-0000-0000-000009060000}"/>
    <cellStyle name="標準 74 2 2" xfId="1498" xr:uid="{00000000-0005-0000-0000-00000A060000}"/>
    <cellStyle name="標準 74 2 2 2" xfId="1499" xr:uid="{00000000-0005-0000-0000-00000B060000}"/>
    <cellStyle name="標準 74 2 2 3" xfId="1500" xr:uid="{00000000-0005-0000-0000-00000C060000}"/>
    <cellStyle name="標準 74 2 2 4" xfId="1501" xr:uid="{00000000-0005-0000-0000-00000D060000}"/>
    <cellStyle name="標準 74 2 3" xfId="1502" xr:uid="{00000000-0005-0000-0000-00000E060000}"/>
    <cellStyle name="標準 74 2 4" xfId="1503" xr:uid="{00000000-0005-0000-0000-00000F060000}"/>
    <cellStyle name="標準 74 2 5" xfId="1504" xr:uid="{00000000-0005-0000-0000-000010060000}"/>
    <cellStyle name="標準 74 3" xfId="1505" xr:uid="{00000000-0005-0000-0000-000011060000}"/>
    <cellStyle name="標準 74 3 2" xfId="1506" xr:uid="{00000000-0005-0000-0000-000012060000}"/>
    <cellStyle name="標準 74 3 3" xfId="1507" xr:uid="{00000000-0005-0000-0000-000013060000}"/>
    <cellStyle name="標準 74 3 4" xfId="1508" xr:uid="{00000000-0005-0000-0000-000014060000}"/>
    <cellStyle name="標準 74 4" xfId="1509" xr:uid="{00000000-0005-0000-0000-000015060000}"/>
    <cellStyle name="標準 74 5" xfId="1510" xr:uid="{00000000-0005-0000-0000-000016060000}"/>
    <cellStyle name="標準 74 6" xfId="1511" xr:uid="{00000000-0005-0000-0000-000017060000}"/>
    <cellStyle name="標準 75" xfId="1512" xr:uid="{00000000-0005-0000-0000-000018060000}"/>
    <cellStyle name="標準 75 2" xfId="1513" xr:uid="{00000000-0005-0000-0000-000019060000}"/>
    <cellStyle name="標準 75 2 2" xfId="1514" xr:uid="{00000000-0005-0000-0000-00001A060000}"/>
    <cellStyle name="標準 75 2 2 2" xfId="1515" xr:uid="{00000000-0005-0000-0000-00001B060000}"/>
    <cellStyle name="標準 75 2 2 3" xfId="1516" xr:uid="{00000000-0005-0000-0000-00001C060000}"/>
    <cellStyle name="標準 75 2 2 4" xfId="1517" xr:uid="{00000000-0005-0000-0000-00001D060000}"/>
    <cellStyle name="標準 75 2 3" xfId="1518" xr:uid="{00000000-0005-0000-0000-00001E060000}"/>
    <cellStyle name="標準 75 2 4" xfId="1519" xr:uid="{00000000-0005-0000-0000-00001F060000}"/>
    <cellStyle name="標準 75 2 5" xfId="1520" xr:uid="{00000000-0005-0000-0000-000020060000}"/>
    <cellStyle name="標準 75 3" xfId="1521" xr:uid="{00000000-0005-0000-0000-000021060000}"/>
    <cellStyle name="標準 75 3 2" xfId="1522" xr:uid="{00000000-0005-0000-0000-000022060000}"/>
    <cellStyle name="標準 75 3 3" xfId="1523" xr:uid="{00000000-0005-0000-0000-000023060000}"/>
    <cellStyle name="標準 75 3 4" xfId="1524" xr:uid="{00000000-0005-0000-0000-000024060000}"/>
    <cellStyle name="標準 75 4" xfId="1525" xr:uid="{00000000-0005-0000-0000-000025060000}"/>
    <cellStyle name="標準 75 5" xfId="1526" xr:uid="{00000000-0005-0000-0000-000026060000}"/>
    <cellStyle name="標準 75 6" xfId="1527" xr:uid="{00000000-0005-0000-0000-000027060000}"/>
    <cellStyle name="標準 76" xfId="1528" xr:uid="{00000000-0005-0000-0000-000028060000}"/>
    <cellStyle name="標準 76 2" xfId="1529" xr:uid="{00000000-0005-0000-0000-000029060000}"/>
    <cellStyle name="標準 76 2 2" xfId="1530" xr:uid="{00000000-0005-0000-0000-00002A060000}"/>
    <cellStyle name="標準 76 2 2 2" xfId="1531" xr:uid="{00000000-0005-0000-0000-00002B060000}"/>
    <cellStyle name="標準 76 2 2 3" xfId="1532" xr:uid="{00000000-0005-0000-0000-00002C060000}"/>
    <cellStyle name="標準 76 2 2 4" xfId="1533" xr:uid="{00000000-0005-0000-0000-00002D060000}"/>
    <cellStyle name="標準 76 2 3" xfId="1534" xr:uid="{00000000-0005-0000-0000-00002E060000}"/>
    <cellStyle name="標準 76 2 4" xfId="1535" xr:uid="{00000000-0005-0000-0000-00002F060000}"/>
    <cellStyle name="標準 76 2 5" xfId="1536" xr:uid="{00000000-0005-0000-0000-000030060000}"/>
    <cellStyle name="標準 76 3" xfId="1537" xr:uid="{00000000-0005-0000-0000-000031060000}"/>
    <cellStyle name="標準 76 3 2" xfId="1538" xr:uid="{00000000-0005-0000-0000-000032060000}"/>
    <cellStyle name="標準 76 3 3" xfId="1539" xr:uid="{00000000-0005-0000-0000-000033060000}"/>
    <cellStyle name="標準 76 3 4" xfId="1540" xr:uid="{00000000-0005-0000-0000-000034060000}"/>
    <cellStyle name="標準 76 4" xfId="1541" xr:uid="{00000000-0005-0000-0000-000035060000}"/>
    <cellStyle name="標準 76 5" xfId="1542" xr:uid="{00000000-0005-0000-0000-000036060000}"/>
    <cellStyle name="標準 76 6" xfId="1543" xr:uid="{00000000-0005-0000-0000-000037060000}"/>
    <cellStyle name="標準 77" xfId="1544" xr:uid="{00000000-0005-0000-0000-000038060000}"/>
    <cellStyle name="標準 77 2" xfId="1545" xr:uid="{00000000-0005-0000-0000-000039060000}"/>
    <cellStyle name="標準 77 2 2" xfId="1546" xr:uid="{00000000-0005-0000-0000-00003A060000}"/>
    <cellStyle name="標準 77 2 2 2" xfId="1547" xr:uid="{00000000-0005-0000-0000-00003B060000}"/>
    <cellStyle name="標準 77 2 2 3" xfId="1548" xr:uid="{00000000-0005-0000-0000-00003C060000}"/>
    <cellStyle name="標準 77 2 2 4" xfId="1549" xr:uid="{00000000-0005-0000-0000-00003D060000}"/>
    <cellStyle name="標準 77 2 3" xfId="1550" xr:uid="{00000000-0005-0000-0000-00003E060000}"/>
    <cellStyle name="標準 77 2 4" xfId="1551" xr:uid="{00000000-0005-0000-0000-00003F060000}"/>
    <cellStyle name="標準 77 2 5" xfId="1552" xr:uid="{00000000-0005-0000-0000-000040060000}"/>
    <cellStyle name="標準 77 3" xfId="1553" xr:uid="{00000000-0005-0000-0000-000041060000}"/>
    <cellStyle name="標準 77 3 2" xfId="1554" xr:uid="{00000000-0005-0000-0000-000042060000}"/>
    <cellStyle name="標準 77 3 3" xfId="1555" xr:uid="{00000000-0005-0000-0000-000043060000}"/>
    <cellStyle name="標準 77 3 4" xfId="1556" xr:uid="{00000000-0005-0000-0000-000044060000}"/>
    <cellStyle name="標準 77 4" xfId="1557" xr:uid="{00000000-0005-0000-0000-000045060000}"/>
    <cellStyle name="標準 77 5" xfId="1558" xr:uid="{00000000-0005-0000-0000-000046060000}"/>
    <cellStyle name="標準 77 6" xfId="1559" xr:uid="{00000000-0005-0000-0000-000047060000}"/>
    <cellStyle name="標準 78" xfId="1560" xr:uid="{00000000-0005-0000-0000-000048060000}"/>
    <cellStyle name="標準 78 2" xfId="1561" xr:uid="{00000000-0005-0000-0000-000049060000}"/>
    <cellStyle name="標準 78 2 2" xfId="1562" xr:uid="{00000000-0005-0000-0000-00004A060000}"/>
    <cellStyle name="標準 78 2 2 2" xfId="1563" xr:uid="{00000000-0005-0000-0000-00004B060000}"/>
    <cellStyle name="標準 78 2 2 3" xfId="1564" xr:uid="{00000000-0005-0000-0000-00004C060000}"/>
    <cellStyle name="標準 78 2 2 4" xfId="1565" xr:uid="{00000000-0005-0000-0000-00004D060000}"/>
    <cellStyle name="標準 78 2 3" xfId="1566" xr:uid="{00000000-0005-0000-0000-00004E060000}"/>
    <cellStyle name="標準 78 2 4" xfId="1567" xr:uid="{00000000-0005-0000-0000-00004F060000}"/>
    <cellStyle name="標準 78 2 5" xfId="1568" xr:uid="{00000000-0005-0000-0000-000050060000}"/>
    <cellStyle name="標準 78 3" xfId="1569" xr:uid="{00000000-0005-0000-0000-000051060000}"/>
    <cellStyle name="標準 78 3 2" xfId="1570" xr:uid="{00000000-0005-0000-0000-000052060000}"/>
    <cellStyle name="標準 78 3 3" xfId="1571" xr:uid="{00000000-0005-0000-0000-000053060000}"/>
    <cellStyle name="標準 78 3 4" xfId="1572" xr:uid="{00000000-0005-0000-0000-000054060000}"/>
    <cellStyle name="標準 78 4" xfId="1573" xr:uid="{00000000-0005-0000-0000-000055060000}"/>
    <cellStyle name="標準 78 5" xfId="1574" xr:uid="{00000000-0005-0000-0000-000056060000}"/>
    <cellStyle name="標準 78 6" xfId="1575" xr:uid="{00000000-0005-0000-0000-000057060000}"/>
    <cellStyle name="標準 79" xfId="1576" xr:uid="{00000000-0005-0000-0000-000058060000}"/>
    <cellStyle name="標準 79 2" xfId="1577" xr:uid="{00000000-0005-0000-0000-000059060000}"/>
    <cellStyle name="標準 79 2 2" xfId="1578" xr:uid="{00000000-0005-0000-0000-00005A060000}"/>
    <cellStyle name="標準 79 2 2 2" xfId="1579" xr:uid="{00000000-0005-0000-0000-00005B060000}"/>
    <cellStyle name="標準 79 2 2 3" xfId="1580" xr:uid="{00000000-0005-0000-0000-00005C060000}"/>
    <cellStyle name="標準 79 2 2 4" xfId="1581" xr:uid="{00000000-0005-0000-0000-00005D060000}"/>
    <cellStyle name="標準 79 2 3" xfId="1582" xr:uid="{00000000-0005-0000-0000-00005E060000}"/>
    <cellStyle name="標準 79 2 4" xfId="1583" xr:uid="{00000000-0005-0000-0000-00005F060000}"/>
    <cellStyle name="標準 79 2 5" xfId="1584" xr:uid="{00000000-0005-0000-0000-000060060000}"/>
    <cellStyle name="標準 79 3" xfId="1585" xr:uid="{00000000-0005-0000-0000-000061060000}"/>
    <cellStyle name="標準 79 3 2" xfId="1586" xr:uid="{00000000-0005-0000-0000-000062060000}"/>
    <cellStyle name="標準 79 3 3" xfId="1587" xr:uid="{00000000-0005-0000-0000-000063060000}"/>
    <cellStyle name="標準 79 3 4" xfId="1588" xr:uid="{00000000-0005-0000-0000-000064060000}"/>
    <cellStyle name="標準 79 4" xfId="1589" xr:uid="{00000000-0005-0000-0000-000065060000}"/>
    <cellStyle name="標準 79 5" xfId="1590" xr:uid="{00000000-0005-0000-0000-000066060000}"/>
    <cellStyle name="標準 79 6" xfId="1591" xr:uid="{00000000-0005-0000-0000-000067060000}"/>
    <cellStyle name="標準 8" xfId="1592" xr:uid="{00000000-0005-0000-0000-000068060000}"/>
    <cellStyle name="標準 8 2" xfId="1593" xr:uid="{00000000-0005-0000-0000-000069060000}"/>
    <cellStyle name="標準 8 3" xfId="1594" xr:uid="{00000000-0005-0000-0000-00006A060000}"/>
    <cellStyle name="標準 8 4" xfId="1595" xr:uid="{00000000-0005-0000-0000-00006B060000}"/>
    <cellStyle name="標準 8 5" xfId="1596" xr:uid="{00000000-0005-0000-0000-00006C060000}"/>
    <cellStyle name="標準 8 6" xfId="1597" xr:uid="{00000000-0005-0000-0000-00006D060000}"/>
    <cellStyle name="標準 80" xfId="1598" xr:uid="{00000000-0005-0000-0000-00006E060000}"/>
    <cellStyle name="標準 80 2" xfId="1599" xr:uid="{00000000-0005-0000-0000-00006F060000}"/>
    <cellStyle name="標準 80 2 2" xfId="1600" xr:uid="{00000000-0005-0000-0000-000070060000}"/>
    <cellStyle name="標準 80 2 2 2" xfId="1601" xr:uid="{00000000-0005-0000-0000-000071060000}"/>
    <cellStyle name="標準 80 2 2 3" xfId="1602" xr:uid="{00000000-0005-0000-0000-000072060000}"/>
    <cellStyle name="標準 80 2 2 4" xfId="1603" xr:uid="{00000000-0005-0000-0000-000073060000}"/>
    <cellStyle name="標準 80 2 3" xfId="1604" xr:uid="{00000000-0005-0000-0000-000074060000}"/>
    <cellStyle name="標準 80 2 4" xfId="1605" xr:uid="{00000000-0005-0000-0000-000075060000}"/>
    <cellStyle name="標準 80 2 5" xfId="1606" xr:uid="{00000000-0005-0000-0000-000076060000}"/>
    <cellStyle name="標準 80 3" xfId="1607" xr:uid="{00000000-0005-0000-0000-000077060000}"/>
    <cellStyle name="標準 80 3 2" xfId="1608" xr:uid="{00000000-0005-0000-0000-000078060000}"/>
    <cellStyle name="標準 80 3 3" xfId="1609" xr:uid="{00000000-0005-0000-0000-000079060000}"/>
    <cellStyle name="標準 80 3 4" xfId="1610" xr:uid="{00000000-0005-0000-0000-00007A060000}"/>
    <cellStyle name="標準 80 4" xfId="1611" xr:uid="{00000000-0005-0000-0000-00007B060000}"/>
    <cellStyle name="標準 80 5" xfId="1612" xr:uid="{00000000-0005-0000-0000-00007C060000}"/>
    <cellStyle name="標準 80 6" xfId="1613" xr:uid="{00000000-0005-0000-0000-00007D060000}"/>
    <cellStyle name="標準 81" xfId="1614" xr:uid="{00000000-0005-0000-0000-00007E060000}"/>
    <cellStyle name="標準 81 2" xfId="1615" xr:uid="{00000000-0005-0000-0000-00007F060000}"/>
    <cellStyle name="標準 81 2 2" xfId="1616" xr:uid="{00000000-0005-0000-0000-000080060000}"/>
    <cellStyle name="標準 81 2 2 2" xfId="1617" xr:uid="{00000000-0005-0000-0000-000081060000}"/>
    <cellStyle name="標準 81 2 2 3" xfId="1618" xr:uid="{00000000-0005-0000-0000-000082060000}"/>
    <cellStyle name="標準 81 2 2 4" xfId="1619" xr:uid="{00000000-0005-0000-0000-000083060000}"/>
    <cellStyle name="標準 81 2 3" xfId="1620" xr:uid="{00000000-0005-0000-0000-000084060000}"/>
    <cellStyle name="標準 81 2 4" xfId="1621" xr:uid="{00000000-0005-0000-0000-000085060000}"/>
    <cellStyle name="標準 81 2 5" xfId="1622" xr:uid="{00000000-0005-0000-0000-000086060000}"/>
    <cellStyle name="標準 81 3" xfId="1623" xr:uid="{00000000-0005-0000-0000-000087060000}"/>
    <cellStyle name="標準 81 3 2" xfId="1624" xr:uid="{00000000-0005-0000-0000-000088060000}"/>
    <cellStyle name="標準 81 3 3" xfId="1625" xr:uid="{00000000-0005-0000-0000-000089060000}"/>
    <cellStyle name="標準 81 3 4" xfId="1626" xr:uid="{00000000-0005-0000-0000-00008A060000}"/>
    <cellStyle name="標準 81 4" xfId="1627" xr:uid="{00000000-0005-0000-0000-00008B060000}"/>
    <cellStyle name="標準 81 5" xfId="1628" xr:uid="{00000000-0005-0000-0000-00008C060000}"/>
    <cellStyle name="標準 81 6" xfId="1629" xr:uid="{00000000-0005-0000-0000-00008D060000}"/>
    <cellStyle name="標準 82" xfId="1630" xr:uid="{00000000-0005-0000-0000-00008E060000}"/>
    <cellStyle name="標準 82 2" xfId="1631" xr:uid="{00000000-0005-0000-0000-00008F060000}"/>
    <cellStyle name="標準 82 2 2" xfId="1632" xr:uid="{00000000-0005-0000-0000-000090060000}"/>
    <cellStyle name="標準 82 2 2 2" xfId="1633" xr:uid="{00000000-0005-0000-0000-000091060000}"/>
    <cellStyle name="標準 82 2 2 3" xfId="1634" xr:uid="{00000000-0005-0000-0000-000092060000}"/>
    <cellStyle name="標準 82 2 2 4" xfId="1635" xr:uid="{00000000-0005-0000-0000-000093060000}"/>
    <cellStyle name="標準 82 2 3" xfId="1636" xr:uid="{00000000-0005-0000-0000-000094060000}"/>
    <cellStyle name="標準 82 2 4" xfId="1637" xr:uid="{00000000-0005-0000-0000-000095060000}"/>
    <cellStyle name="標準 82 2 5" xfId="1638" xr:uid="{00000000-0005-0000-0000-000096060000}"/>
    <cellStyle name="標準 82 3" xfId="1639" xr:uid="{00000000-0005-0000-0000-000097060000}"/>
    <cellStyle name="標準 82 3 2" xfId="1640" xr:uid="{00000000-0005-0000-0000-000098060000}"/>
    <cellStyle name="標準 82 3 3" xfId="1641" xr:uid="{00000000-0005-0000-0000-000099060000}"/>
    <cellStyle name="標準 82 3 4" xfId="1642" xr:uid="{00000000-0005-0000-0000-00009A060000}"/>
    <cellStyle name="標準 82 4" xfId="1643" xr:uid="{00000000-0005-0000-0000-00009B060000}"/>
    <cellStyle name="標準 82 5" xfId="1644" xr:uid="{00000000-0005-0000-0000-00009C060000}"/>
    <cellStyle name="標準 82 6" xfId="1645" xr:uid="{00000000-0005-0000-0000-00009D060000}"/>
    <cellStyle name="標準 83" xfId="1646" xr:uid="{00000000-0005-0000-0000-00009E060000}"/>
    <cellStyle name="標準 83 2" xfId="1647" xr:uid="{00000000-0005-0000-0000-00009F060000}"/>
    <cellStyle name="標準 83 2 2" xfId="1648" xr:uid="{00000000-0005-0000-0000-0000A0060000}"/>
    <cellStyle name="標準 83 2 2 2" xfId="1649" xr:uid="{00000000-0005-0000-0000-0000A1060000}"/>
    <cellStyle name="標準 83 2 2 3" xfId="1650" xr:uid="{00000000-0005-0000-0000-0000A2060000}"/>
    <cellStyle name="標準 83 2 2 4" xfId="1651" xr:uid="{00000000-0005-0000-0000-0000A3060000}"/>
    <cellStyle name="標準 83 2 3" xfId="1652" xr:uid="{00000000-0005-0000-0000-0000A4060000}"/>
    <cellStyle name="標準 83 2 4" xfId="1653" xr:uid="{00000000-0005-0000-0000-0000A5060000}"/>
    <cellStyle name="標準 83 2 5" xfId="1654" xr:uid="{00000000-0005-0000-0000-0000A6060000}"/>
    <cellStyle name="標準 83 3" xfId="1655" xr:uid="{00000000-0005-0000-0000-0000A7060000}"/>
    <cellStyle name="標準 83 3 2" xfId="1656" xr:uid="{00000000-0005-0000-0000-0000A8060000}"/>
    <cellStyle name="標準 83 3 3" xfId="1657" xr:uid="{00000000-0005-0000-0000-0000A9060000}"/>
    <cellStyle name="標準 83 3 4" xfId="1658" xr:uid="{00000000-0005-0000-0000-0000AA060000}"/>
    <cellStyle name="標準 83 4" xfId="1659" xr:uid="{00000000-0005-0000-0000-0000AB060000}"/>
    <cellStyle name="標準 83 5" xfId="1660" xr:uid="{00000000-0005-0000-0000-0000AC060000}"/>
    <cellStyle name="標準 83 6" xfId="1661" xr:uid="{00000000-0005-0000-0000-0000AD060000}"/>
    <cellStyle name="標準 84" xfId="1662" xr:uid="{00000000-0005-0000-0000-0000AE060000}"/>
    <cellStyle name="標準 84 2" xfId="1663" xr:uid="{00000000-0005-0000-0000-0000AF060000}"/>
    <cellStyle name="標準 84 2 2" xfId="1664" xr:uid="{00000000-0005-0000-0000-0000B0060000}"/>
    <cellStyle name="標準 84 2 2 2" xfId="1665" xr:uid="{00000000-0005-0000-0000-0000B1060000}"/>
    <cellStyle name="標準 84 2 2 3" xfId="1666" xr:uid="{00000000-0005-0000-0000-0000B2060000}"/>
    <cellStyle name="標準 84 2 2 4" xfId="1667" xr:uid="{00000000-0005-0000-0000-0000B3060000}"/>
    <cellStyle name="標準 84 2 3" xfId="1668" xr:uid="{00000000-0005-0000-0000-0000B4060000}"/>
    <cellStyle name="標準 84 2 4" xfId="1669" xr:uid="{00000000-0005-0000-0000-0000B5060000}"/>
    <cellStyle name="標準 84 2 5" xfId="1670" xr:uid="{00000000-0005-0000-0000-0000B6060000}"/>
    <cellStyle name="標準 84 3" xfId="1671" xr:uid="{00000000-0005-0000-0000-0000B7060000}"/>
    <cellStyle name="標準 84 3 2" xfId="1672" xr:uid="{00000000-0005-0000-0000-0000B8060000}"/>
    <cellStyle name="標準 84 3 3" xfId="1673" xr:uid="{00000000-0005-0000-0000-0000B9060000}"/>
    <cellStyle name="標準 84 3 4" xfId="1674" xr:uid="{00000000-0005-0000-0000-0000BA060000}"/>
    <cellStyle name="標準 84 4" xfId="1675" xr:uid="{00000000-0005-0000-0000-0000BB060000}"/>
    <cellStyle name="標準 84 5" xfId="1676" xr:uid="{00000000-0005-0000-0000-0000BC060000}"/>
    <cellStyle name="標準 84 6" xfId="1677" xr:uid="{00000000-0005-0000-0000-0000BD060000}"/>
    <cellStyle name="標準 85" xfId="1678" xr:uid="{00000000-0005-0000-0000-0000BE060000}"/>
    <cellStyle name="標準 85 2" xfId="1679" xr:uid="{00000000-0005-0000-0000-0000BF060000}"/>
    <cellStyle name="標準 85 2 2" xfId="1680" xr:uid="{00000000-0005-0000-0000-0000C0060000}"/>
    <cellStyle name="標準 85 2 2 2" xfId="1681" xr:uid="{00000000-0005-0000-0000-0000C1060000}"/>
    <cellStyle name="標準 85 2 2 3" xfId="1682" xr:uid="{00000000-0005-0000-0000-0000C2060000}"/>
    <cellStyle name="標準 85 2 2 4" xfId="1683" xr:uid="{00000000-0005-0000-0000-0000C3060000}"/>
    <cellStyle name="標準 85 2 3" xfId="1684" xr:uid="{00000000-0005-0000-0000-0000C4060000}"/>
    <cellStyle name="標準 85 2 4" xfId="1685" xr:uid="{00000000-0005-0000-0000-0000C5060000}"/>
    <cellStyle name="標準 85 2 5" xfId="1686" xr:uid="{00000000-0005-0000-0000-0000C6060000}"/>
    <cellStyle name="標準 85 3" xfId="1687" xr:uid="{00000000-0005-0000-0000-0000C7060000}"/>
    <cellStyle name="標準 85 3 2" xfId="1688" xr:uid="{00000000-0005-0000-0000-0000C8060000}"/>
    <cellStyle name="標準 85 3 3" xfId="1689" xr:uid="{00000000-0005-0000-0000-0000C9060000}"/>
    <cellStyle name="標準 85 3 4" xfId="1690" xr:uid="{00000000-0005-0000-0000-0000CA060000}"/>
    <cellStyle name="標準 85 4" xfId="1691" xr:uid="{00000000-0005-0000-0000-0000CB060000}"/>
    <cellStyle name="標準 85 5" xfId="1692" xr:uid="{00000000-0005-0000-0000-0000CC060000}"/>
    <cellStyle name="標準 85 6" xfId="1693" xr:uid="{00000000-0005-0000-0000-0000CD060000}"/>
    <cellStyle name="標準 86" xfId="1694" xr:uid="{00000000-0005-0000-0000-0000CE060000}"/>
    <cellStyle name="標準 86 2" xfId="1695" xr:uid="{00000000-0005-0000-0000-0000CF060000}"/>
    <cellStyle name="標準 86 2 2" xfId="1696" xr:uid="{00000000-0005-0000-0000-0000D0060000}"/>
    <cellStyle name="標準 86 2 2 2" xfId="1697" xr:uid="{00000000-0005-0000-0000-0000D1060000}"/>
    <cellStyle name="標準 86 2 2 3" xfId="1698" xr:uid="{00000000-0005-0000-0000-0000D2060000}"/>
    <cellStyle name="標準 86 2 2 4" xfId="1699" xr:uid="{00000000-0005-0000-0000-0000D3060000}"/>
    <cellStyle name="標準 86 2 3" xfId="1700" xr:uid="{00000000-0005-0000-0000-0000D4060000}"/>
    <cellStyle name="標準 86 2 4" xfId="1701" xr:uid="{00000000-0005-0000-0000-0000D5060000}"/>
    <cellStyle name="標準 86 2 5" xfId="1702" xr:uid="{00000000-0005-0000-0000-0000D6060000}"/>
    <cellStyle name="標準 86 3" xfId="1703" xr:uid="{00000000-0005-0000-0000-0000D7060000}"/>
    <cellStyle name="標準 86 3 2" xfId="1704" xr:uid="{00000000-0005-0000-0000-0000D8060000}"/>
    <cellStyle name="標準 86 3 3" xfId="1705" xr:uid="{00000000-0005-0000-0000-0000D9060000}"/>
    <cellStyle name="標準 86 3 4" xfId="1706" xr:uid="{00000000-0005-0000-0000-0000DA060000}"/>
    <cellStyle name="標準 86 4" xfId="1707" xr:uid="{00000000-0005-0000-0000-0000DB060000}"/>
    <cellStyle name="標準 86 5" xfId="1708" xr:uid="{00000000-0005-0000-0000-0000DC060000}"/>
    <cellStyle name="標準 86 6" xfId="1709" xr:uid="{00000000-0005-0000-0000-0000DD060000}"/>
    <cellStyle name="標準 87" xfId="1710" xr:uid="{00000000-0005-0000-0000-0000DE060000}"/>
    <cellStyle name="標準 87 2" xfId="1711" xr:uid="{00000000-0005-0000-0000-0000DF060000}"/>
    <cellStyle name="標準 87 2 2" xfId="1712" xr:uid="{00000000-0005-0000-0000-0000E0060000}"/>
    <cellStyle name="標準 87 2 2 2" xfId="1713" xr:uid="{00000000-0005-0000-0000-0000E1060000}"/>
    <cellStyle name="標準 87 2 2 3" xfId="1714" xr:uid="{00000000-0005-0000-0000-0000E2060000}"/>
    <cellStyle name="標準 87 2 2 4" xfId="1715" xr:uid="{00000000-0005-0000-0000-0000E3060000}"/>
    <cellStyle name="標準 87 2 3" xfId="1716" xr:uid="{00000000-0005-0000-0000-0000E4060000}"/>
    <cellStyle name="標準 87 2 4" xfId="1717" xr:uid="{00000000-0005-0000-0000-0000E5060000}"/>
    <cellStyle name="標準 87 2 5" xfId="1718" xr:uid="{00000000-0005-0000-0000-0000E6060000}"/>
    <cellStyle name="標準 87 3" xfId="1719" xr:uid="{00000000-0005-0000-0000-0000E7060000}"/>
    <cellStyle name="標準 87 3 2" xfId="1720" xr:uid="{00000000-0005-0000-0000-0000E8060000}"/>
    <cellStyle name="標準 87 3 3" xfId="1721" xr:uid="{00000000-0005-0000-0000-0000E9060000}"/>
    <cellStyle name="標準 87 3 4" xfId="1722" xr:uid="{00000000-0005-0000-0000-0000EA060000}"/>
    <cellStyle name="標準 87 4" xfId="1723" xr:uid="{00000000-0005-0000-0000-0000EB060000}"/>
    <cellStyle name="標準 87 5" xfId="1724" xr:uid="{00000000-0005-0000-0000-0000EC060000}"/>
    <cellStyle name="標準 87 6" xfId="1725" xr:uid="{00000000-0005-0000-0000-0000ED060000}"/>
    <cellStyle name="標準 88" xfId="1726" xr:uid="{00000000-0005-0000-0000-0000EE060000}"/>
    <cellStyle name="標準 88 2" xfId="1727" xr:uid="{00000000-0005-0000-0000-0000EF060000}"/>
    <cellStyle name="標準 88 2 2" xfId="1728" xr:uid="{00000000-0005-0000-0000-0000F0060000}"/>
    <cellStyle name="標準 88 2 2 2" xfId="1729" xr:uid="{00000000-0005-0000-0000-0000F1060000}"/>
    <cellStyle name="標準 88 2 2 3" xfId="1730" xr:uid="{00000000-0005-0000-0000-0000F2060000}"/>
    <cellStyle name="標準 88 2 2 4" xfId="1731" xr:uid="{00000000-0005-0000-0000-0000F3060000}"/>
    <cellStyle name="標準 88 2 3" xfId="1732" xr:uid="{00000000-0005-0000-0000-0000F4060000}"/>
    <cellStyle name="標準 88 2 4" xfId="1733" xr:uid="{00000000-0005-0000-0000-0000F5060000}"/>
    <cellStyle name="標準 88 2 5" xfId="1734" xr:uid="{00000000-0005-0000-0000-0000F6060000}"/>
    <cellStyle name="標準 88 3" xfId="1735" xr:uid="{00000000-0005-0000-0000-0000F7060000}"/>
    <cellStyle name="標準 88 3 2" xfId="1736" xr:uid="{00000000-0005-0000-0000-0000F8060000}"/>
    <cellStyle name="標準 88 3 3" xfId="1737" xr:uid="{00000000-0005-0000-0000-0000F9060000}"/>
    <cellStyle name="標準 88 3 4" xfId="1738" xr:uid="{00000000-0005-0000-0000-0000FA060000}"/>
    <cellStyle name="標準 88 4" xfId="1739" xr:uid="{00000000-0005-0000-0000-0000FB060000}"/>
    <cellStyle name="標準 88 5" xfId="1740" xr:uid="{00000000-0005-0000-0000-0000FC060000}"/>
    <cellStyle name="標準 88 6" xfId="1741" xr:uid="{00000000-0005-0000-0000-0000FD060000}"/>
    <cellStyle name="標準 89" xfId="1742" xr:uid="{00000000-0005-0000-0000-0000FE060000}"/>
    <cellStyle name="標準 89 2" xfId="1743" xr:uid="{00000000-0005-0000-0000-0000FF060000}"/>
    <cellStyle name="標準 89 2 2" xfId="1744" xr:uid="{00000000-0005-0000-0000-000000070000}"/>
    <cellStyle name="標準 89 2 2 2" xfId="1745" xr:uid="{00000000-0005-0000-0000-000001070000}"/>
    <cellStyle name="標準 89 2 2 3" xfId="1746" xr:uid="{00000000-0005-0000-0000-000002070000}"/>
    <cellStyle name="標準 89 2 2 4" xfId="1747" xr:uid="{00000000-0005-0000-0000-000003070000}"/>
    <cellStyle name="標準 89 2 3" xfId="1748" xr:uid="{00000000-0005-0000-0000-000004070000}"/>
    <cellStyle name="標準 89 2 4" xfId="1749" xr:uid="{00000000-0005-0000-0000-000005070000}"/>
    <cellStyle name="標準 89 2 5" xfId="1750" xr:uid="{00000000-0005-0000-0000-000006070000}"/>
    <cellStyle name="標準 89 3" xfId="1751" xr:uid="{00000000-0005-0000-0000-000007070000}"/>
    <cellStyle name="標準 89 3 2" xfId="1752" xr:uid="{00000000-0005-0000-0000-000008070000}"/>
    <cellStyle name="標準 89 3 3" xfId="1753" xr:uid="{00000000-0005-0000-0000-000009070000}"/>
    <cellStyle name="標準 89 3 4" xfId="1754" xr:uid="{00000000-0005-0000-0000-00000A070000}"/>
    <cellStyle name="標準 89 4" xfId="1755" xr:uid="{00000000-0005-0000-0000-00000B070000}"/>
    <cellStyle name="標準 89 5" xfId="1756" xr:uid="{00000000-0005-0000-0000-00000C070000}"/>
    <cellStyle name="標準 89 6" xfId="1757" xr:uid="{00000000-0005-0000-0000-00000D070000}"/>
    <cellStyle name="標準 9" xfId="1758" xr:uid="{00000000-0005-0000-0000-00000E070000}"/>
    <cellStyle name="標準 9 2" xfId="1759" xr:uid="{00000000-0005-0000-0000-00000F070000}"/>
    <cellStyle name="標準 9 3" xfId="1760" xr:uid="{00000000-0005-0000-0000-000010070000}"/>
    <cellStyle name="標準 90" xfId="1761" xr:uid="{00000000-0005-0000-0000-000011070000}"/>
    <cellStyle name="標準 90 2" xfId="1762" xr:uid="{00000000-0005-0000-0000-000012070000}"/>
    <cellStyle name="標準 90 2 2" xfId="1763" xr:uid="{00000000-0005-0000-0000-000013070000}"/>
    <cellStyle name="標準 90 2 2 2" xfId="1764" xr:uid="{00000000-0005-0000-0000-000014070000}"/>
    <cellStyle name="標準 90 2 2 3" xfId="1765" xr:uid="{00000000-0005-0000-0000-000015070000}"/>
    <cellStyle name="標準 90 2 2 4" xfId="1766" xr:uid="{00000000-0005-0000-0000-000016070000}"/>
    <cellStyle name="標準 90 2 3" xfId="1767" xr:uid="{00000000-0005-0000-0000-000017070000}"/>
    <cellStyle name="標準 90 2 4" xfId="1768" xr:uid="{00000000-0005-0000-0000-000018070000}"/>
    <cellStyle name="標準 90 2 5" xfId="1769" xr:uid="{00000000-0005-0000-0000-000019070000}"/>
    <cellStyle name="標準 90 3" xfId="1770" xr:uid="{00000000-0005-0000-0000-00001A070000}"/>
    <cellStyle name="標準 90 3 2" xfId="1771" xr:uid="{00000000-0005-0000-0000-00001B070000}"/>
    <cellStyle name="標準 90 3 3" xfId="1772" xr:uid="{00000000-0005-0000-0000-00001C070000}"/>
    <cellStyle name="標準 90 3 4" xfId="1773" xr:uid="{00000000-0005-0000-0000-00001D070000}"/>
    <cellStyle name="標準 90 4" xfId="1774" xr:uid="{00000000-0005-0000-0000-00001E070000}"/>
    <cellStyle name="標準 90 5" xfId="1775" xr:uid="{00000000-0005-0000-0000-00001F070000}"/>
    <cellStyle name="標準 90 6" xfId="1776" xr:uid="{00000000-0005-0000-0000-000020070000}"/>
    <cellStyle name="標準 91" xfId="1777" xr:uid="{00000000-0005-0000-0000-000021070000}"/>
    <cellStyle name="標準 91 2" xfId="1778" xr:uid="{00000000-0005-0000-0000-000022070000}"/>
    <cellStyle name="標準 91 2 2" xfId="1779" xr:uid="{00000000-0005-0000-0000-000023070000}"/>
    <cellStyle name="標準 91 2 2 2" xfId="1780" xr:uid="{00000000-0005-0000-0000-000024070000}"/>
    <cellStyle name="標準 91 2 2 3" xfId="1781" xr:uid="{00000000-0005-0000-0000-000025070000}"/>
    <cellStyle name="標準 91 2 2 4" xfId="1782" xr:uid="{00000000-0005-0000-0000-000026070000}"/>
    <cellStyle name="標準 91 2 3" xfId="1783" xr:uid="{00000000-0005-0000-0000-000027070000}"/>
    <cellStyle name="標準 91 2 4" xfId="1784" xr:uid="{00000000-0005-0000-0000-000028070000}"/>
    <cellStyle name="標準 91 2 5" xfId="1785" xr:uid="{00000000-0005-0000-0000-000029070000}"/>
    <cellStyle name="標準 91 3" xfId="1786" xr:uid="{00000000-0005-0000-0000-00002A070000}"/>
    <cellStyle name="標準 91 3 2" xfId="1787" xr:uid="{00000000-0005-0000-0000-00002B070000}"/>
    <cellStyle name="標準 91 3 3" xfId="1788" xr:uid="{00000000-0005-0000-0000-00002C070000}"/>
    <cellStyle name="標準 91 3 4" xfId="1789" xr:uid="{00000000-0005-0000-0000-00002D070000}"/>
    <cellStyle name="標準 91 4" xfId="1790" xr:uid="{00000000-0005-0000-0000-00002E070000}"/>
    <cellStyle name="標準 91 5" xfId="1791" xr:uid="{00000000-0005-0000-0000-00002F070000}"/>
    <cellStyle name="標準 91 6" xfId="1792" xr:uid="{00000000-0005-0000-0000-000030070000}"/>
    <cellStyle name="標準 92" xfId="1793" xr:uid="{00000000-0005-0000-0000-000031070000}"/>
    <cellStyle name="標準 92 2" xfId="1794" xr:uid="{00000000-0005-0000-0000-000032070000}"/>
    <cellStyle name="標準 92 2 2" xfId="1795" xr:uid="{00000000-0005-0000-0000-000033070000}"/>
    <cellStyle name="標準 92 2 2 2" xfId="1796" xr:uid="{00000000-0005-0000-0000-000034070000}"/>
    <cellStyle name="標準 92 2 2 3" xfId="1797" xr:uid="{00000000-0005-0000-0000-000035070000}"/>
    <cellStyle name="標準 92 2 2 4" xfId="1798" xr:uid="{00000000-0005-0000-0000-000036070000}"/>
    <cellStyle name="標準 92 2 3" xfId="1799" xr:uid="{00000000-0005-0000-0000-000037070000}"/>
    <cellStyle name="標準 92 2 4" xfId="1800" xr:uid="{00000000-0005-0000-0000-000038070000}"/>
    <cellStyle name="標準 92 2 5" xfId="1801" xr:uid="{00000000-0005-0000-0000-000039070000}"/>
    <cellStyle name="標準 92 3" xfId="1802" xr:uid="{00000000-0005-0000-0000-00003A070000}"/>
    <cellStyle name="標準 92 3 2" xfId="1803" xr:uid="{00000000-0005-0000-0000-00003B070000}"/>
    <cellStyle name="標準 92 3 3" xfId="1804" xr:uid="{00000000-0005-0000-0000-00003C070000}"/>
    <cellStyle name="標準 92 3 4" xfId="1805" xr:uid="{00000000-0005-0000-0000-00003D070000}"/>
    <cellStyle name="標準 92 4" xfId="1806" xr:uid="{00000000-0005-0000-0000-00003E070000}"/>
    <cellStyle name="標準 92 5" xfId="1807" xr:uid="{00000000-0005-0000-0000-00003F070000}"/>
    <cellStyle name="標準 92 6" xfId="1808" xr:uid="{00000000-0005-0000-0000-000040070000}"/>
    <cellStyle name="標準 93" xfId="1809" xr:uid="{00000000-0005-0000-0000-000041070000}"/>
    <cellStyle name="標準 93 2" xfId="1810" xr:uid="{00000000-0005-0000-0000-000042070000}"/>
    <cellStyle name="標準 93 2 2" xfId="1811" xr:uid="{00000000-0005-0000-0000-000043070000}"/>
    <cellStyle name="標準 93 2 2 2" xfId="1812" xr:uid="{00000000-0005-0000-0000-000044070000}"/>
    <cellStyle name="標準 93 2 2 3" xfId="1813" xr:uid="{00000000-0005-0000-0000-000045070000}"/>
    <cellStyle name="標準 93 2 2 4" xfId="1814" xr:uid="{00000000-0005-0000-0000-000046070000}"/>
    <cellStyle name="標準 93 2 3" xfId="1815" xr:uid="{00000000-0005-0000-0000-000047070000}"/>
    <cellStyle name="標準 93 2 4" xfId="1816" xr:uid="{00000000-0005-0000-0000-000048070000}"/>
    <cellStyle name="標準 93 2 5" xfId="1817" xr:uid="{00000000-0005-0000-0000-000049070000}"/>
    <cellStyle name="標準 93 3" xfId="1818" xr:uid="{00000000-0005-0000-0000-00004A070000}"/>
    <cellStyle name="標準 93 3 2" xfId="1819" xr:uid="{00000000-0005-0000-0000-00004B070000}"/>
    <cellStyle name="標準 93 3 3" xfId="1820" xr:uid="{00000000-0005-0000-0000-00004C070000}"/>
    <cellStyle name="標準 93 3 4" xfId="1821" xr:uid="{00000000-0005-0000-0000-00004D070000}"/>
    <cellStyle name="標準 93 4" xfId="1822" xr:uid="{00000000-0005-0000-0000-00004E070000}"/>
    <cellStyle name="標準 93 5" xfId="1823" xr:uid="{00000000-0005-0000-0000-00004F070000}"/>
    <cellStyle name="標準 93 6" xfId="1824" xr:uid="{00000000-0005-0000-0000-000050070000}"/>
    <cellStyle name="標準 94" xfId="1825" xr:uid="{00000000-0005-0000-0000-000051070000}"/>
    <cellStyle name="標準 94 2" xfId="1826" xr:uid="{00000000-0005-0000-0000-000052070000}"/>
    <cellStyle name="標準 94 2 2" xfId="1827" xr:uid="{00000000-0005-0000-0000-000053070000}"/>
    <cellStyle name="標準 94 2 2 2" xfId="1828" xr:uid="{00000000-0005-0000-0000-000054070000}"/>
    <cellStyle name="標準 94 2 2 3" xfId="1829" xr:uid="{00000000-0005-0000-0000-000055070000}"/>
    <cellStyle name="標準 94 2 2 4" xfId="1830" xr:uid="{00000000-0005-0000-0000-000056070000}"/>
    <cellStyle name="標準 94 2 3" xfId="1831" xr:uid="{00000000-0005-0000-0000-000057070000}"/>
    <cellStyle name="標準 94 2 4" xfId="1832" xr:uid="{00000000-0005-0000-0000-000058070000}"/>
    <cellStyle name="標準 94 2 5" xfId="1833" xr:uid="{00000000-0005-0000-0000-000059070000}"/>
    <cellStyle name="標準 94 3" xfId="1834" xr:uid="{00000000-0005-0000-0000-00005A070000}"/>
    <cellStyle name="標準 94 3 2" xfId="1835" xr:uid="{00000000-0005-0000-0000-00005B070000}"/>
    <cellStyle name="標準 94 3 3" xfId="1836" xr:uid="{00000000-0005-0000-0000-00005C070000}"/>
    <cellStyle name="標準 94 3 4" xfId="1837" xr:uid="{00000000-0005-0000-0000-00005D070000}"/>
    <cellStyle name="標準 94 4" xfId="1838" xr:uid="{00000000-0005-0000-0000-00005E070000}"/>
    <cellStyle name="標準 94 5" xfId="1839" xr:uid="{00000000-0005-0000-0000-00005F070000}"/>
    <cellStyle name="標準 94 6" xfId="1840" xr:uid="{00000000-0005-0000-0000-000060070000}"/>
    <cellStyle name="標準 95" xfId="1841" xr:uid="{00000000-0005-0000-0000-000061070000}"/>
    <cellStyle name="標準 95 2" xfId="1842" xr:uid="{00000000-0005-0000-0000-000062070000}"/>
    <cellStyle name="標準 95 2 2" xfId="1843" xr:uid="{00000000-0005-0000-0000-000063070000}"/>
    <cellStyle name="標準 95 2 2 2" xfId="1844" xr:uid="{00000000-0005-0000-0000-000064070000}"/>
    <cellStyle name="標準 95 2 2 3" xfId="1845" xr:uid="{00000000-0005-0000-0000-000065070000}"/>
    <cellStyle name="標準 95 2 2 4" xfId="1846" xr:uid="{00000000-0005-0000-0000-000066070000}"/>
    <cellStyle name="標準 95 2 3" xfId="1847" xr:uid="{00000000-0005-0000-0000-000067070000}"/>
    <cellStyle name="標準 95 2 4" xfId="1848" xr:uid="{00000000-0005-0000-0000-000068070000}"/>
    <cellStyle name="標準 95 2 5" xfId="1849" xr:uid="{00000000-0005-0000-0000-000069070000}"/>
    <cellStyle name="標準 95 3" xfId="1850" xr:uid="{00000000-0005-0000-0000-00006A070000}"/>
    <cellStyle name="標準 95 3 2" xfId="1851" xr:uid="{00000000-0005-0000-0000-00006B070000}"/>
    <cellStyle name="標準 95 3 3" xfId="1852" xr:uid="{00000000-0005-0000-0000-00006C070000}"/>
    <cellStyle name="標準 95 3 4" xfId="1853" xr:uid="{00000000-0005-0000-0000-00006D070000}"/>
    <cellStyle name="標準 95 4" xfId="1854" xr:uid="{00000000-0005-0000-0000-00006E070000}"/>
    <cellStyle name="標準 95 5" xfId="1855" xr:uid="{00000000-0005-0000-0000-00006F070000}"/>
    <cellStyle name="標準 95 6" xfId="1856" xr:uid="{00000000-0005-0000-0000-000070070000}"/>
    <cellStyle name="標準 96" xfId="1857" xr:uid="{00000000-0005-0000-0000-000071070000}"/>
    <cellStyle name="標準 96 2" xfId="1858" xr:uid="{00000000-0005-0000-0000-000072070000}"/>
    <cellStyle name="標準 96 2 2" xfId="1859" xr:uid="{00000000-0005-0000-0000-000073070000}"/>
    <cellStyle name="標準 96 2 2 2" xfId="1860" xr:uid="{00000000-0005-0000-0000-000074070000}"/>
    <cellStyle name="標準 96 2 2 3" xfId="1861" xr:uid="{00000000-0005-0000-0000-000075070000}"/>
    <cellStyle name="標準 96 2 2 4" xfId="1862" xr:uid="{00000000-0005-0000-0000-000076070000}"/>
    <cellStyle name="標準 96 2 3" xfId="1863" xr:uid="{00000000-0005-0000-0000-000077070000}"/>
    <cellStyle name="標準 96 2 4" xfId="1864" xr:uid="{00000000-0005-0000-0000-000078070000}"/>
    <cellStyle name="標準 96 2 5" xfId="1865" xr:uid="{00000000-0005-0000-0000-000079070000}"/>
    <cellStyle name="標準 96 3" xfId="1866" xr:uid="{00000000-0005-0000-0000-00007A070000}"/>
    <cellStyle name="標準 96 3 2" xfId="1867" xr:uid="{00000000-0005-0000-0000-00007B070000}"/>
    <cellStyle name="標準 96 3 3" xfId="1868" xr:uid="{00000000-0005-0000-0000-00007C070000}"/>
    <cellStyle name="標準 96 3 4" xfId="1869" xr:uid="{00000000-0005-0000-0000-00007D070000}"/>
    <cellStyle name="標準 96 4" xfId="1870" xr:uid="{00000000-0005-0000-0000-00007E070000}"/>
    <cellStyle name="標準 96 5" xfId="1871" xr:uid="{00000000-0005-0000-0000-00007F070000}"/>
    <cellStyle name="標準 96 6" xfId="1872" xr:uid="{00000000-0005-0000-0000-000080070000}"/>
    <cellStyle name="標準 97" xfId="1873" xr:uid="{00000000-0005-0000-0000-000081070000}"/>
    <cellStyle name="標準 97 2" xfId="1874" xr:uid="{00000000-0005-0000-0000-000082070000}"/>
    <cellStyle name="標準 97 2 2" xfId="1875" xr:uid="{00000000-0005-0000-0000-000083070000}"/>
    <cellStyle name="標準 97 2 2 2" xfId="1876" xr:uid="{00000000-0005-0000-0000-000084070000}"/>
    <cellStyle name="標準 97 2 2 3" xfId="1877" xr:uid="{00000000-0005-0000-0000-000085070000}"/>
    <cellStyle name="標準 97 2 2 4" xfId="1878" xr:uid="{00000000-0005-0000-0000-000086070000}"/>
    <cellStyle name="標準 97 2 3" xfId="1879" xr:uid="{00000000-0005-0000-0000-000087070000}"/>
    <cellStyle name="標準 97 2 4" xfId="1880" xr:uid="{00000000-0005-0000-0000-000088070000}"/>
    <cellStyle name="標準 97 2 5" xfId="1881" xr:uid="{00000000-0005-0000-0000-000089070000}"/>
    <cellStyle name="標準 97 3" xfId="1882" xr:uid="{00000000-0005-0000-0000-00008A070000}"/>
    <cellStyle name="標準 97 3 2" xfId="1883" xr:uid="{00000000-0005-0000-0000-00008B070000}"/>
    <cellStyle name="標準 97 3 3" xfId="1884" xr:uid="{00000000-0005-0000-0000-00008C070000}"/>
    <cellStyle name="標準 97 3 4" xfId="1885" xr:uid="{00000000-0005-0000-0000-00008D070000}"/>
    <cellStyle name="標準 97 4" xfId="1886" xr:uid="{00000000-0005-0000-0000-00008E070000}"/>
    <cellStyle name="標準 97 5" xfId="1887" xr:uid="{00000000-0005-0000-0000-00008F070000}"/>
    <cellStyle name="標準 97 6" xfId="1888" xr:uid="{00000000-0005-0000-0000-000090070000}"/>
    <cellStyle name="標準 98" xfId="1889" xr:uid="{00000000-0005-0000-0000-000091070000}"/>
    <cellStyle name="標準 98 2" xfId="1890" xr:uid="{00000000-0005-0000-0000-000092070000}"/>
    <cellStyle name="標準 98 2 2" xfId="1891" xr:uid="{00000000-0005-0000-0000-000093070000}"/>
    <cellStyle name="標準 98 2 2 2" xfId="1892" xr:uid="{00000000-0005-0000-0000-000094070000}"/>
    <cellStyle name="標準 98 2 2 3" xfId="1893" xr:uid="{00000000-0005-0000-0000-000095070000}"/>
    <cellStyle name="標準 98 2 2 4" xfId="1894" xr:uid="{00000000-0005-0000-0000-000096070000}"/>
    <cellStyle name="標準 98 2 3" xfId="1895" xr:uid="{00000000-0005-0000-0000-000097070000}"/>
    <cellStyle name="標準 98 2 4" xfId="1896" xr:uid="{00000000-0005-0000-0000-000098070000}"/>
    <cellStyle name="標準 98 2 5" xfId="1897" xr:uid="{00000000-0005-0000-0000-000099070000}"/>
    <cellStyle name="標準 98 3" xfId="1898" xr:uid="{00000000-0005-0000-0000-00009A070000}"/>
    <cellStyle name="標準 98 3 2" xfId="1899" xr:uid="{00000000-0005-0000-0000-00009B070000}"/>
    <cellStyle name="標準 98 3 3" xfId="1900" xr:uid="{00000000-0005-0000-0000-00009C070000}"/>
    <cellStyle name="標準 98 3 4" xfId="1901" xr:uid="{00000000-0005-0000-0000-00009D070000}"/>
    <cellStyle name="標準 98 4" xfId="1902" xr:uid="{00000000-0005-0000-0000-00009E070000}"/>
    <cellStyle name="標準 98 5" xfId="1903" xr:uid="{00000000-0005-0000-0000-00009F070000}"/>
    <cellStyle name="標準 98 6" xfId="1904" xr:uid="{00000000-0005-0000-0000-0000A0070000}"/>
    <cellStyle name="標準 99" xfId="1905" xr:uid="{00000000-0005-0000-0000-0000A1070000}"/>
    <cellStyle name="標準 99 2" xfId="1906" xr:uid="{00000000-0005-0000-0000-0000A2070000}"/>
    <cellStyle name="標準 99 2 2" xfId="1907" xr:uid="{00000000-0005-0000-0000-0000A3070000}"/>
    <cellStyle name="標準 99 2 2 2" xfId="1908" xr:uid="{00000000-0005-0000-0000-0000A4070000}"/>
    <cellStyle name="標準 99 2 2 3" xfId="1909" xr:uid="{00000000-0005-0000-0000-0000A5070000}"/>
    <cellStyle name="標準 99 2 2 4" xfId="1910" xr:uid="{00000000-0005-0000-0000-0000A6070000}"/>
    <cellStyle name="標準 99 2 3" xfId="1911" xr:uid="{00000000-0005-0000-0000-0000A7070000}"/>
    <cellStyle name="標準 99 2 4" xfId="1912" xr:uid="{00000000-0005-0000-0000-0000A8070000}"/>
    <cellStyle name="標準 99 2 5" xfId="1913" xr:uid="{00000000-0005-0000-0000-0000A9070000}"/>
    <cellStyle name="標準 99 3" xfId="1914" xr:uid="{00000000-0005-0000-0000-0000AA070000}"/>
    <cellStyle name="標準 99 3 2" xfId="1915" xr:uid="{00000000-0005-0000-0000-0000AB070000}"/>
    <cellStyle name="標準 99 3 3" xfId="1916" xr:uid="{00000000-0005-0000-0000-0000AC070000}"/>
    <cellStyle name="標準 99 3 4" xfId="1917" xr:uid="{00000000-0005-0000-0000-0000AD070000}"/>
    <cellStyle name="標準 99 4" xfId="1918" xr:uid="{00000000-0005-0000-0000-0000AE070000}"/>
    <cellStyle name="標準 99 5" xfId="1919" xr:uid="{00000000-0005-0000-0000-0000AF070000}"/>
    <cellStyle name="標準 99 6" xfId="1920" xr:uid="{00000000-0005-0000-0000-0000B0070000}"/>
    <cellStyle name="標準１" xfId="1921" xr:uid="{00000000-0005-0000-0000-0000B1070000}"/>
    <cellStyle name="標準10" xfId="1922" xr:uid="{00000000-0005-0000-0000-0000B2070000}"/>
    <cellStyle name="標準12" xfId="1923" xr:uid="{00000000-0005-0000-0000-0000B3070000}"/>
    <cellStyle name="文字列" xfId="1924" xr:uid="{00000000-0005-0000-0000-0000B4070000}"/>
    <cellStyle name="未定義" xfId="1925" xr:uid="{00000000-0005-0000-0000-0000B5070000}"/>
    <cellStyle name="未定義 2" xfId="1926" xr:uid="{00000000-0005-0000-0000-0000B6070000}"/>
    <cellStyle name="未定義 3" xfId="1927" xr:uid="{00000000-0005-0000-0000-0000B7070000}"/>
    <cellStyle name="未定義_030_上場有価証券総括表_詳細設計書_府令改正対応" xfId="1928" xr:uid="{00000000-0005-0000-0000-0000B8070000}"/>
    <cellStyle name="良い 2" xfId="1929" xr:uid="{00000000-0005-0000-0000-0000B9070000}"/>
    <cellStyle name="良い 3" xfId="1930" xr:uid="{00000000-0005-0000-0000-0000BA070000}"/>
    <cellStyle name="良い 4" xfId="1931" xr:uid="{00000000-0005-0000-0000-0000BB070000}"/>
    <cellStyle name="良い 5" xfId="1932" xr:uid="{00000000-0005-0000-0000-0000BC070000}"/>
    <cellStyle name="良い 6" xfId="1933" xr:uid="{00000000-0005-0000-0000-0000BD070000}"/>
    <cellStyle name="良い 7" xfId="1934" xr:uid="{00000000-0005-0000-0000-0000BE070000}"/>
    <cellStyle name="良い 8" xfId="1935" xr:uid="{00000000-0005-0000-0000-0000BF070000}"/>
    <cellStyle name="良い 9" xfId="1936" xr:uid="{00000000-0005-0000-0000-0000C0070000}"/>
    <cellStyle name="표준_4.3.1_取引処理（取引処理制御１－１）" xfId="1937" xr:uid="{00000000-0005-0000-0000-0000C1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8149-9DFA-474D-96EA-8792B348EC71}">
  <sheetPr>
    <pageSetUpPr fitToPage="1"/>
  </sheetPr>
  <dimension ref="A1:X265"/>
  <sheetViews>
    <sheetView showGridLines="0" tabSelected="1" view="pageBreakPreview" zoomScaleNormal="70" zoomScaleSheetLayoutView="100" workbookViewId="0">
      <pane ySplit="6" topLeftCell="A7" activePane="bottomLeft" state="frozen"/>
      <selection pane="bottomLeft"/>
    </sheetView>
  </sheetViews>
  <sheetFormatPr defaultRowHeight="13.5"/>
  <cols>
    <col min="1" max="1" width="13.125" style="1" bestFit="1" customWidth="1"/>
    <col min="2" max="2" width="10.75" style="1" bestFit="1" customWidth="1"/>
    <col min="3" max="4" width="27.625" style="1" customWidth="1"/>
    <col min="5" max="5" width="13.75" style="1" bestFit="1" customWidth="1"/>
    <col min="6" max="6" width="20.75" style="1" bestFit="1" customWidth="1"/>
    <col min="7" max="7" width="11.25" style="1" customWidth="1"/>
    <col min="8" max="8" width="8.75" style="1" bestFit="1" customWidth="1"/>
    <col min="9" max="9" width="11.75" style="1" bestFit="1" customWidth="1"/>
    <col min="10" max="10" width="12.625" style="1" bestFit="1" customWidth="1"/>
    <col min="11" max="11" width="16.25" style="1" customWidth="1"/>
    <col min="12" max="12" width="5.625" style="1" bestFit="1" customWidth="1"/>
    <col min="13" max="13" width="16.25" style="1" customWidth="1"/>
    <col min="14" max="14" width="5.625" style="1" bestFit="1" customWidth="1"/>
    <col min="15" max="15" width="16.25" style="1" customWidth="1"/>
    <col min="16" max="16" width="5.625" style="1" bestFit="1" customWidth="1"/>
    <col min="17" max="17" width="16.25" style="1" customWidth="1"/>
    <col min="18" max="18" width="5.625" style="1" bestFit="1" customWidth="1"/>
    <col min="19" max="19" width="23.875" style="1" bestFit="1" customWidth="1"/>
    <col min="20" max="20" width="16.25" style="1" customWidth="1"/>
    <col min="21" max="21" width="24.125" style="1" customWidth="1"/>
    <col min="22" max="22" width="19.875" style="1" bestFit="1" customWidth="1"/>
    <col min="23" max="23" width="25" style="1" bestFit="1" customWidth="1"/>
    <col min="24" max="24" width="13.12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934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1851</f>
        <v>1851</v>
      </c>
      <c r="L7" s="67" t="s">
        <v>840</v>
      </c>
      <c r="M7" s="66">
        <f>1914</f>
        <v>1914</v>
      </c>
      <c r="N7" s="67" t="s">
        <v>245</v>
      </c>
      <c r="O7" s="66">
        <f>1841</f>
        <v>1841</v>
      </c>
      <c r="P7" s="67" t="s">
        <v>65</v>
      </c>
      <c r="Q7" s="66">
        <f>1897</f>
        <v>1897</v>
      </c>
      <c r="R7" s="67" t="s">
        <v>50</v>
      </c>
      <c r="S7" s="68">
        <f>1870.14</f>
        <v>1870.14</v>
      </c>
      <c r="T7" s="65">
        <f>5187660</f>
        <v>5187660</v>
      </c>
      <c r="U7" s="65">
        <f>272010</f>
        <v>272010</v>
      </c>
      <c r="V7" s="65">
        <f>9705785245</f>
        <v>9705785245</v>
      </c>
      <c r="W7" s="65">
        <f>512113865</f>
        <v>512113865</v>
      </c>
      <c r="X7" s="69">
        <f>22</f>
        <v>22</v>
      </c>
    </row>
    <row r="8" spans="1:24">
      <c r="A8" s="60" t="s">
        <v>934</v>
      </c>
      <c r="B8" s="60" t="s">
        <v>52</v>
      </c>
      <c r="C8" s="60" t="s">
        <v>873</v>
      </c>
      <c r="D8" s="60" t="s">
        <v>874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1831</f>
        <v>1831</v>
      </c>
      <c r="L8" s="67" t="s">
        <v>840</v>
      </c>
      <c r="M8" s="66">
        <f>1891</f>
        <v>1891</v>
      </c>
      <c r="N8" s="67" t="s">
        <v>245</v>
      </c>
      <c r="O8" s="66">
        <f>1819</f>
        <v>1819</v>
      </c>
      <c r="P8" s="67" t="s">
        <v>65</v>
      </c>
      <c r="Q8" s="66">
        <f>1875</f>
        <v>1875</v>
      </c>
      <c r="R8" s="67" t="s">
        <v>50</v>
      </c>
      <c r="S8" s="68">
        <f>1849.45</f>
        <v>1849.45</v>
      </c>
      <c r="T8" s="65">
        <f>71621240</f>
        <v>71621240</v>
      </c>
      <c r="U8" s="65">
        <f>34221770</f>
        <v>34221770</v>
      </c>
      <c r="V8" s="65">
        <f>132148920768</f>
        <v>132148920768</v>
      </c>
      <c r="W8" s="65">
        <f>63082308568</f>
        <v>63082308568</v>
      </c>
      <c r="X8" s="69">
        <f>22</f>
        <v>22</v>
      </c>
    </row>
    <row r="9" spans="1:24">
      <c r="A9" s="60" t="s">
        <v>934</v>
      </c>
      <c r="B9" s="60" t="s">
        <v>55</v>
      </c>
      <c r="C9" s="60" t="s">
        <v>56</v>
      </c>
      <c r="D9" s="60" t="s">
        <v>57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1811</f>
        <v>1811</v>
      </c>
      <c r="L9" s="67" t="s">
        <v>840</v>
      </c>
      <c r="M9" s="66">
        <f>1870</f>
        <v>1870</v>
      </c>
      <c r="N9" s="67" t="s">
        <v>245</v>
      </c>
      <c r="O9" s="66">
        <f>1800</f>
        <v>1800</v>
      </c>
      <c r="P9" s="67" t="s">
        <v>65</v>
      </c>
      <c r="Q9" s="66">
        <f>1857</f>
        <v>1857</v>
      </c>
      <c r="R9" s="67" t="s">
        <v>50</v>
      </c>
      <c r="S9" s="68">
        <f>1829.86</f>
        <v>1829.86</v>
      </c>
      <c r="T9" s="65">
        <f>13267000</f>
        <v>13267000</v>
      </c>
      <c r="U9" s="65">
        <f>6518200</f>
        <v>6518200</v>
      </c>
      <c r="V9" s="65">
        <f>24326970350</f>
        <v>24326970350</v>
      </c>
      <c r="W9" s="65">
        <f>11986967750</f>
        <v>11986967750</v>
      </c>
      <c r="X9" s="69">
        <f>22</f>
        <v>22</v>
      </c>
    </row>
    <row r="10" spans="1:24">
      <c r="A10" s="60" t="s">
        <v>934</v>
      </c>
      <c r="B10" s="60" t="s">
        <v>58</v>
      </c>
      <c r="C10" s="60" t="s">
        <v>59</v>
      </c>
      <c r="D10" s="60" t="s">
        <v>60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41400</f>
        <v>41400</v>
      </c>
      <c r="L10" s="67" t="s">
        <v>840</v>
      </c>
      <c r="M10" s="66">
        <f>43000</f>
        <v>43000</v>
      </c>
      <c r="N10" s="67" t="s">
        <v>100</v>
      </c>
      <c r="O10" s="66">
        <f>41200</f>
        <v>41200</v>
      </c>
      <c r="P10" s="67" t="s">
        <v>99</v>
      </c>
      <c r="Q10" s="66">
        <f>42300</f>
        <v>42300</v>
      </c>
      <c r="R10" s="67" t="s">
        <v>50</v>
      </c>
      <c r="S10" s="68">
        <f>42079.55</f>
        <v>42079.55</v>
      </c>
      <c r="T10" s="65">
        <f>8096</f>
        <v>8096</v>
      </c>
      <c r="U10" s="65" t="str">
        <f>"－"</f>
        <v>－</v>
      </c>
      <c r="V10" s="65">
        <f>340591150</f>
        <v>340591150</v>
      </c>
      <c r="W10" s="65" t="str">
        <f>"－"</f>
        <v>－</v>
      </c>
      <c r="X10" s="69">
        <f>22</f>
        <v>22</v>
      </c>
    </row>
    <row r="11" spans="1:24">
      <c r="A11" s="60" t="s">
        <v>934</v>
      </c>
      <c r="B11" s="60" t="s">
        <v>62</v>
      </c>
      <c r="C11" s="60" t="s">
        <v>875</v>
      </c>
      <c r="D11" s="60" t="s">
        <v>876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804</f>
        <v>804</v>
      </c>
      <c r="L11" s="67" t="s">
        <v>840</v>
      </c>
      <c r="M11" s="66">
        <f>846</f>
        <v>846</v>
      </c>
      <c r="N11" s="67" t="s">
        <v>245</v>
      </c>
      <c r="O11" s="66">
        <f>794</f>
        <v>794</v>
      </c>
      <c r="P11" s="67" t="s">
        <v>65</v>
      </c>
      <c r="Q11" s="66">
        <f>841</f>
        <v>841</v>
      </c>
      <c r="R11" s="67" t="s">
        <v>50</v>
      </c>
      <c r="S11" s="68">
        <f>817.64</f>
        <v>817.64</v>
      </c>
      <c r="T11" s="65">
        <f>136330</f>
        <v>136330</v>
      </c>
      <c r="U11" s="65" t="str">
        <f>"－"</f>
        <v>－</v>
      </c>
      <c r="V11" s="65">
        <f>111904920</f>
        <v>111904920</v>
      </c>
      <c r="W11" s="65" t="str">
        <f>"－"</f>
        <v>－</v>
      </c>
      <c r="X11" s="69">
        <f>22</f>
        <v>22</v>
      </c>
    </row>
    <row r="12" spans="1:24">
      <c r="A12" s="60" t="s">
        <v>934</v>
      </c>
      <c r="B12" s="60" t="s">
        <v>66</v>
      </c>
      <c r="C12" s="60" t="s">
        <v>877</v>
      </c>
      <c r="D12" s="60" t="s">
        <v>878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19710</f>
        <v>19710</v>
      </c>
      <c r="L12" s="67" t="s">
        <v>840</v>
      </c>
      <c r="M12" s="66">
        <f>20420</f>
        <v>20420</v>
      </c>
      <c r="N12" s="67" t="s">
        <v>814</v>
      </c>
      <c r="O12" s="66">
        <f>19610</f>
        <v>19610</v>
      </c>
      <c r="P12" s="67" t="s">
        <v>99</v>
      </c>
      <c r="Q12" s="66">
        <f>20250</f>
        <v>20250</v>
      </c>
      <c r="R12" s="67" t="s">
        <v>50</v>
      </c>
      <c r="S12" s="68">
        <f>20041.36</f>
        <v>20041.36</v>
      </c>
      <c r="T12" s="65">
        <f>721</f>
        <v>721</v>
      </c>
      <c r="U12" s="65" t="str">
        <f>"－"</f>
        <v>－</v>
      </c>
      <c r="V12" s="65">
        <f>14419000</f>
        <v>14419000</v>
      </c>
      <c r="W12" s="65" t="str">
        <f>"－"</f>
        <v>－</v>
      </c>
      <c r="X12" s="69">
        <f>22</f>
        <v>22</v>
      </c>
    </row>
    <row r="13" spans="1:24">
      <c r="A13" s="60" t="s">
        <v>934</v>
      </c>
      <c r="B13" s="60" t="s">
        <v>69</v>
      </c>
      <c r="C13" s="60" t="s">
        <v>70</v>
      </c>
      <c r="D13" s="60" t="s">
        <v>71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3320</f>
        <v>3320</v>
      </c>
      <c r="L13" s="67" t="s">
        <v>840</v>
      </c>
      <c r="M13" s="66">
        <f>3735</f>
        <v>3735</v>
      </c>
      <c r="N13" s="67" t="s">
        <v>50</v>
      </c>
      <c r="O13" s="66">
        <f>3305</f>
        <v>3305</v>
      </c>
      <c r="P13" s="67" t="s">
        <v>840</v>
      </c>
      <c r="Q13" s="66">
        <f>3735</f>
        <v>3735</v>
      </c>
      <c r="R13" s="67" t="s">
        <v>50</v>
      </c>
      <c r="S13" s="68">
        <f>3516.36</f>
        <v>3516.36</v>
      </c>
      <c r="T13" s="65">
        <f>4610</f>
        <v>4610</v>
      </c>
      <c r="U13" s="65" t="str">
        <f>"－"</f>
        <v>－</v>
      </c>
      <c r="V13" s="65">
        <f>16247550</f>
        <v>16247550</v>
      </c>
      <c r="W13" s="65" t="str">
        <f>"－"</f>
        <v>－</v>
      </c>
      <c r="X13" s="69">
        <f>22</f>
        <v>22</v>
      </c>
    </row>
    <row r="14" spans="1:24">
      <c r="A14" s="60" t="s">
        <v>934</v>
      </c>
      <c r="B14" s="60" t="s">
        <v>73</v>
      </c>
      <c r="C14" s="60" t="s">
        <v>879</v>
      </c>
      <c r="D14" s="60" t="s">
        <v>880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333</f>
        <v>333</v>
      </c>
      <c r="L14" s="67" t="s">
        <v>840</v>
      </c>
      <c r="M14" s="66">
        <f>341</f>
        <v>341</v>
      </c>
      <c r="N14" s="67" t="s">
        <v>50</v>
      </c>
      <c r="O14" s="66">
        <f>330</f>
        <v>330</v>
      </c>
      <c r="P14" s="67" t="s">
        <v>175</v>
      </c>
      <c r="Q14" s="66">
        <f>339</f>
        <v>339</v>
      </c>
      <c r="R14" s="67" t="s">
        <v>50</v>
      </c>
      <c r="S14" s="68">
        <f>334.62</f>
        <v>334.62</v>
      </c>
      <c r="T14" s="65">
        <f>109000</f>
        <v>109000</v>
      </c>
      <c r="U14" s="65" t="str">
        <f>"－"</f>
        <v>－</v>
      </c>
      <c r="V14" s="65">
        <f>36663000</f>
        <v>36663000</v>
      </c>
      <c r="W14" s="65" t="str">
        <f>"－"</f>
        <v>－</v>
      </c>
      <c r="X14" s="69">
        <f>21</f>
        <v>21</v>
      </c>
    </row>
    <row r="15" spans="1:24">
      <c r="A15" s="60" t="s">
        <v>934</v>
      </c>
      <c r="B15" s="60" t="s">
        <v>76</v>
      </c>
      <c r="C15" s="60" t="s">
        <v>77</v>
      </c>
      <c r="D15" s="60" t="s">
        <v>78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27360</f>
        <v>27360</v>
      </c>
      <c r="L15" s="67" t="s">
        <v>840</v>
      </c>
      <c r="M15" s="66">
        <f>28380</f>
        <v>28380</v>
      </c>
      <c r="N15" s="67" t="s">
        <v>245</v>
      </c>
      <c r="O15" s="66">
        <f>27050</f>
        <v>27050</v>
      </c>
      <c r="P15" s="67" t="s">
        <v>65</v>
      </c>
      <c r="Q15" s="66">
        <f>28260</f>
        <v>28260</v>
      </c>
      <c r="R15" s="67" t="s">
        <v>50</v>
      </c>
      <c r="S15" s="68">
        <f>27511.82</f>
        <v>27511.82</v>
      </c>
      <c r="T15" s="65">
        <f>1989153</f>
        <v>1989153</v>
      </c>
      <c r="U15" s="65">
        <f>922790</f>
        <v>922790</v>
      </c>
      <c r="V15" s="65">
        <f>54547097564</f>
        <v>54547097564</v>
      </c>
      <c r="W15" s="65">
        <f>25255454894</f>
        <v>25255454894</v>
      </c>
      <c r="X15" s="69">
        <f>22</f>
        <v>22</v>
      </c>
    </row>
    <row r="16" spans="1:24">
      <c r="A16" s="60" t="s">
        <v>934</v>
      </c>
      <c r="B16" s="60" t="s">
        <v>80</v>
      </c>
      <c r="C16" s="60" t="s">
        <v>881</v>
      </c>
      <c r="D16" s="60" t="s">
        <v>882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27420</f>
        <v>27420</v>
      </c>
      <c r="L16" s="67" t="s">
        <v>840</v>
      </c>
      <c r="M16" s="66">
        <f>28460</f>
        <v>28460</v>
      </c>
      <c r="N16" s="67" t="s">
        <v>245</v>
      </c>
      <c r="O16" s="66">
        <f>27100</f>
        <v>27100</v>
      </c>
      <c r="P16" s="67" t="s">
        <v>65</v>
      </c>
      <c r="Q16" s="66">
        <f>28340</f>
        <v>28340</v>
      </c>
      <c r="R16" s="67" t="s">
        <v>50</v>
      </c>
      <c r="S16" s="68">
        <f>27570.45</f>
        <v>27570.45</v>
      </c>
      <c r="T16" s="65">
        <f>5386180</f>
        <v>5386180</v>
      </c>
      <c r="U16" s="65">
        <f>671708</f>
        <v>671708</v>
      </c>
      <c r="V16" s="65">
        <f>148503193092</f>
        <v>148503193092</v>
      </c>
      <c r="W16" s="65">
        <f>18517316242</f>
        <v>18517316242</v>
      </c>
      <c r="X16" s="69">
        <f>22</f>
        <v>22</v>
      </c>
    </row>
    <row r="17" spans="1:24">
      <c r="A17" s="60" t="s">
        <v>934</v>
      </c>
      <c r="B17" s="60" t="s">
        <v>83</v>
      </c>
      <c r="C17" s="60" t="s">
        <v>84</v>
      </c>
      <c r="D17" s="60" t="s">
        <v>85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7690</f>
        <v>7690</v>
      </c>
      <c r="L17" s="67" t="s">
        <v>840</v>
      </c>
      <c r="M17" s="66">
        <f>8000</f>
        <v>8000</v>
      </c>
      <c r="N17" s="67" t="s">
        <v>100</v>
      </c>
      <c r="O17" s="66">
        <f>7550</f>
        <v>7550</v>
      </c>
      <c r="P17" s="67" t="s">
        <v>309</v>
      </c>
      <c r="Q17" s="66">
        <f>7910</f>
        <v>7910</v>
      </c>
      <c r="R17" s="67" t="s">
        <v>50</v>
      </c>
      <c r="S17" s="68">
        <f>7796.36</f>
        <v>7796.36</v>
      </c>
      <c r="T17" s="65">
        <f>20030</f>
        <v>20030</v>
      </c>
      <c r="U17" s="65">
        <f>30</f>
        <v>30</v>
      </c>
      <c r="V17" s="65">
        <f>156334300</f>
        <v>156334300</v>
      </c>
      <c r="W17" s="65">
        <f>233500</f>
        <v>233500</v>
      </c>
      <c r="X17" s="69">
        <f>22</f>
        <v>22</v>
      </c>
    </row>
    <row r="18" spans="1:24">
      <c r="A18" s="60" t="s">
        <v>934</v>
      </c>
      <c r="B18" s="60" t="s">
        <v>87</v>
      </c>
      <c r="C18" s="60" t="s">
        <v>88</v>
      </c>
      <c r="D18" s="60" t="s">
        <v>89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345</f>
        <v>345</v>
      </c>
      <c r="L18" s="67" t="s">
        <v>840</v>
      </c>
      <c r="M18" s="66">
        <f>391</f>
        <v>391</v>
      </c>
      <c r="N18" s="67" t="s">
        <v>50</v>
      </c>
      <c r="O18" s="66">
        <f>343</f>
        <v>343</v>
      </c>
      <c r="P18" s="67" t="s">
        <v>840</v>
      </c>
      <c r="Q18" s="66">
        <f>387</f>
        <v>387</v>
      </c>
      <c r="R18" s="67" t="s">
        <v>50</v>
      </c>
      <c r="S18" s="68">
        <f>362.91</f>
        <v>362.91</v>
      </c>
      <c r="T18" s="65">
        <f>89700</f>
        <v>89700</v>
      </c>
      <c r="U18" s="65" t="str">
        <f>"－"</f>
        <v>－</v>
      </c>
      <c r="V18" s="65">
        <f>32991700</f>
        <v>32991700</v>
      </c>
      <c r="W18" s="65" t="str">
        <f>"－"</f>
        <v>－</v>
      </c>
      <c r="X18" s="69">
        <f>22</f>
        <v>22</v>
      </c>
    </row>
    <row r="19" spans="1:24">
      <c r="A19" s="60" t="s">
        <v>934</v>
      </c>
      <c r="B19" s="60" t="s">
        <v>92</v>
      </c>
      <c r="C19" s="60" t="s">
        <v>93</v>
      </c>
      <c r="D19" s="60" t="s">
        <v>94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132</f>
        <v>132</v>
      </c>
      <c r="L19" s="67" t="s">
        <v>840</v>
      </c>
      <c r="M19" s="66">
        <f>138</f>
        <v>138</v>
      </c>
      <c r="N19" s="67" t="s">
        <v>822</v>
      </c>
      <c r="O19" s="66">
        <f>131</f>
        <v>131</v>
      </c>
      <c r="P19" s="67" t="s">
        <v>840</v>
      </c>
      <c r="Q19" s="66">
        <f>135</f>
        <v>135</v>
      </c>
      <c r="R19" s="67" t="s">
        <v>50</v>
      </c>
      <c r="S19" s="68">
        <f>134.82</f>
        <v>134.82</v>
      </c>
      <c r="T19" s="65">
        <f>385100</f>
        <v>385100</v>
      </c>
      <c r="U19" s="65" t="str">
        <f>"－"</f>
        <v>－</v>
      </c>
      <c r="V19" s="65">
        <f>51936300</f>
        <v>51936300</v>
      </c>
      <c r="W19" s="65" t="str">
        <f>"－"</f>
        <v>－</v>
      </c>
      <c r="X19" s="69">
        <f>22</f>
        <v>22</v>
      </c>
    </row>
    <row r="20" spans="1:24">
      <c r="A20" s="60" t="s">
        <v>934</v>
      </c>
      <c r="B20" s="60" t="s">
        <v>96</v>
      </c>
      <c r="C20" s="60" t="s">
        <v>97</v>
      </c>
      <c r="D20" s="60" t="s">
        <v>98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154</f>
        <v>154</v>
      </c>
      <c r="L20" s="67" t="s">
        <v>840</v>
      </c>
      <c r="M20" s="66">
        <f>183</f>
        <v>183</v>
      </c>
      <c r="N20" s="67" t="s">
        <v>150</v>
      </c>
      <c r="O20" s="66">
        <f>151</f>
        <v>151</v>
      </c>
      <c r="P20" s="67" t="s">
        <v>840</v>
      </c>
      <c r="Q20" s="66">
        <f>174</f>
        <v>174</v>
      </c>
      <c r="R20" s="67" t="s">
        <v>50</v>
      </c>
      <c r="S20" s="68">
        <f>166.82</f>
        <v>166.82</v>
      </c>
      <c r="T20" s="65">
        <f>1237800</f>
        <v>1237800</v>
      </c>
      <c r="U20" s="65">
        <f>300</f>
        <v>300</v>
      </c>
      <c r="V20" s="65">
        <f>209319700</f>
        <v>209319700</v>
      </c>
      <c r="W20" s="65">
        <f>52000</f>
        <v>52000</v>
      </c>
      <c r="X20" s="69">
        <f>22</f>
        <v>22</v>
      </c>
    </row>
    <row r="21" spans="1:24">
      <c r="A21" s="60" t="s">
        <v>934</v>
      </c>
      <c r="B21" s="60" t="s">
        <v>101</v>
      </c>
      <c r="C21" s="60" t="s">
        <v>102</v>
      </c>
      <c r="D21" s="60" t="s">
        <v>103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17400</f>
        <v>17400</v>
      </c>
      <c r="L21" s="67" t="s">
        <v>840</v>
      </c>
      <c r="M21" s="66">
        <f>18480</f>
        <v>18480</v>
      </c>
      <c r="N21" s="67" t="s">
        <v>150</v>
      </c>
      <c r="O21" s="66">
        <f>17390</f>
        <v>17390</v>
      </c>
      <c r="P21" s="67" t="s">
        <v>840</v>
      </c>
      <c r="Q21" s="66">
        <f>18250</f>
        <v>18250</v>
      </c>
      <c r="R21" s="67" t="s">
        <v>50</v>
      </c>
      <c r="S21" s="68">
        <f>18089.09</f>
        <v>18089.09</v>
      </c>
      <c r="T21" s="65">
        <f>262973</f>
        <v>262973</v>
      </c>
      <c r="U21" s="65" t="str">
        <f>"－"</f>
        <v>－</v>
      </c>
      <c r="V21" s="65">
        <f>4766259500</f>
        <v>4766259500</v>
      </c>
      <c r="W21" s="65" t="str">
        <f>"－"</f>
        <v>－</v>
      </c>
      <c r="X21" s="69">
        <f>22</f>
        <v>22</v>
      </c>
    </row>
    <row r="22" spans="1:24">
      <c r="A22" s="60" t="s">
        <v>934</v>
      </c>
      <c r="B22" s="60" t="s">
        <v>104</v>
      </c>
      <c r="C22" s="60" t="s">
        <v>105</v>
      </c>
      <c r="D22" s="60" t="s">
        <v>106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2716</f>
        <v>2716</v>
      </c>
      <c r="L22" s="67" t="s">
        <v>840</v>
      </c>
      <c r="M22" s="66">
        <f>2964</f>
        <v>2964</v>
      </c>
      <c r="N22" s="67" t="s">
        <v>822</v>
      </c>
      <c r="O22" s="66">
        <f>2659</f>
        <v>2659</v>
      </c>
      <c r="P22" s="67" t="s">
        <v>814</v>
      </c>
      <c r="Q22" s="66">
        <f>2872</f>
        <v>2872</v>
      </c>
      <c r="R22" s="67" t="s">
        <v>50</v>
      </c>
      <c r="S22" s="68">
        <f>2865.81</f>
        <v>2865.81</v>
      </c>
      <c r="T22" s="65">
        <f>5196</f>
        <v>5196</v>
      </c>
      <c r="U22" s="65" t="str">
        <f>"－"</f>
        <v>－</v>
      </c>
      <c r="V22" s="65">
        <f>14695426</f>
        <v>14695426</v>
      </c>
      <c r="W22" s="65" t="str">
        <f>"－"</f>
        <v>－</v>
      </c>
      <c r="X22" s="69">
        <f>21</f>
        <v>21</v>
      </c>
    </row>
    <row r="23" spans="1:24">
      <c r="A23" s="60" t="s">
        <v>934</v>
      </c>
      <c r="B23" s="60" t="s">
        <v>107</v>
      </c>
      <c r="C23" s="60" t="s">
        <v>883</v>
      </c>
      <c r="D23" s="60" t="s">
        <v>884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4745</f>
        <v>4745</v>
      </c>
      <c r="L23" s="67" t="s">
        <v>840</v>
      </c>
      <c r="M23" s="66">
        <f>5100</f>
        <v>5100</v>
      </c>
      <c r="N23" s="67" t="s">
        <v>822</v>
      </c>
      <c r="O23" s="66">
        <f>4745</f>
        <v>4745</v>
      </c>
      <c r="P23" s="67" t="s">
        <v>840</v>
      </c>
      <c r="Q23" s="66">
        <f>4995</f>
        <v>4995</v>
      </c>
      <c r="R23" s="67" t="s">
        <v>50</v>
      </c>
      <c r="S23" s="68">
        <f>4946.36</f>
        <v>4946.3599999999997</v>
      </c>
      <c r="T23" s="65">
        <f>313860</f>
        <v>313860</v>
      </c>
      <c r="U23" s="65" t="str">
        <f>"－"</f>
        <v>－</v>
      </c>
      <c r="V23" s="65">
        <f>1551006700</f>
        <v>1551006700</v>
      </c>
      <c r="W23" s="65" t="str">
        <f>"－"</f>
        <v>－</v>
      </c>
      <c r="X23" s="69">
        <f>22</f>
        <v>22</v>
      </c>
    </row>
    <row r="24" spans="1:24">
      <c r="A24" s="60" t="s">
        <v>934</v>
      </c>
      <c r="B24" s="60" t="s">
        <v>110</v>
      </c>
      <c r="C24" s="60" t="s">
        <v>111</v>
      </c>
      <c r="D24" s="60" t="s">
        <v>112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27540</f>
        <v>27540</v>
      </c>
      <c r="L24" s="67" t="s">
        <v>840</v>
      </c>
      <c r="M24" s="66">
        <f>28590</f>
        <v>28590</v>
      </c>
      <c r="N24" s="67" t="s">
        <v>245</v>
      </c>
      <c r="O24" s="66">
        <f>27230</f>
        <v>27230</v>
      </c>
      <c r="P24" s="67" t="s">
        <v>65</v>
      </c>
      <c r="Q24" s="66">
        <f>28450</f>
        <v>28450</v>
      </c>
      <c r="R24" s="67" t="s">
        <v>50</v>
      </c>
      <c r="S24" s="68">
        <f>27693.64</f>
        <v>27693.64</v>
      </c>
      <c r="T24" s="65">
        <f>680133</f>
        <v>680133</v>
      </c>
      <c r="U24" s="65">
        <f>261451</f>
        <v>261451</v>
      </c>
      <c r="V24" s="65">
        <f>18804995201</f>
        <v>18804995201</v>
      </c>
      <c r="W24" s="65">
        <f>7219985971</f>
        <v>7219985971</v>
      </c>
      <c r="X24" s="69">
        <f>22</f>
        <v>22</v>
      </c>
    </row>
    <row r="25" spans="1:24">
      <c r="A25" s="60" t="s">
        <v>934</v>
      </c>
      <c r="B25" s="60" t="s">
        <v>113</v>
      </c>
      <c r="C25" s="60" t="s">
        <v>114</v>
      </c>
      <c r="D25" s="60" t="s">
        <v>115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27480</f>
        <v>27480</v>
      </c>
      <c r="L25" s="67" t="s">
        <v>840</v>
      </c>
      <c r="M25" s="66">
        <f>28490</f>
        <v>28490</v>
      </c>
      <c r="N25" s="67" t="s">
        <v>245</v>
      </c>
      <c r="O25" s="66">
        <f>27160</f>
        <v>27160</v>
      </c>
      <c r="P25" s="67" t="s">
        <v>65</v>
      </c>
      <c r="Q25" s="66">
        <f>28370</f>
        <v>28370</v>
      </c>
      <c r="R25" s="67" t="s">
        <v>50</v>
      </c>
      <c r="S25" s="68">
        <f>27622.73</f>
        <v>27622.73</v>
      </c>
      <c r="T25" s="65">
        <f>1522180</f>
        <v>1522180</v>
      </c>
      <c r="U25" s="65">
        <f>578240</f>
        <v>578240</v>
      </c>
      <c r="V25" s="65">
        <f>42063828424</f>
        <v>42063828424</v>
      </c>
      <c r="W25" s="65">
        <f>15986080424</f>
        <v>15986080424</v>
      </c>
      <c r="X25" s="69">
        <f>22</f>
        <v>22</v>
      </c>
    </row>
    <row r="26" spans="1:24">
      <c r="A26" s="60" t="s">
        <v>934</v>
      </c>
      <c r="B26" s="60" t="s">
        <v>116</v>
      </c>
      <c r="C26" s="60" t="s">
        <v>117</v>
      </c>
      <c r="D26" s="60" t="s">
        <v>118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1807</f>
        <v>1807</v>
      </c>
      <c r="L26" s="67" t="s">
        <v>840</v>
      </c>
      <c r="M26" s="66">
        <f>1912</f>
        <v>1912</v>
      </c>
      <c r="N26" s="67" t="s">
        <v>50</v>
      </c>
      <c r="O26" s="66">
        <f>1801</f>
        <v>1801</v>
      </c>
      <c r="P26" s="67" t="s">
        <v>814</v>
      </c>
      <c r="Q26" s="66">
        <f>1909</f>
        <v>1909</v>
      </c>
      <c r="R26" s="67" t="s">
        <v>50</v>
      </c>
      <c r="S26" s="68">
        <f>1836.82</f>
        <v>1836.82</v>
      </c>
      <c r="T26" s="65">
        <f>6729280</f>
        <v>6729280</v>
      </c>
      <c r="U26" s="65">
        <f>319640</f>
        <v>319640</v>
      </c>
      <c r="V26" s="65">
        <f>12340610737</f>
        <v>12340610737</v>
      </c>
      <c r="W26" s="65">
        <f>581718577</f>
        <v>581718577</v>
      </c>
      <c r="X26" s="69">
        <f>22</f>
        <v>22</v>
      </c>
    </row>
    <row r="27" spans="1:24">
      <c r="A27" s="60" t="s">
        <v>934</v>
      </c>
      <c r="B27" s="60" t="s">
        <v>120</v>
      </c>
      <c r="C27" s="60" t="s">
        <v>121</v>
      </c>
      <c r="D27" s="60" t="s">
        <v>122</v>
      </c>
      <c r="E27" s="61" t="s">
        <v>46</v>
      </c>
      <c r="F27" s="62" t="s">
        <v>46</v>
      </c>
      <c r="G27" s="63" t="s">
        <v>46</v>
      </c>
      <c r="H27" s="64"/>
      <c r="I27" s="64" t="s">
        <v>47</v>
      </c>
      <c r="J27" s="65">
        <v>10</v>
      </c>
      <c r="K27" s="66">
        <f>779</f>
        <v>779</v>
      </c>
      <c r="L27" s="67" t="s">
        <v>840</v>
      </c>
      <c r="M27" s="66">
        <f>815</f>
        <v>815</v>
      </c>
      <c r="N27" s="67" t="s">
        <v>150</v>
      </c>
      <c r="O27" s="66">
        <f>771</f>
        <v>771</v>
      </c>
      <c r="P27" s="67" t="s">
        <v>65</v>
      </c>
      <c r="Q27" s="66">
        <f>794</f>
        <v>794</v>
      </c>
      <c r="R27" s="67" t="s">
        <v>50</v>
      </c>
      <c r="S27" s="68">
        <f>792.45</f>
        <v>792.45</v>
      </c>
      <c r="T27" s="65">
        <f>94760</f>
        <v>94760</v>
      </c>
      <c r="U27" s="65" t="str">
        <f>"－"</f>
        <v>－</v>
      </c>
      <c r="V27" s="65">
        <f>75214220</f>
        <v>75214220</v>
      </c>
      <c r="W27" s="65" t="str">
        <f>"－"</f>
        <v>－</v>
      </c>
      <c r="X27" s="69">
        <f>22</f>
        <v>22</v>
      </c>
    </row>
    <row r="28" spans="1:24">
      <c r="A28" s="60" t="s">
        <v>934</v>
      </c>
      <c r="B28" s="60" t="s">
        <v>123</v>
      </c>
      <c r="C28" s="60" t="s">
        <v>124</v>
      </c>
      <c r="D28" s="60" t="s">
        <v>125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1710</f>
        <v>1710</v>
      </c>
      <c r="L28" s="67" t="s">
        <v>840</v>
      </c>
      <c r="M28" s="66">
        <f>1808</f>
        <v>1808</v>
      </c>
      <c r="N28" s="67" t="s">
        <v>50</v>
      </c>
      <c r="O28" s="66">
        <f>1704</f>
        <v>1704</v>
      </c>
      <c r="P28" s="67" t="s">
        <v>814</v>
      </c>
      <c r="Q28" s="66">
        <f>1806</f>
        <v>1806</v>
      </c>
      <c r="R28" s="67" t="s">
        <v>50</v>
      </c>
      <c r="S28" s="68">
        <f>1736.82</f>
        <v>1736.82</v>
      </c>
      <c r="T28" s="65">
        <f>9988300</f>
        <v>9988300</v>
      </c>
      <c r="U28" s="65">
        <f>120700</f>
        <v>120700</v>
      </c>
      <c r="V28" s="65">
        <f>17184353300</f>
        <v>17184353300</v>
      </c>
      <c r="W28" s="65">
        <f>209358600</f>
        <v>209358600</v>
      </c>
      <c r="X28" s="69">
        <f>22</f>
        <v>22</v>
      </c>
    </row>
    <row r="29" spans="1:24">
      <c r="A29" s="60" t="s">
        <v>934</v>
      </c>
      <c r="B29" s="60" t="s">
        <v>126</v>
      </c>
      <c r="C29" s="60" t="s">
        <v>127</v>
      </c>
      <c r="D29" s="60" t="s">
        <v>128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27540</f>
        <v>27540</v>
      </c>
      <c r="L29" s="67" t="s">
        <v>840</v>
      </c>
      <c r="M29" s="66">
        <f>28590</f>
        <v>28590</v>
      </c>
      <c r="N29" s="67" t="s">
        <v>50</v>
      </c>
      <c r="O29" s="66">
        <f>27230</f>
        <v>27230</v>
      </c>
      <c r="P29" s="67" t="s">
        <v>65</v>
      </c>
      <c r="Q29" s="66">
        <f>28450</f>
        <v>28450</v>
      </c>
      <c r="R29" s="67" t="s">
        <v>50</v>
      </c>
      <c r="S29" s="68">
        <f>27707.27</f>
        <v>27707.27</v>
      </c>
      <c r="T29" s="65">
        <f>951069</f>
        <v>951069</v>
      </c>
      <c r="U29" s="65">
        <f>496963</f>
        <v>496963</v>
      </c>
      <c r="V29" s="65">
        <f>26233064710</f>
        <v>26233064710</v>
      </c>
      <c r="W29" s="65">
        <f>13660794720</f>
        <v>13660794720</v>
      </c>
      <c r="X29" s="69">
        <f>22</f>
        <v>22</v>
      </c>
    </row>
    <row r="30" spans="1:24">
      <c r="A30" s="60" t="s">
        <v>934</v>
      </c>
      <c r="B30" s="60" t="s">
        <v>129</v>
      </c>
      <c r="C30" s="60" t="s">
        <v>130</v>
      </c>
      <c r="D30" s="60" t="s">
        <v>131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1830</f>
        <v>1830</v>
      </c>
      <c r="L30" s="67" t="s">
        <v>840</v>
      </c>
      <c r="M30" s="66">
        <f>1891</f>
        <v>1891</v>
      </c>
      <c r="N30" s="67" t="s">
        <v>245</v>
      </c>
      <c r="O30" s="66">
        <f>1819</f>
        <v>1819</v>
      </c>
      <c r="P30" s="67" t="s">
        <v>65</v>
      </c>
      <c r="Q30" s="66">
        <f>1878</f>
        <v>1878</v>
      </c>
      <c r="R30" s="67" t="s">
        <v>50</v>
      </c>
      <c r="S30" s="68">
        <f>1849.55</f>
        <v>1849.55</v>
      </c>
      <c r="T30" s="65">
        <f>3536950</f>
        <v>3536950</v>
      </c>
      <c r="U30" s="65">
        <f>61120</f>
        <v>61120</v>
      </c>
      <c r="V30" s="65">
        <f>6545266850</f>
        <v>6545266850</v>
      </c>
      <c r="W30" s="65">
        <f>112633440</f>
        <v>112633440</v>
      </c>
      <c r="X30" s="69">
        <f>22</f>
        <v>22</v>
      </c>
    </row>
    <row r="31" spans="1:24">
      <c r="A31" s="60" t="s">
        <v>934</v>
      </c>
      <c r="B31" s="60" t="s">
        <v>132</v>
      </c>
      <c r="C31" s="60" t="s">
        <v>133</v>
      </c>
      <c r="D31" s="60" t="s">
        <v>134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13040</f>
        <v>13040</v>
      </c>
      <c r="L31" s="67" t="s">
        <v>840</v>
      </c>
      <c r="M31" s="66">
        <f>13180</f>
        <v>13180</v>
      </c>
      <c r="N31" s="67" t="s">
        <v>86</v>
      </c>
      <c r="O31" s="66">
        <f>12970</f>
        <v>12970</v>
      </c>
      <c r="P31" s="67" t="s">
        <v>818</v>
      </c>
      <c r="Q31" s="66">
        <f>13080</f>
        <v>13080</v>
      </c>
      <c r="R31" s="67" t="s">
        <v>50</v>
      </c>
      <c r="S31" s="68">
        <f>13083.64</f>
        <v>13083.64</v>
      </c>
      <c r="T31" s="65">
        <f>591</f>
        <v>591</v>
      </c>
      <c r="U31" s="65" t="str">
        <f>"－"</f>
        <v>－</v>
      </c>
      <c r="V31" s="65">
        <f>7733160</f>
        <v>7733160</v>
      </c>
      <c r="W31" s="65" t="str">
        <f>"－"</f>
        <v>－</v>
      </c>
      <c r="X31" s="69">
        <f>22</f>
        <v>22</v>
      </c>
    </row>
    <row r="32" spans="1:24">
      <c r="A32" s="60" t="s">
        <v>934</v>
      </c>
      <c r="B32" s="60" t="s">
        <v>135</v>
      </c>
      <c r="C32" s="60" t="s">
        <v>136</v>
      </c>
      <c r="D32" s="60" t="s">
        <v>137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1503</f>
        <v>1503</v>
      </c>
      <c r="L32" s="67" t="s">
        <v>840</v>
      </c>
      <c r="M32" s="66">
        <f>1521</f>
        <v>1521</v>
      </c>
      <c r="N32" s="67" t="s">
        <v>65</v>
      </c>
      <c r="O32" s="66">
        <f>1400</f>
        <v>1400</v>
      </c>
      <c r="P32" s="67" t="s">
        <v>245</v>
      </c>
      <c r="Q32" s="66">
        <f>1424</f>
        <v>1424</v>
      </c>
      <c r="R32" s="67" t="s">
        <v>50</v>
      </c>
      <c r="S32" s="68">
        <f>1470.14</f>
        <v>1470.14</v>
      </c>
      <c r="T32" s="65">
        <f>7524680</f>
        <v>7524680</v>
      </c>
      <c r="U32" s="65">
        <f>8260</f>
        <v>8260</v>
      </c>
      <c r="V32" s="65">
        <f>11063110150</f>
        <v>11063110150</v>
      </c>
      <c r="W32" s="65">
        <f>12191530</f>
        <v>12191530</v>
      </c>
      <c r="X32" s="69">
        <f>22</f>
        <v>22</v>
      </c>
    </row>
    <row r="33" spans="1:24">
      <c r="A33" s="60" t="s">
        <v>934</v>
      </c>
      <c r="B33" s="60" t="s">
        <v>138</v>
      </c>
      <c r="C33" s="60" t="s">
        <v>139</v>
      </c>
      <c r="D33" s="60" t="s">
        <v>140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530</f>
        <v>530</v>
      </c>
      <c r="L33" s="67" t="s">
        <v>840</v>
      </c>
      <c r="M33" s="66">
        <f>543</f>
        <v>543</v>
      </c>
      <c r="N33" s="67" t="s">
        <v>65</v>
      </c>
      <c r="O33" s="66">
        <f>489</f>
        <v>489</v>
      </c>
      <c r="P33" s="67" t="s">
        <v>245</v>
      </c>
      <c r="Q33" s="66">
        <f>494</f>
        <v>494</v>
      </c>
      <c r="R33" s="67" t="s">
        <v>50</v>
      </c>
      <c r="S33" s="68">
        <f>523.68</f>
        <v>523.67999999999995</v>
      </c>
      <c r="T33" s="65">
        <f>996936278</f>
        <v>996936278</v>
      </c>
      <c r="U33" s="65">
        <f>1604418</f>
        <v>1604418</v>
      </c>
      <c r="V33" s="65">
        <f>520839588618</f>
        <v>520839588618</v>
      </c>
      <c r="W33" s="65">
        <f>846555318</f>
        <v>846555318</v>
      </c>
      <c r="X33" s="69">
        <f>22</f>
        <v>22</v>
      </c>
    </row>
    <row r="34" spans="1:24">
      <c r="A34" s="60" t="s">
        <v>934</v>
      </c>
      <c r="B34" s="60" t="s">
        <v>141</v>
      </c>
      <c r="C34" s="60" t="s">
        <v>142</v>
      </c>
      <c r="D34" s="60" t="s">
        <v>143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25290</f>
        <v>25290</v>
      </c>
      <c r="L34" s="67" t="s">
        <v>840</v>
      </c>
      <c r="M34" s="66">
        <f>27150</f>
        <v>27150</v>
      </c>
      <c r="N34" s="67" t="s">
        <v>50</v>
      </c>
      <c r="O34" s="66">
        <f>24720</f>
        <v>24720</v>
      </c>
      <c r="P34" s="67" t="s">
        <v>65</v>
      </c>
      <c r="Q34" s="66">
        <f>26880</f>
        <v>26880</v>
      </c>
      <c r="R34" s="67" t="s">
        <v>50</v>
      </c>
      <c r="S34" s="68">
        <f>25528.64</f>
        <v>25528.639999999999</v>
      </c>
      <c r="T34" s="65">
        <f>228110</f>
        <v>228110</v>
      </c>
      <c r="U34" s="65" t="str">
        <f>"－"</f>
        <v>－</v>
      </c>
      <c r="V34" s="65">
        <f>5829338870</f>
        <v>5829338870</v>
      </c>
      <c r="W34" s="65" t="str">
        <f>"－"</f>
        <v>－</v>
      </c>
      <c r="X34" s="69">
        <f>22</f>
        <v>22</v>
      </c>
    </row>
    <row r="35" spans="1:24">
      <c r="A35" s="60" t="s">
        <v>934</v>
      </c>
      <c r="B35" s="60" t="s">
        <v>144</v>
      </c>
      <c r="C35" s="60" t="s">
        <v>145</v>
      </c>
      <c r="D35" s="60" t="s">
        <v>146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1291</f>
        <v>1291</v>
      </c>
      <c r="L35" s="67" t="s">
        <v>840</v>
      </c>
      <c r="M35" s="66">
        <f>1319</f>
        <v>1319</v>
      </c>
      <c r="N35" s="67" t="s">
        <v>65</v>
      </c>
      <c r="O35" s="66">
        <f>1191</f>
        <v>1191</v>
      </c>
      <c r="P35" s="67" t="s">
        <v>245</v>
      </c>
      <c r="Q35" s="66">
        <f>1202</f>
        <v>1202</v>
      </c>
      <c r="R35" s="67" t="s">
        <v>50</v>
      </c>
      <c r="S35" s="68">
        <f>1273.23</f>
        <v>1273.23</v>
      </c>
      <c r="T35" s="65">
        <f>122796090</f>
        <v>122796090</v>
      </c>
      <c r="U35" s="65">
        <f>639960</f>
        <v>639960</v>
      </c>
      <c r="V35" s="65">
        <f>156335569630</f>
        <v>156335569630</v>
      </c>
      <c r="W35" s="65">
        <f>817376600</f>
        <v>817376600</v>
      </c>
      <c r="X35" s="69">
        <f>22</f>
        <v>22</v>
      </c>
    </row>
    <row r="36" spans="1:24">
      <c r="A36" s="60" t="s">
        <v>934</v>
      </c>
      <c r="B36" s="60" t="s">
        <v>147</v>
      </c>
      <c r="C36" s="60" t="s">
        <v>148</v>
      </c>
      <c r="D36" s="60" t="s">
        <v>149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16420</f>
        <v>16420</v>
      </c>
      <c r="L36" s="67" t="s">
        <v>840</v>
      </c>
      <c r="M36" s="66">
        <f>16870</f>
        <v>16870</v>
      </c>
      <c r="N36" s="67" t="s">
        <v>245</v>
      </c>
      <c r="O36" s="66">
        <f>16260</f>
        <v>16260</v>
      </c>
      <c r="P36" s="67" t="s">
        <v>99</v>
      </c>
      <c r="Q36" s="66">
        <f>16760</f>
        <v>16760</v>
      </c>
      <c r="R36" s="67" t="s">
        <v>50</v>
      </c>
      <c r="S36" s="68">
        <f>16498.64</f>
        <v>16498.64</v>
      </c>
      <c r="T36" s="65">
        <f>43102</f>
        <v>43102</v>
      </c>
      <c r="U36" s="65">
        <f>40002</f>
        <v>40002</v>
      </c>
      <c r="V36" s="65">
        <f>712364510</f>
        <v>712364510</v>
      </c>
      <c r="W36" s="65">
        <f>661112880</f>
        <v>661112880</v>
      </c>
      <c r="X36" s="69">
        <f>22</f>
        <v>22</v>
      </c>
    </row>
    <row r="37" spans="1:24">
      <c r="A37" s="60" t="s">
        <v>934</v>
      </c>
      <c r="B37" s="60" t="s">
        <v>151</v>
      </c>
      <c r="C37" s="60" t="s">
        <v>152</v>
      </c>
      <c r="D37" s="60" t="s">
        <v>153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20830</f>
        <v>20830</v>
      </c>
      <c r="L37" s="67" t="s">
        <v>840</v>
      </c>
      <c r="M37" s="66">
        <f>22440</f>
        <v>22440</v>
      </c>
      <c r="N37" s="67" t="s">
        <v>245</v>
      </c>
      <c r="O37" s="66">
        <f>20360</f>
        <v>20360</v>
      </c>
      <c r="P37" s="67" t="s">
        <v>65</v>
      </c>
      <c r="Q37" s="66">
        <f>22200</f>
        <v>22200</v>
      </c>
      <c r="R37" s="67" t="s">
        <v>50</v>
      </c>
      <c r="S37" s="68">
        <f>21064.09</f>
        <v>21064.09</v>
      </c>
      <c r="T37" s="65">
        <f>650157</f>
        <v>650157</v>
      </c>
      <c r="U37" s="65">
        <f>1</f>
        <v>1</v>
      </c>
      <c r="V37" s="65">
        <f>13697201240</f>
        <v>13697201240</v>
      </c>
      <c r="W37" s="65">
        <f>22200</f>
        <v>22200</v>
      </c>
      <c r="X37" s="69">
        <f>22</f>
        <v>22</v>
      </c>
    </row>
    <row r="38" spans="1:24">
      <c r="A38" s="60" t="s">
        <v>934</v>
      </c>
      <c r="B38" s="60" t="s">
        <v>154</v>
      </c>
      <c r="C38" s="60" t="s">
        <v>155</v>
      </c>
      <c r="D38" s="60" t="s">
        <v>156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1383</f>
        <v>1383</v>
      </c>
      <c r="L38" s="67" t="s">
        <v>840</v>
      </c>
      <c r="M38" s="66">
        <f>1413</f>
        <v>1413</v>
      </c>
      <c r="N38" s="67" t="s">
        <v>65</v>
      </c>
      <c r="O38" s="66">
        <f>1274</f>
        <v>1274</v>
      </c>
      <c r="P38" s="67" t="s">
        <v>245</v>
      </c>
      <c r="Q38" s="66">
        <f>1287</f>
        <v>1287</v>
      </c>
      <c r="R38" s="67" t="s">
        <v>50</v>
      </c>
      <c r="S38" s="68">
        <f>1365.09</f>
        <v>1365.09</v>
      </c>
      <c r="T38" s="65">
        <f>7977656</f>
        <v>7977656</v>
      </c>
      <c r="U38" s="65">
        <f>40</f>
        <v>40</v>
      </c>
      <c r="V38" s="65">
        <f>10856562605</f>
        <v>10856562605</v>
      </c>
      <c r="W38" s="65">
        <f>54541</f>
        <v>54541</v>
      </c>
      <c r="X38" s="69">
        <f>22</f>
        <v>22</v>
      </c>
    </row>
    <row r="39" spans="1:24">
      <c r="A39" s="60" t="s">
        <v>934</v>
      </c>
      <c r="B39" s="60" t="s">
        <v>157</v>
      </c>
      <c r="C39" s="60" t="s">
        <v>158</v>
      </c>
      <c r="D39" s="60" t="s">
        <v>159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15150</f>
        <v>15150</v>
      </c>
      <c r="L39" s="67" t="s">
        <v>840</v>
      </c>
      <c r="M39" s="66">
        <f>16180</f>
        <v>16180</v>
      </c>
      <c r="N39" s="67" t="s">
        <v>245</v>
      </c>
      <c r="O39" s="66">
        <f>14960</f>
        <v>14960</v>
      </c>
      <c r="P39" s="67" t="s">
        <v>65</v>
      </c>
      <c r="Q39" s="66">
        <f>15930</f>
        <v>15930</v>
      </c>
      <c r="R39" s="67" t="s">
        <v>50</v>
      </c>
      <c r="S39" s="68">
        <f>15459.09</f>
        <v>15459.09</v>
      </c>
      <c r="T39" s="65">
        <f>260059</f>
        <v>260059</v>
      </c>
      <c r="U39" s="65" t="str">
        <f>"－"</f>
        <v>－</v>
      </c>
      <c r="V39" s="65">
        <f>4037180900</f>
        <v>4037180900</v>
      </c>
      <c r="W39" s="65" t="str">
        <f>"－"</f>
        <v>－</v>
      </c>
      <c r="X39" s="69">
        <f>22</f>
        <v>22</v>
      </c>
    </row>
    <row r="40" spans="1:24">
      <c r="A40" s="60" t="s">
        <v>934</v>
      </c>
      <c r="B40" s="60" t="s">
        <v>160</v>
      </c>
      <c r="C40" s="60" t="s">
        <v>161</v>
      </c>
      <c r="D40" s="60" t="s">
        <v>162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2185</f>
        <v>2185</v>
      </c>
      <c r="L40" s="67" t="s">
        <v>840</v>
      </c>
      <c r="M40" s="66">
        <f>2209</f>
        <v>2209</v>
      </c>
      <c r="N40" s="67" t="s">
        <v>65</v>
      </c>
      <c r="O40" s="66">
        <f>2033</f>
        <v>2033</v>
      </c>
      <c r="P40" s="67" t="s">
        <v>245</v>
      </c>
      <c r="Q40" s="66">
        <f>2063</f>
        <v>2063</v>
      </c>
      <c r="R40" s="67" t="s">
        <v>50</v>
      </c>
      <c r="S40" s="68">
        <f>2134.86</f>
        <v>2134.86</v>
      </c>
      <c r="T40" s="65">
        <f>1261821</f>
        <v>1261821</v>
      </c>
      <c r="U40" s="65">
        <f>1189</f>
        <v>1189</v>
      </c>
      <c r="V40" s="65">
        <f>2698454092</f>
        <v>2698454092</v>
      </c>
      <c r="W40" s="65">
        <f>2550341</f>
        <v>2550341</v>
      </c>
      <c r="X40" s="69">
        <f>22</f>
        <v>22</v>
      </c>
    </row>
    <row r="41" spans="1:24">
      <c r="A41" s="60" t="s">
        <v>934</v>
      </c>
      <c r="B41" s="60" t="s">
        <v>163</v>
      </c>
      <c r="C41" s="60" t="s">
        <v>164</v>
      </c>
      <c r="D41" s="60" t="s">
        <v>165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26840</f>
        <v>26840</v>
      </c>
      <c r="L41" s="67" t="s">
        <v>840</v>
      </c>
      <c r="M41" s="66">
        <f>27800</f>
        <v>27800</v>
      </c>
      <c r="N41" s="67" t="s">
        <v>245</v>
      </c>
      <c r="O41" s="66">
        <f>26490</f>
        <v>26490</v>
      </c>
      <c r="P41" s="67" t="s">
        <v>65</v>
      </c>
      <c r="Q41" s="66">
        <f>27670</f>
        <v>27670</v>
      </c>
      <c r="R41" s="67" t="s">
        <v>50</v>
      </c>
      <c r="S41" s="68">
        <f>26940</f>
        <v>26940</v>
      </c>
      <c r="T41" s="65">
        <f>81587</f>
        <v>81587</v>
      </c>
      <c r="U41" s="65">
        <f>23000</f>
        <v>23000</v>
      </c>
      <c r="V41" s="65">
        <f>2197946770</f>
        <v>2197946770</v>
      </c>
      <c r="W41" s="65">
        <f>619530000</f>
        <v>619530000</v>
      </c>
      <c r="X41" s="69">
        <f>22</f>
        <v>22</v>
      </c>
    </row>
    <row r="42" spans="1:24">
      <c r="A42" s="60" t="s">
        <v>934</v>
      </c>
      <c r="B42" s="60" t="s">
        <v>166</v>
      </c>
      <c r="C42" s="60" t="s">
        <v>167</v>
      </c>
      <c r="D42" s="60" t="s">
        <v>168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4390</f>
        <v>4390</v>
      </c>
      <c r="L42" s="67" t="s">
        <v>840</v>
      </c>
      <c r="M42" s="66">
        <f>4595</f>
        <v>4595</v>
      </c>
      <c r="N42" s="67" t="s">
        <v>245</v>
      </c>
      <c r="O42" s="66">
        <f>4330</f>
        <v>4330</v>
      </c>
      <c r="P42" s="67" t="s">
        <v>150</v>
      </c>
      <c r="Q42" s="66">
        <f>4515</f>
        <v>4515</v>
      </c>
      <c r="R42" s="67" t="s">
        <v>50</v>
      </c>
      <c r="S42" s="68">
        <f>4473.86</f>
        <v>4473.8599999999997</v>
      </c>
      <c r="T42" s="65">
        <f>8288</f>
        <v>8288</v>
      </c>
      <c r="U42" s="65" t="str">
        <f t="shared" ref="U42:U51" si="0">"－"</f>
        <v>－</v>
      </c>
      <c r="V42" s="65">
        <f>36970805</f>
        <v>36970805</v>
      </c>
      <c r="W42" s="65" t="str">
        <f t="shared" ref="W42:W51" si="1">"－"</f>
        <v>－</v>
      </c>
      <c r="X42" s="69">
        <f>22</f>
        <v>22</v>
      </c>
    </row>
    <row r="43" spans="1:24">
      <c r="A43" s="60" t="s">
        <v>934</v>
      </c>
      <c r="B43" s="60" t="s">
        <v>169</v>
      </c>
      <c r="C43" s="60" t="s">
        <v>170</v>
      </c>
      <c r="D43" s="60" t="s">
        <v>171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8150</f>
        <v>8150</v>
      </c>
      <c r="L43" s="67" t="s">
        <v>840</v>
      </c>
      <c r="M43" s="66">
        <f>8230</f>
        <v>8230</v>
      </c>
      <c r="N43" s="67" t="s">
        <v>245</v>
      </c>
      <c r="O43" s="66">
        <f>7850</f>
        <v>7850</v>
      </c>
      <c r="P43" s="67" t="s">
        <v>840</v>
      </c>
      <c r="Q43" s="66">
        <f>8190</f>
        <v>8190</v>
      </c>
      <c r="R43" s="67" t="s">
        <v>50</v>
      </c>
      <c r="S43" s="68">
        <f>8104.09</f>
        <v>8104.09</v>
      </c>
      <c r="T43" s="65">
        <f>2244</f>
        <v>2244</v>
      </c>
      <c r="U43" s="65" t="str">
        <f t="shared" si="0"/>
        <v>－</v>
      </c>
      <c r="V43" s="65">
        <f>18177710</f>
        <v>18177710</v>
      </c>
      <c r="W43" s="65" t="str">
        <f t="shared" si="1"/>
        <v>－</v>
      </c>
      <c r="X43" s="69">
        <f>22</f>
        <v>22</v>
      </c>
    </row>
    <row r="44" spans="1:24">
      <c r="A44" s="60" t="s">
        <v>934</v>
      </c>
      <c r="B44" s="60" t="s">
        <v>172</v>
      </c>
      <c r="C44" s="60" t="s">
        <v>173</v>
      </c>
      <c r="D44" s="60" t="s">
        <v>174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15720</f>
        <v>15720</v>
      </c>
      <c r="L44" s="67" t="s">
        <v>833</v>
      </c>
      <c r="M44" s="66">
        <f>16440</f>
        <v>16440</v>
      </c>
      <c r="N44" s="67" t="s">
        <v>245</v>
      </c>
      <c r="O44" s="66">
        <f>15640</f>
        <v>15640</v>
      </c>
      <c r="P44" s="67" t="s">
        <v>99</v>
      </c>
      <c r="Q44" s="66">
        <f>16440</f>
        <v>16440</v>
      </c>
      <c r="R44" s="67" t="s">
        <v>245</v>
      </c>
      <c r="S44" s="68">
        <f>16086.36</f>
        <v>16086.36</v>
      </c>
      <c r="T44" s="65">
        <f>175</f>
        <v>175</v>
      </c>
      <c r="U44" s="65" t="str">
        <f t="shared" si="0"/>
        <v>－</v>
      </c>
      <c r="V44" s="65">
        <f>2796110</f>
        <v>2796110</v>
      </c>
      <c r="W44" s="65" t="str">
        <f t="shared" si="1"/>
        <v>－</v>
      </c>
      <c r="X44" s="69">
        <f>11</f>
        <v>11</v>
      </c>
    </row>
    <row r="45" spans="1:24">
      <c r="A45" s="60" t="s">
        <v>934</v>
      </c>
      <c r="B45" s="60" t="s">
        <v>176</v>
      </c>
      <c r="C45" s="60" t="s">
        <v>177</v>
      </c>
      <c r="D45" s="60" t="s">
        <v>178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13000</f>
        <v>13000</v>
      </c>
      <c r="L45" s="67" t="s">
        <v>833</v>
      </c>
      <c r="M45" s="66">
        <f>13980</f>
        <v>13980</v>
      </c>
      <c r="N45" s="67" t="s">
        <v>245</v>
      </c>
      <c r="O45" s="66">
        <f>13000</f>
        <v>13000</v>
      </c>
      <c r="P45" s="67" t="s">
        <v>833</v>
      </c>
      <c r="Q45" s="66">
        <f>13630</f>
        <v>13630</v>
      </c>
      <c r="R45" s="67" t="s">
        <v>50</v>
      </c>
      <c r="S45" s="68">
        <f>13435.83</f>
        <v>13435.83</v>
      </c>
      <c r="T45" s="65">
        <f>51</f>
        <v>51</v>
      </c>
      <c r="U45" s="65" t="str">
        <f t="shared" si="0"/>
        <v>－</v>
      </c>
      <c r="V45" s="65">
        <f>675230</f>
        <v>675230</v>
      </c>
      <c r="W45" s="65" t="str">
        <f t="shared" si="1"/>
        <v>－</v>
      </c>
      <c r="X45" s="69">
        <f>12</f>
        <v>12</v>
      </c>
    </row>
    <row r="46" spans="1:24">
      <c r="A46" s="60" t="s">
        <v>934</v>
      </c>
      <c r="B46" s="60" t="s">
        <v>179</v>
      </c>
      <c r="C46" s="60" t="s">
        <v>180</v>
      </c>
      <c r="D46" s="60" t="s">
        <v>181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8300</f>
        <v>8300</v>
      </c>
      <c r="L46" s="67" t="s">
        <v>840</v>
      </c>
      <c r="M46" s="66">
        <f>8790</f>
        <v>8790</v>
      </c>
      <c r="N46" s="67" t="s">
        <v>119</v>
      </c>
      <c r="O46" s="66">
        <f>8200</f>
        <v>8200</v>
      </c>
      <c r="P46" s="67" t="s">
        <v>150</v>
      </c>
      <c r="Q46" s="66">
        <f>8580</f>
        <v>8580</v>
      </c>
      <c r="R46" s="67" t="s">
        <v>50</v>
      </c>
      <c r="S46" s="68">
        <f>8529.55</f>
        <v>8529.5499999999993</v>
      </c>
      <c r="T46" s="65">
        <f>7313</f>
        <v>7313</v>
      </c>
      <c r="U46" s="65" t="str">
        <f t="shared" si="0"/>
        <v>－</v>
      </c>
      <c r="V46" s="65">
        <f>62212190</f>
        <v>62212190</v>
      </c>
      <c r="W46" s="65" t="str">
        <f t="shared" si="1"/>
        <v>－</v>
      </c>
      <c r="X46" s="69">
        <f>22</f>
        <v>22</v>
      </c>
    </row>
    <row r="47" spans="1:24">
      <c r="A47" s="60" t="s">
        <v>934</v>
      </c>
      <c r="B47" s="60" t="s">
        <v>182</v>
      </c>
      <c r="C47" s="60" t="s">
        <v>183</v>
      </c>
      <c r="D47" s="60" t="s">
        <v>184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4630</f>
        <v>4630</v>
      </c>
      <c r="L47" s="67" t="s">
        <v>840</v>
      </c>
      <c r="M47" s="66">
        <f>5000</f>
        <v>5000</v>
      </c>
      <c r="N47" s="67" t="s">
        <v>90</v>
      </c>
      <c r="O47" s="66">
        <f>4620</f>
        <v>4620</v>
      </c>
      <c r="P47" s="67" t="s">
        <v>833</v>
      </c>
      <c r="Q47" s="66">
        <f>4860</f>
        <v>4860</v>
      </c>
      <c r="R47" s="67" t="s">
        <v>50</v>
      </c>
      <c r="S47" s="68">
        <f>4774.32</f>
        <v>4774.32</v>
      </c>
      <c r="T47" s="65">
        <f>2985</f>
        <v>2985</v>
      </c>
      <c r="U47" s="65" t="str">
        <f t="shared" si="0"/>
        <v>－</v>
      </c>
      <c r="V47" s="65">
        <f>14321230</f>
        <v>14321230</v>
      </c>
      <c r="W47" s="65" t="str">
        <f t="shared" si="1"/>
        <v>－</v>
      </c>
      <c r="X47" s="69">
        <f>22</f>
        <v>22</v>
      </c>
    </row>
    <row r="48" spans="1:24">
      <c r="A48" s="60" t="s">
        <v>934</v>
      </c>
      <c r="B48" s="60" t="s">
        <v>185</v>
      </c>
      <c r="C48" s="60" t="s">
        <v>186</v>
      </c>
      <c r="D48" s="60" t="s">
        <v>187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2300</f>
        <v>2300</v>
      </c>
      <c r="L48" s="67" t="s">
        <v>840</v>
      </c>
      <c r="M48" s="66">
        <f>2414</f>
        <v>2414</v>
      </c>
      <c r="N48" s="67" t="s">
        <v>814</v>
      </c>
      <c r="O48" s="66">
        <f>2261</f>
        <v>2261</v>
      </c>
      <c r="P48" s="67" t="s">
        <v>840</v>
      </c>
      <c r="Q48" s="66">
        <f>2378</f>
        <v>2378</v>
      </c>
      <c r="R48" s="67" t="s">
        <v>50</v>
      </c>
      <c r="S48" s="68">
        <f>2347.41</f>
        <v>2347.41</v>
      </c>
      <c r="T48" s="65">
        <f>4363</f>
        <v>4363</v>
      </c>
      <c r="U48" s="65" t="str">
        <f t="shared" si="0"/>
        <v>－</v>
      </c>
      <c r="V48" s="65">
        <f>10275287</f>
        <v>10275287</v>
      </c>
      <c r="W48" s="65" t="str">
        <f t="shared" si="1"/>
        <v>－</v>
      </c>
      <c r="X48" s="69">
        <f>22</f>
        <v>22</v>
      </c>
    </row>
    <row r="49" spans="1:24">
      <c r="A49" s="60" t="s">
        <v>934</v>
      </c>
      <c r="B49" s="60" t="s">
        <v>188</v>
      </c>
      <c r="C49" s="60" t="s">
        <v>189</v>
      </c>
      <c r="D49" s="60" t="s">
        <v>190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2201</f>
        <v>2201</v>
      </c>
      <c r="L49" s="67" t="s">
        <v>840</v>
      </c>
      <c r="M49" s="66">
        <f>2414</f>
        <v>2414</v>
      </c>
      <c r="N49" s="67" t="s">
        <v>100</v>
      </c>
      <c r="O49" s="66">
        <f>2201</f>
        <v>2201</v>
      </c>
      <c r="P49" s="67" t="s">
        <v>840</v>
      </c>
      <c r="Q49" s="66">
        <f>2355</f>
        <v>2355</v>
      </c>
      <c r="R49" s="67" t="s">
        <v>50</v>
      </c>
      <c r="S49" s="68">
        <f>2299.5</f>
        <v>2299.5</v>
      </c>
      <c r="T49" s="65">
        <f>12898</f>
        <v>12898</v>
      </c>
      <c r="U49" s="65" t="str">
        <f t="shared" si="0"/>
        <v>－</v>
      </c>
      <c r="V49" s="65">
        <f>29642655</f>
        <v>29642655</v>
      </c>
      <c r="W49" s="65" t="str">
        <f t="shared" si="1"/>
        <v>－</v>
      </c>
      <c r="X49" s="69">
        <f>22</f>
        <v>22</v>
      </c>
    </row>
    <row r="50" spans="1:24">
      <c r="A50" s="60" t="s">
        <v>934</v>
      </c>
      <c r="B50" s="60" t="s">
        <v>191</v>
      </c>
      <c r="C50" s="60" t="s">
        <v>192</v>
      </c>
      <c r="D50" s="60" t="s">
        <v>193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36900</f>
        <v>36900</v>
      </c>
      <c r="L50" s="67" t="s">
        <v>840</v>
      </c>
      <c r="M50" s="66">
        <f>38800</f>
        <v>38800</v>
      </c>
      <c r="N50" s="67" t="s">
        <v>245</v>
      </c>
      <c r="O50" s="66">
        <f>36900</f>
        <v>36900</v>
      </c>
      <c r="P50" s="67" t="s">
        <v>840</v>
      </c>
      <c r="Q50" s="66">
        <f>38050</f>
        <v>38050</v>
      </c>
      <c r="R50" s="67" t="s">
        <v>50</v>
      </c>
      <c r="S50" s="68">
        <f>37475</f>
        <v>37475</v>
      </c>
      <c r="T50" s="65">
        <f>679</f>
        <v>679</v>
      </c>
      <c r="U50" s="65" t="str">
        <f t="shared" si="0"/>
        <v>－</v>
      </c>
      <c r="V50" s="65">
        <f>25529250</f>
        <v>25529250</v>
      </c>
      <c r="W50" s="65" t="str">
        <f t="shared" si="1"/>
        <v>－</v>
      </c>
      <c r="X50" s="69">
        <f>22</f>
        <v>22</v>
      </c>
    </row>
    <row r="51" spans="1:24">
      <c r="A51" s="60" t="s">
        <v>934</v>
      </c>
      <c r="B51" s="60" t="s">
        <v>194</v>
      </c>
      <c r="C51" s="60" t="s">
        <v>195</v>
      </c>
      <c r="D51" s="60" t="s">
        <v>196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27070</f>
        <v>27070</v>
      </c>
      <c r="L51" s="67" t="s">
        <v>833</v>
      </c>
      <c r="M51" s="66">
        <f>31650</f>
        <v>31650</v>
      </c>
      <c r="N51" s="67" t="s">
        <v>95</v>
      </c>
      <c r="O51" s="66">
        <f>26980</f>
        <v>26980</v>
      </c>
      <c r="P51" s="67" t="s">
        <v>818</v>
      </c>
      <c r="Q51" s="66">
        <f>28500</f>
        <v>28500</v>
      </c>
      <c r="R51" s="67" t="s">
        <v>245</v>
      </c>
      <c r="S51" s="68">
        <f>27842.5</f>
        <v>27842.5</v>
      </c>
      <c r="T51" s="65">
        <f>309</f>
        <v>309</v>
      </c>
      <c r="U51" s="65" t="str">
        <f t="shared" si="0"/>
        <v>－</v>
      </c>
      <c r="V51" s="65">
        <f>8746440</f>
        <v>8746440</v>
      </c>
      <c r="W51" s="65" t="str">
        <f t="shared" si="1"/>
        <v>－</v>
      </c>
      <c r="X51" s="69">
        <f>12</f>
        <v>12</v>
      </c>
    </row>
    <row r="52" spans="1:24">
      <c r="A52" s="60" t="s">
        <v>934</v>
      </c>
      <c r="B52" s="60" t="s">
        <v>197</v>
      </c>
      <c r="C52" s="60" t="s">
        <v>198</v>
      </c>
      <c r="D52" s="60" t="s">
        <v>199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26820</f>
        <v>26820</v>
      </c>
      <c r="L52" s="67" t="s">
        <v>840</v>
      </c>
      <c r="M52" s="66">
        <f>27820</f>
        <v>27820</v>
      </c>
      <c r="N52" s="67" t="s">
        <v>50</v>
      </c>
      <c r="O52" s="66">
        <f>26280</f>
        <v>26280</v>
      </c>
      <c r="P52" s="67" t="s">
        <v>150</v>
      </c>
      <c r="Q52" s="66">
        <f>27660</f>
        <v>27660</v>
      </c>
      <c r="R52" s="67" t="s">
        <v>50</v>
      </c>
      <c r="S52" s="68">
        <f>26934.55</f>
        <v>26934.55</v>
      </c>
      <c r="T52" s="65">
        <f>410324</f>
        <v>410324</v>
      </c>
      <c r="U52" s="65">
        <f>410000</f>
        <v>410000</v>
      </c>
      <c r="V52" s="65">
        <f>11000472590</f>
        <v>11000472590</v>
      </c>
      <c r="W52" s="65">
        <f>10991731000</f>
        <v>10991731000</v>
      </c>
      <c r="X52" s="69">
        <f>22</f>
        <v>22</v>
      </c>
    </row>
    <row r="53" spans="1:24">
      <c r="A53" s="60" t="s">
        <v>934</v>
      </c>
      <c r="B53" s="60" t="s">
        <v>200</v>
      </c>
      <c r="C53" s="60" t="s">
        <v>201</v>
      </c>
      <c r="D53" s="60" t="s">
        <v>202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1728</f>
        <v>1728</v>
      </c>
      <c r="L53" s="67" t="s">
        <v>840</v>
      </c>
      <c r="M53" s="66">
        <f>1815</f>
        <v>1815</v>
      </c>
      <c r="N53" s="67" t="s">
        <v>50</v>
      </c>
      <c r="O53" s="66">
        <f>1713</f>
        <v>1713</v>
      </c>
      <c r="P53" s="67" t="s">
        <v>100</v>
      </c>
      <c r="Q53" s="66">
        <f>1814</f>
        <v>1814</v>
      </c>
      <c r="R53" s="67" t="s">
        <v>50</v>
      </c>
      <c r="S53" s="68">
        <f>1747.5</f>
        <v>1747.5</v>
      </c>
      <c r="T53" s="65">
        <f>1003220</f>
        <v>1003220</v>
      </c>
      <c r="U53" s="65">
        <f>129000</f>
        <v>129000</v>
      </c>
      <c r="V53" s="65">
        <f>1741253380</f>
        <v>1741253380</v>
      </c>
      <c r="W53" s="65">
        <f>224808630</f>
        <v>224808630</v>
      </c>
      <c r="X53" s="69">
        <f>22</f>
        <v>22</v>
      </c>
    </row>
    <row r="54" spans="1:24">
      <c r="A54" s="60" t="s">
        <v>934</v>
      </c>
      <c r="B54" s="60" t="s">
        <v>203</v>
      </c>
      <c r="C54" s="60" t="s">
        <v>204</v>
      </c>
      <c r="D54" s="60" t="s">
        <v>205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1395</f>
        <v>1395</v>
      </c>
      <c r="L54" s="67" t="s">
        <v>840</v>
      </c>
      <c r="M54" s="66">
        <f>1444</f>
        <v>1444</v>
      </c>
      <c r="N54" s="67" t="s">
        <v>245</v>
      </c>
      <c r="O54" s="66">
        <f>1389</f>
        <v>1389</v>
      </c>
      <c r="P54" s="67" t="s">
        <v>840</v>
      </c>
      <c r="Q54" s="66">
        <f>1437</f>
        <v>1437</v>
      </c>
      <c r="R54" s="67" t="s">
        <v>50</v>
      </c>
      <c r="S54" s="68">
        <f>1413.59</f>
        <v>1413.59</v>
      </c>
      <c r="T54" s="65">
        <f>27220</f>
        <v>27220</v>
      </c>
      <c r="U54" s="65">
        <f>10</f>
        <v>10</v>
      </c>
      <c r="V54" s="65">
        <f>39037580</f>
        <v>39037580</v>
      </c>
      <c r="W54" s="65">
        <f>14000</f>
        <v>14000</v>
      </c>
      <c r="X54" s="69">
        <f>22</f>
        <v>22</v>
      </c>
    </row>
    <row r="55" spans="1:24">
      <c r="A55" s="60" t="s">
        <v>934</v>
      </c>
      <c r="B55" s="60" t="s">
        <v>206</v>
      </c>
      <c r="C55" s="60" t="s">
        <v>207</v>
      </c>
      <c r="D55" s="60" t="s">
        <v>208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4885</f>
        <v>4885</v>
      </c>
      <c r="L55" s="67" t="s">
        <v>840</v>
      </c>
      <c r="M55" s="66">
        <f>4935</f>
        <v>4935</v>
      </c>
      <c r="N55" s="67" t="s">
        <v>65</v>
      </c>
      <c r="O55" s="66">
        <f>4695</f>
        <v>4695</v>
      </c>
      <c r="P55" s="67" t="s">
        <v>245</v>
      </c>
      <c r="Q55" s="66">
        <f>4720</f>
        <v>4720</v>
      </c>
      <c r="R55" s="67" t="s">
        <v>50</v>
      </c>
      <c r="S55" s="68">
        <f>4854.32</f>
        <v>4854.32</v>
      </c>
      <c r="T55" s="65">
        <f>397188</f>
        <v>397188</v>
      </c>
      <c r="U55" s="65">
        <f>9000</f>
        <v>9000</v>
      </c>
      <c r="V55" s="65">
        <f>1918793120</f>
        <v>1918793120</v>
      </c>
      <c r="W55" s="65">
        <f>43767000</f>
        <v>43767000</v>
      </c>
      <c r="X55" s="69">
        <f>22</f>
        <v>22</v>
      </c>
    </row>
    <row r="56" spans="1:24">
      <c r="A56" s="60" t="s">
        <v>934</v>
      </c>
      <c r="B56" s="60" t="s">
        <v>209</v>
      </c>
      <c r="C56" s="60" t="s">
        <v>210</v>
      </c>
      <c r="D56" s="60" t="s">
        <v>211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6070</f>
        <v>6070</v>
      </c>
      <c r="L56" s="67" t="s">
        <v>840</v>
      </c>
      <c r="M56" s="66">
        <f>6110</f>
        <v>6110</v>
      </c>
      <c r="N56" s="67" t="s">
        <v>65</v>
      </c>
      <c r="O56" s="66">
        <f>5860</f>
        <v>5860</v>
      </c>
      <c r="P56" s="67" t="s">
        <v>245</v>
      </c>
      <c r="Q56" s="66">
        <f>5890</f>
        <v>5890</v>
      </c>
      <c r="R56" s="67" t="s">
        <v>50</v>
      </c>
      <c r="S56" s="68">
        <f>6003.18</f>
        <v>6003.18</v>
      </c>
      <c r="T56" s="65">
        <f>72182</f>
        <v>72182</v>
      </c>
      <c r="U56" s="65" t="str">
        <f>"－"</f>
        <v>－</v>
      </c>
      <c r="V56" s="65">
        <f>432092610</f>
        <v>432092610</v>
      </c>
      <c r="W56" s="65" t="str">
        <f>"－"</f>
        <v>－</v>
      </c>
      <c r="X56" s="69">
        <f>22</f>
        <v>22</v>
      </c>
    </row>
    <row r="57" spans="1:24">
      <c r="A57" s="60" t="s">
        <v>934</v>
      </c>
      <c r="B57" s="60" t="s">
        <v>212</v>
      </c>
      <c r="C57" s="60" t="s">
        <v>213</v>
      </c>
      <c r="D57" s="60" t="s">
        <v>214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15800</f>
        <v>15800</v>
      </c>
      <c r="L57" s="67" t="s">
        <v>840</v>
      </c>
      <c r="M57" s="66">
        <f>17000</f>
        <v>17000</v>
      </c>
      <c r="N57" s="67" t="s">
        <v>245</v>
      </c>
      <c r="O57" s="66">
        <f>15430</f>
        <v>15430</v>
      </c>
      <c r="P57" s="67" t="s">
        <v>65</v>
      </c>
      <c r="Q57" s="66">
        <f>16830</f>
        <v>16830</v>
      </c>
      <c r="R57" s="67" t="s">
        <v>50</v>
      </c>
      <c r="S57" s="68">
        <f>15965.45</f>
        <v>15965.45</v>
      </c>
      <c r="T57" s="65">
        <f>7041442</f>
        <v>7041442</v>
      </c>
      <c r="U57" s="65">
        <f>25095</f>
        <v>25095</v>
      </c>
      <c r="V57" s="65">
        <f>113054120200</f>
        <v>113054120200</v>
      </c>
      <c r="W57" s="65">
        <f>425353040</f>
        <v>425353040</v>
      </c>
      <c r="X57" s="69">
        <f>22</f>
        <v>22</v>
      </c>
    </row>
    <row r="58" spans="1:24">
      <c r="A58" s="60" t="s">
        <v>934</v>
      </c>
      <c r="B58" s="60" t="s">
        <v>215</v>
      </c>
      <c r="C58" s="60" t="s">
        <v>216</v>
      </c>
      <c r="D58" s="60" t="s">
        <v>217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2111</f>
        <v>2111</v>
      </c>
      <c r="L58" s="67" t="s">
        <v>840</v>
      </c>
      <c r="M58" s="66">
        <f>2158</f>
        <v>2158</v>
      </c>
      <c r="N58" s="67" t="s">
        <v>65</v>
      </c>
      <c r="O58" s="66">
        <f>1945</f>
        <v>1945</v>
      </c>
      <c r="P58" s="67" t="s">
        <v>245</v>
      </c>
      <c r="Q58" s="66">
        <f>1965</f>
        <v>1965</v>
      </c>
      <c r="R58" s="67" t="s">
        <v>50</v>
      </c>
      <c r="S58" s="68">
        <f>2082.45</f>
        <v>2082.4499999999998</v>
      </c>
      <c r="T58" s="65">
        <f>46827630</f>
        <v>46827630</v>
      </c>
      <c r="U58" s="65">
        <f>10084</f>
        <v>10084</v>
      </c>
      <c r="V58" s="65">
        <f>97048101747</f>
        <v>97048101747</v>
      </c>
      <c r="W58" s="65">
        <f>21354202</f>
        <v>21354202</v>
      </c>
      <c r="X58" s="69">
        <f>22</f>
        <v>22</v>
      </c>
    </row>
    <row r="59" spans="1:24">
      <c r="A59" s="60" t="s">
        <v>934</v>
      </c>
      <c r="B59" s="60" t="s">
        <v>218</v>
      </c>
      <c r="C59" s="60" t="s">
        <v>219</v>
      </c>
      <c r="D59" s="60" t="s">
        <v>220</v>
      </c>
      <c r="E59" s="61" t="s">
        <v>46</v>
      </c>
      <c r="F59" s="62" t="s">
        <v>46</v>
      </c>
      <c r="G59" s="63" t="s">
        <v>46</v>
      </c>
      <c r="H59" s="64"/>
      <c r="I59" s="64" t="s">
        <v>47</v>
      </c>
      <c r="J59" s="65">
        <v>1</v>
      </c>
      <c r="K59" s="66">
        <f>23590</f>
        <v>23590</v>
      </c>
      <c r="L59" s="67" t="s">
        <v>833</v>
      </c>
      <c r="M59" s="66">
        <f>23590</f>
        <v>23590</v>
      </c>
      <c r="N59" s="67" t="s">
        <v>833</v>
      </c>
      <c r="O59" s="66">
        <f>22440</f>
        <v>22440</v>
      </c>
      <c r="P59" s="67" t="s">
        <v>72</v>
      </c>
      <c r="Q59" s="66">
        <f>23030</f>
        <v>23030</v>
      </c>
      <c r="R59" s="67" t="s">
        <v>95</v>
      </c>
      <c r="S59" s="68">
        <f>23190</f>
        <v>23190</v>
      </c>
      <c r="T59" s="65">
        <f>94</f>
        <v>94</v>
      </c>
      <c r="U59" s="65" t="str">
        <f t="shared" ref="U59:U68" si="2">"－"</f>
        <v>－</v>
      </c>
      <c r="V59" s="65">
        <f>2158320</f>
        <v>2158320</v>
      </c>
      <c r="W59" s="65" t="str">
        <f t="shared" ref="W59:W68" si="3">"－"</f>
        <v>－</v>
      </c>
      <c r="X59" s="69">
        <f>14</f>
        <v>14</v>
      </c>
    </row>
    <row r="60" spans="1:24">
      <c r="A60" s="60" t="s">
        <v>934</v>
      </c>
      <c r="B60" s="60" t="s">
        <v>221</v>
      </c>
      <c r="C60" s="60" t="s">
        <v>222</v>
      </c>
      <c r="D60" s="60" t="s">
        <v>223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12310</f>
        <v>12310</v>
      </c>
      <c r="L60" s="67" t="s">
        <v>840</v>
      </c>
      <c r="M60" s="66">
        <f>13020</f>
        <v>13020</v>
      </c>
      <c r="N60" s="67" t="s">
        <v>245</v>
      </c>
      <c r="O60" s="66">
        <f>12070</f>
        <v>12070</v>
      </c>
      <c r="P60" s="67" t="s">
        <v>309</v>
      </c>
      <c r="Q60" s="66">
        <f>12830</f>
        <v>12830</v>
      </c>
      <c r="R60" s="67" t="s">
        <v>50</v>
      </c>
      <c r="S60" s="68">
        <f>12450.45</f>
        <v>12450.45</v>
      </c>
      <c r="T60" s="65">
        <f>4894</f>
        <v>4894</v>
      </c>
      <c r="U60" s="65" t="str">
        <f t="shared" si="2"/>
        <v>－</v>
      </c>
      <c r="V60" s="65">
        <f>61437780</f>
        <v>61437780</v>
      </c>
      <c r="W60" s="65" t="str">
        <f t="shared" si="3"/>
        <v>－</v>
      </c>
      <c r="X60" s="69">
        <f>22</f>
        <v>22</v>
      </c>
    </row>
    <row r="61" spans="1:24">
      <c r="A61" s="60" t="s">
        <v>934</v>
      </c>
      <c r="B61" s="60" t="s">
        <v>224</v>
      </c>
      <c r="C61" s="60" t="s">
        <v>225</v>
      </c>
      <c r="D61" s="60" t="s">
        <v>226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5880</f>
        <v>5880</v>
      </c>
      <c r="L61" s="67" t="s">
        <v>840</v>
      </c>
      <c r="M61" s="66">
        <f>5930</f>
        <v>5930</v>
      </c>
      <c r="N61" s="67" t="s">
        <v>309</v>
      </c>
      <c r="O61" s="66">
        <f>5700</f>
        <v>5700</v>
      </c>
      <c r="P61" s="67" t="s">
        <v>245</v>
      </c>
      <c r="Q61" s="66">
        <f>5720</f>
        <v>5720</v>
      </c>
      <c r="R61" s="67" t="s">
        <v>50</v>
      </c>
      <c r="S61" s="68">
        <f>5841.05</f>
        <v>5841.05</v>
      </c>
      <c r="T61" s="65">
        <f>1714</f>
        <v>1714</v>
      </c>
      <c r="U61" s="65" t="str">
        <f t="shared" si="2"/>
        <v>－</v>
      </c>
      <c r="V61" s="65">
        <f>9920530</f>
        <v>9920530</v>
      </c>
      <c r="W61" s="65" t="str">
        <f t="shared" si="3"/>
        <v>－</v>
      </c>
      <c r="X61" s="69">
        <f>19</f>
        <v>19</v>
      </c>
    </row>
    <row r="62" spans="1:24">
      <c r="A62" s="60" t="s">
        <v>934</v>
      </c>
      <c r="B62" s="60" t="s">
        <v>227</v>
      </c>
      <c r="C62" s="60" t="s">
        <v>228</v>
      </c>
      <c r="D62" s="60" t="s">
        <v>229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2769</f>
        <v>2769</v>
      </c>
      <c r="L62" s="67" t="s">
        <v>840</v>
      </c>
      <c r="M62" s="66">
        <f>2837</f>
        <v>2837</v>
      </c>
      <c r="N62" s="67" t="s">
        <v>99</v>
      </c>
      <c r="O62" s="66">
        <f>2600</f>
        <v>2600</v>
      </c>
      <c r="P62" s="67" t="s">
        <v>245</v>
      </c>
      <c r="Q62" s="66">
        <f>2641</f>
        <v>2641</v>
      </c>
      <c r="R62" s="67" t="s">
        <v>50</v>
      </c>
      <c r="S62" s="68">
        <f>2739.23</f>
        <v>2739.23</v>
      </c>
      <c r="T62" s="65">
        <f>12931</f>
        <v>12931</v>
      </c>
      <c r="U62" s="65" t="str">
        <f t="shared" si="2"/>
        <v>－</v>
      </c>
      <c r="V62" s="65">
        <f>35208957</f>
        <v>35208957</v>
      </c>
      <c r="W62" s="65" t="str">
        <f t="shared" si="3"/>
        <v>－</v>
      </c>
      <c r="X62" s="69">
        <f>22</f>
        <v>22</v>
      </c>
    </row>
    <row r="63" spans="1:24">
      <c r="A63" s="60" t="s">
        <v>934</v>
      </c>
      <c r="B63" s="60" t="s">
        <v>230</v>
      </c>
      <c r="C63" s="60" t="s">
        <v>231</v>
      </c>
      <c r="D63" s="60" t="s">
        <v>232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11630</f>
        <v>11630</v>
      </c>
      <c r="L63" s="67" t="s">
        <v>840</v>
      </c>
      <c r="M63" s="66">
        <f>12520</f>
        <v>12520</v>
      </c>
      <c r="N63" s="67" t="s">
        <v>245</v>
      </c>
      <c r="O63" s="66">
        <f>11370</f>
        <v>11370</v>
      </c>
      <c r="P63" s="67" t="s">
        <v>65</v>
      </c>
      <c r="Q63" s="66">
        <f>12470</f>
        <v>12470</v>
      </c>
      <c r="R63" s="67" t="s">
        <v>50</v>
      </c>
      <c r="S63" s="68">
        <f>11986.84</f>
        <v>11986.84</v>
      </c>
      <c r="T63" s="65">
        <f>6370</f>
        <v>6370</v>
      </c>
      <c r="U63" s="65" t="str">
        <f t="shared" si="2"/>
        <v>－</v>
      </c>
      <c r="V63" s="65">
        <f>76536300</f>
        <v>76536300</v>
      </c>
      <c r="W63" s="65" t="str">
        <f t="shared" si="3"/>
        <v>－</v>
      </c>
      <c r="X63" s="69">
        <f>19</f>
        <v>19</v>
      </c>
    </row>
    <row r="64" spans="1:24">
      <c r="A64" s="60" t="s">
        <v>934</v>
      </c>
      <c r="B64" s="60" t="s">
        <v>233</v>
      </c>
      <c r="C64" s="60" t="s">
        <v>234</v>
      </c>
      <c r="D64" s="60" t="s">
        <v>235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5700</f>
        <v>5700</v>
      </c>
      <c r="L64" s="67" t="s">
        <v>833</v>
      </c>
      <c r="M64" s="66">
        <f>5890</f>
        <v>5890</v>
      </c>
      <c r="N64" s="67" t="s">
        <v>65</v>
      </c>
      <c r="O64" s="66">
        <f>5550</f>
        <v>5550</v>
      </c>
      <c r="P64" s="67" t="s">
        <v>245</v>
      </c>
      <c r="Q64" s="66">
        <f>5700</f>
        <v>5700</v>
      </c>
      <c r="R64" s="67" t="s">
        <v>50</v>
      </c>
      <c r="S64" s="68">
        <f>5702.67</f>
        <v>5702.67</v>
      </c>
      <c r="T64" s="65">
        <f>1650</f>
        <v>1650</v>
      </c>
      <c r="U64" s="65" t="str">
        <f t="shared" si="2"/>
        <v>－</v>
      </c>
      <c r="V64" s="65">
        <f>9430900</f>
        <v>9430900</v>
      </c>
      <c r="W64" s="65" t="str">
        <f t="shared" si="3"/>
        <v>－</v>
      </c>
      <c r="X64" s="69">
        <f>15</f>
        <v>15</v>
      </c>
    </row>
    <row r="65" spans="1:24">
      <c r="A65" s="60" t="s">
        <v>934</v>
      </c>
      <c r="B65" s="60" t="s">
        <v>236</v>
      </c>
      <c r="C65" s="60" t="s">
        <v>237</v>
      </c>
      <c r="D65" s="60" t="s">
        <v>238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2809</f>
        <v>2809</v>
      </c>
      <c r="L65" s="67" t="s">
        <v>840</v>
      </c>
      <c r="M65" s="66">
        <f>2815</f>
        <v>2815</v>
      </c>
      <c r="N65" s="67" t="s">
        <v>65</v>
      </c>
      <c r="O65" s="66">
        <f>2606</f>
        <v>2606</v>
      </c>
      <c r="P65" s="67" t="s">
        <v>245</v>
      </c>
      <c r="Q65" s="66">
        <f>2649</f>
        <v>2649</v>
      </c>
      <c r="R65" s="67" t="s">
        <v>50</v>
      </c>
      <c r="S65" s="68">
        <f>2735.36</f>
        <v>2735.36</v>
      </c>
      <c r="T65" s="65">
        <f>31470</f>
        <v>31470</v>
      </c>
      <c r="U65" s="65" t="str">
        <f t="shared" si="2"/>
        <v>－</v>
      </c>
      <c r="V65" s="65">
        <f>85410120</f>
        <v>85410120</v>
      </c>
      <c r="W65" s="65" t="str">
        <f t="shared" si="3"/>
        <v>－</v>
      </c>
      <c r="X65" s="69">
        <f>22</f>
        <v>22</v>
      </c>
    </row>
    <row r="66" spans="1:24">
      <c r="A66" s="60" t="s">
        <v>934</v>
      </c>
      <c r="B66" s="60" t="s">
        <v>239</v>
      </c>
      <c r="C66" s="60" t="s">
        <v>240</v>
      </c>
      <c r="D66" s="60" t="s">
        <v>241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f>22700</f>
        <v>22700</v>
      </c>
      <c r="L66" s="67" t="s">
        <v>840</v>
      </c>
      <c r="M66" s="66">
        <f>23680</f>
        <v>23680</v>
      </c>
      <c r="N66" s="67" t="s">
        <v>150</v>
      </c>
      <c r="O66" s="66">
        <f>21380</f>
        <v>21380</v>
      </c>
      <c r="P66" s="67" t="s">
        <v>150</v>
      </c>
      <c r="Q66" s="66">
        <f>23130</f>
        <v>23130</v>
      </c>
      <c r="R66" s="67" t="s">
        <v>50</v>
      </c>
      <c r="S66" s="68">
        <f>22575</f>
        <v>22575</v>
      </c>
      <c r="T66" s="65">
        <f>2756</f>
        <v>2756</v>
      </c>
      <c r="U66" s="65" t="str">
        <f t="shared" si="2"/>
        <v>－</v>
      </c>
      <c r="V66" s="65">
        <f>62321910</f>
        <v>62321910</v>
      </c>
      <c r="W66" s="65" t="str">
        <f t="shared" si="3"/>
        <v>－</v>
      </c>
      <c r="X66" s="69">
        <f>22</f>
        <v>22</v>
      </c>
    </row>
    <row r="67" spans="1:24">
      <c r="A67" s="60" t="s">
        <v>934</v>
      </c>
      <c r="B67" s="60" t="s">
        <v>242</v>
      </c>
      <c r="C67" s="60" t="s">
        <v>243</v>
      </c>
      <c r="D67" s="60" t="s">
        <v>244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3855</f>
        <v>3855</v>
      </c>
      <c r="L67" s="67" t="s">
        <v>840</v>
      </c>
      <c r="M67" s="66">
        <f>3935</f>
        <v>3935</v>
      </c>
      <c r="N67" s="67" t="s">
        <v>119</v>
      </c>
      <c r="O67" s="66">
        <f>3675</f>
        <v>3675</v>
      </c>
      <c r="P67" s="67" t="s">
        <v>245</v>
      </c>
      <c r="Q67" s="66">
        <f>3720</f>
        <v>3720</v>
      </c>
      <c r="R67" s="67" t="s">
        <v>50</v>
      </c>
      <c r="S67" s="68">
        <f>3765.53</f>
        <v>3765.53</v>
      </c>
      <c r="T67" s="65">
        <f>1466</f>
        <v>1466</v>
      </c>
      <c r="U67" s="65" t="str">
        <f t="shared" si="2"/>
        <v>－</v>
      </c>
      <c r="V67" s="65">
        <f>5526540</f>
        <v>5526540</v>
      </c>
      <c r="W67" s="65" t="str">
        <f t="shared" si="3"/>
        <v>－</v>
      </c>
      <c r="X67" s="69">
        <f>19</f>
        <v>19</v>
      </c>
    </row>
    <row r="68" spans="1:24">
      <c r="A68" s="60" t="s">
        <v>934</v>
      </c>
      <c r="B68" s="60" t="s">
        <v>246</v>
      </c>
      <c r="C68" s="60" t="s">
        <v>247</v>
      </c>
      <c r="D68" s="60" t="s">
        <v>248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f>1120</f>
        <v>1120</v>
      </c>
      <c r="L68" s="67" t="s">
        <v>840</v>
      </c>
      <c r="M68" s="66">
        <f>1127</f>
        <v>1127</v>
      </c>
      <c r="N68" s="67" t="s">
        <v>99</v>
      </c>
      <c r="O68" s="66">
        <f>1013</f>
        <v>1013</v>
      </c>
      <c r="P68" s="67" t="s">
        <v>50</v>
      </c>
      <c r="Q68" s="66">
        <f>1058</f>
        <v>1058</v>
      </c>
      <c r="R68" s="67" t="s">
        <v>50</v>
      </c>
      <c r="S68" s="68">
        <f>1093.91</f>
        <v>1093.9100000000001</v>
      </c>
      <c r="T68" s="65">
        <f>73852</f>
        <v>73852</v>
      </c>
      <c r="U68" s="65" t="str">
        <f t="shared" si="2"/>
        <v>－</v>
      </c>
      <c r="V68" s="65">
        <f>79358966</f>
        <v>79358966</v>
      </c>
      <c r="W68" s="65" t="str">
        <f t="shared" si="3"/>
        <v>－</v>
      </c>
      <c r="X68" s="69">
        <f>22</f>
        <v>22</v>
      </c>
    </row>
    <row r="69" spans="1:24">
      <c r="A69" s="60" t="s">
        <v>934</v>
      </c>
      <c r="B69" s="60" t="s">
        <v>249</v>
      </c>
      <c r="C69" s="60" t="s">
        <v>250</v>
      </c>
      <c r="D69" s="60" t="s">
        <v>251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10</v>
      </c>
      <c r="K69" s="66">
        <f>1792</f>
        <v>1792</v>
      </c>
      <c r="L69" s="67" t="s">
        <v>840</v>
      </c>
      <c r="M69" s="66">
        <f>1852</f>
        <v>1852</v>
      </c>
      <c r="N69" s="67" t="s">
        <v>245</v>
      </c>
      <c r="O69" s="66">
        <f>1782</f>
        <v>1782</v>
      </c>
      <c r="P69" s="67" t="s">
        <v>65</v>
      </c>
      <c r="Q69" s="66">
        <f>1844</f>
        <v>1844</v>
      </c>
      <c r="R69" s="67" t="s">
        <v>50</v>
      </c>
      <c r="S69" s="68">
        <f>1810.95</f>
        <v>1810.95</v>
      </c>
      <c r="T69" s="65">
        <f>6997980</f>
        <v>6997980</v>
      </c>
      <c r="U69" s="65">
        <f>5874000</f>
        <v>5874000</v>
      </c>
      <c r="V69" s="65">
        <f>12717247510</f>
        <v>12717247510</v>
      </c>
      <c r="W69" s="65">
        <f>10681110800</f>
        <v>10681110800</v>
      </c>
      <c r="X69" s="69">
        <f>22</f>
        <v>22</v>
      </c>
    </row>
    <row r="70" spans="1:24">
      <c r="A70" s="60" t="s">
        <v>934</v>
      </c>
      <c r="B70" s="60" t="s">
        <v>252</v>
      </c>
      <c r="C70" s="60" t="s">
        <v>253</v>
      </c>
      <c r="D70" s="60" t="s">
        <v>254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16570</f>
        <v>16570</v>
      </c>
      <c r="L70" s="67" t="s">
        <v>840</v>
      </c>
      <c r="M70" s="66">
        <f>16740</f>
        <v>16740</v>
      </c>
      <c r="N70" s="67" t="s">
        <v>245</v>
      </c>
      <c r="O70" s="66">
        <f>15970</f>
        <v>15970</v>
      </c>
      <c r="P70" s="67" t="s">
        <v>61</v>
      </c>
      <c r="Q70" s="66">
        <f>16660</f>
        <v>16660</v>
      </c>
      <c r="R70" s="67" t="s">
        <v>50</v>
      </c>
      <c r="S70" s="68">
        <f>16369.09</f>
        <v>16369.09</v>
      </c>
      <c r="T70" s="65">
        <f>194669</f>
        <v>194669</v>
      </c>
      <c r="U70" s="65">
        <f>92800</f>
        <v>92800</v>
      </c>
      <c r="V70" s="65">
        <f>3184824250</f>
        <v>3184824250</v>
      </c>
      <c r="W70" s="65">
        <f>1516205600</f>
        <v>1516205600</v>
      </c>
      <c r="X70" s="69">
        <f>22</f>
        <v>22</v>
      </c>
    </row>
    <row r="71" spans="1:24">
      <c r="A71" s="60" t="s">
        <v>934</v>
      </c>
      <c r="B71" s="60" t="s">
        <v>255</v>
      </c>
      <c r="C71" s="60" t="s">
        <v>256</v>
      </c>
      <c r="D71" s="60" t="s">
        <v>257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1804</f>
        <v>1804</v>
      </c>
      <c r="L71" s="67" t="s">
        <v>840</v>
      </c>
      <c r="M71" s="66">
        <f>1865</f>
        <v>1865</v>
      </c>
      <c r="N71" s="67" t="s">
        <v>245</v>
      </c>
      <c r="O71" s="66">
        <f>1793</f>
        <v>1793</v>
      </c>
      <c r="P71" s="67" t="s">
        <v>65</v>
      </c>
      <c r="Q71" s="66">
        <f>1852</f>
        <v>1852</v>
      </c>
      <c r="R71" s="67" t="s">
        <v>50</v>
      </c>
      <c r="S71" s="68">
        <f>1823.18</f>
        <v>1823.18</v>
      </c>
      <c r="T71" s="65">
        <f>4530926</f>
        <v>4530926</v>
      </c>
      <c r="U71" s="65">
        <f>1137254</f>
        <v>1137254</v>
      </c>
      <c r="V71" s="65">
        <f>8250076693</f>
        <v>8250076693</v>
      </c>
      <c r="W71" s="65">
        <f>2076397924</f>
        <v>2076397924</v>
      </c>
      <c r="X71" s="69">
        <f>22</f>
        <v>22</v>
      </c>
    </row>
    <row r="72" spans="1:24">
      <c r="A72" s="60" t="s">
        <v>934</v>
      </c>
      <c r="B72" s="60" t="s">
        <v>258</v>
      </c>
      <c r="C72" s="60" t="s">
        <v>259</v>
      </c>
      <c r="D72" s="60" t="s">
        <v>260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1734</f>
        <v>1734</v>
      </c>
      <c r="L72" s="67" t="s">
        <v>840</v>
      </c>
      <c r="M72" s="66">
        <f>1846</f>
        <v>1846</v>
      </c>
      <c r="N72" s="67" t="s">
        <v>50</v>
      </c>
      <c r="O72" s="66">
        <f>1728</f>
        <v>1728</v>
      </c>
      <c r="P72" s="67" t="s">
        <v>814</v>
      </c>
      <c r="Q72" s="66">
        <f>1833</f>
        <v>1833</v>
      </c>
      <c r="R72" s="67" t="s">
        <v>50</v>
      </c>
      <c r="S72" s="68">
        <f>1763.59</f>
        <v>1763.59</v>
      </c>
      <c r="T72" s="65">
        <f>2154995</f>
        <v>2154995</v>
      </c>
      <c r="U72" s="65">
        <f>918011</f>
        <v>918011</v>
      </c>
      <c r="V72" s="65">
        <f>3797521671</f>
        <v>3797521671</v>
      </c>
      <c r="W72" s="65">
        <f>1610001617</f>
        <v>1610001617</v>
      </c>
      <c r="X72" s="69">
        <f>22</f>
        <v>22</v>
      </c>
    </row>
    <row r="73" spans="1:24">
      <c r="A73" s="60" t="s">
        <v>934</v>
      </c>
      <c r="B73" s="60" t="s">
        <v>261</v>
      </c>
      <c r="C73" s="60" t="s">
        <v>262</v>
      </c>
      <c r="D73" s="60" t="s">
        <v>263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1811</f>
        <v>1811</v>
      </c>
      <c r="L73" s="67" t="s">
        <v>840</v>
      </c>
      <c r="M73" s="66">
        <f>1840</f>
        <v>1840</v>
      </c>
      <c r="N73" s="67" t="s">
        <v>245</v>
      </c>
      <c r="O73" s="66">
        <f>1761</f>
        <v>1761</v>
      </c>
      <c r="P73" s="67" t="s">
        <v>99</v>
      </c>
      <c r="Q73" s="66">
        <f>1826</f>
        <v>1826</v>
      </c>
      <c r="R73" s="67" t="s">
        <v>50</v>
      </c>
      <c r="S73" s="68">
        <f>1799.91</f>
        <v>1799.91</v>
      </c>
      <c r="T73" s="65">
        <f>28702</f>
        <v>28702</v>
      </c>
      <c r="U73" s="65">
        <f>14934</f>
        <v>14934</v>
      </c>
      <c r="V73" s="65">
        <f>51822629</f>
        <v>51822629</v>
      </c>
      <c r="W73" s="65">
        <f>27025313</f>
        <v>27025313</v>
      </c>
      <c r="X73" s="69">
        <f>22</f>
        <v>22</v>
      </c>
    </row>
    <row r="74" spans="1:24">
      <c r="A74" s="60" t="s">
        <v>934</v>
      </c>
      <c r="B74" s="60" t="s">
        <v>264</v>
      </c>
      <c r="C74" s="60" t="s">
        <v>265</v>
      </c>
      <c r="D74" s="60" t="s">
        <v>266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1871</f>
        <v>1871</v>
      </c>
      <c r="L74" s="67" t="s">
        <v>840</v>
      </c>
      <c r="M74" s="66">
        <f>1945</f>
        <v>1945</v>
      </c>
      <c r="N74" s="67" t="s">
        <v>90</v>
      </c>
      <c r="O74" s="66">
        <f>1854</f>
        <v>1854</v>
      </c>
      <c r="P74" s="67" t="s">
        <v>840</v>
      </c>
      <c r="Q74" s="66">
        <f>1929</f>
        <v>1929</v>
      </c>
      <c r="R74" s="67" t="s">
        <v>50</v>
      </c>
      <c r="S74" s="68">
        <f>1906.23</f>
        <v>1906.23</v>
      </c>
      <c r="T74" s="65">
        <f>223168</f>
        <v>223168</v>
      </c>
      <c r="U74" s="65" t="str">
        <f>"－"</f>
        <v>－</v>
      </c>
      <c r="V74" s="65">
        <f>424603532</f>
        <v>424603532</v>
      </c>
      <c r="W74" s="65" t="str">
        <f>"－"</f>
        <v>－</v>
      </c>
      <c r="X74" s="69">
        <f>22</f>
        <v>22</v>
      </c>
    </row>
    <row r="75" spans="1:24">
      <c r="A75" s="60" t="s">
        <v>934</v>
      </c>
      <c r="B75" s="60" t="s">
        <v>267</v>
      </c>
      <c r="C75" s="60" t="s">
        <v>268</v>
      </c>
      <c r="D75" s="60" t="s">
        <v>269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21490</f>
        <v>21490</v>
      </c>
      <c r="L75" s="67" t="s">
        <v>840</v>
      </c>
      <c r="M75" s="66">
        <f>22240</f>
        <v>22240</v>
      </c>
      <c r="N75" s="67" t="s">
        <v>245</v>
      </c>
      <c r="O75" s="66">
        <f>21330</f>
        <v>21330</v>
      </c>
      <c r="P75" s="67" t="s">
        <v>65</v>
      </c>
      <c r="Q75" s="66">
        <f>22240</f>
        <v>22240</v>
      </c>
      <c r="R75" s="67" t="s">
        <v>245</v>
      </c>
      <c r="S75" s="68">
        <f>21604.62</f>
        <v>21604.62</v>
      </c>
      <c r="T75" s="65">
        <f>73</f>
        <v>73</v>
      </c>
      <c r="U75" s="65" t="str">
        <f>"－"</f>
        <v>－</v>
      </c>
      <c r="V75" s="65">
        <f>1573830</f>
        <v>1573830</v>
      </c>
      <c r="W75" s="65" t="str">
        <f>"－"</f>
        <v>－</v>
      </c>
      <c r="X75" s="69">
        <f>13</f>
        <v>13</v>
      </c>
    </row>
    <row r="76" spans="1:24">
      <c r="A76" s="60" t="s">
        <v>934</v>
      </c>
      <c r="B76" s="60" t="s">
        <v>270</v>
      </c>
      <c r="C76" s="60" t="s">
        <v>271</v>
      </c>
      <c r="D76" s="60" t="s">
        <v>272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18120</f>
        <v>18120</v>
      </c>
      <c r="L76" s="67" t="s">
        <v>833</v>
      </c>
      <c r="M76" s="66">
        <f>18450</f>
        <v>18450</v>
      </c>
      <c r="N76" s="67" t="s">
        <v>50</v>
      </c>
      <c r="O76" s="66">
        <f>17880</f>
        <v>17880</v>
      </c>
      <c r="P76" s="67" t="s">
        <v>309</v>
      </c>
      <c r="Q76" s="66">
        <f>18380</f>
        <v>18380</v>
      </c>
      <c r="R76" s="67" t="s">
        <v>50</v>
      </c>
      <c r="S76" s="68">
        <f>18107.14</f>
        <v>18107.14</v>
      </c>
      <c r="T76" s="65">
        <f>449</f>
        <v>449</v>
      </c>
      <c r="U76" s="65" t="str">
        <f>"－"</f>
        <v>－</v>
      </c>
      <c r="V76" s="65">
        <f>8074690</f>
        <v>8074690</v>
      </c>
      <c r="W76" s="65" t="str">
        <f>"－"</f>
        <v>－</v>
      </c>
      <c r="X76" s="69">
        <f>14</f>
        <v>14</v>
      </c>
    </row>
    <row r="77" spans="1:24">
      <c r="A77" s="60" t="s">
        <v>934</v>
      </c>
      <c r="B77" s="60" t="s">
        <v>273</v>
      </c>
      <c r="C77" s="60" t="s">
        <v>274</v>
      </c>
      <c r="D77" s="60" t="s">
        <v>275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1775</f>
        <v>1775</v>
      </c>
      <c r="L77" s="67" t="s">
        <v>840</v>
      </c>
      <c r="M77" s="66">
        <f>1838</f>
        <v>1838</v>
      </c>
      <c r="N77" s="67" t="s">
        <v>245</v>
      </c>
      <c r="O77" s="66">
        <f>1753</f>
        <v>1753</v>
      </c>
      <c r="P77" s="67" t="s">
        <v>65</v>
      </c>
      <c r="Q77" s="66">
        <f>1836</f>
        <v>1836</v>
      </c>
      <c r="R77" s="67" t="s">
        <v>50</v>
      </c>
      <c r="S77" s="68">
        <f>1789.64</f>
        <v>1789.64</v>
      </c>
      <c r="T77" s="65">
        <f>3521</f>
        <v>3521</v>
      </c>
      <c r="U77" s="65" t="str">
        <f>"－"</f>
        <v>－</v>
      </c>
      <c r="V77" s="65">
        <f>6306894</f>
        <v>6306894</v>
      </c>
      <c r="W77" s="65" t="str">
        <f>"－"</f>
        <v>－</v>
      </c>
      <c r="X77" s="69">
        <f>22</f>
        <v>22</v>
      </c>
    </row>
    <row r="78" spans="1:24">
      <c r="A78" s="60" t="s">
        <v>934</v>
      </c>
      <c r="B78" s="60" t="s">
        <v>276</v>
      </c>
      <c r="C78" s="60" t="s">
        <v>277</v>
      </c>
      <c r="D78" s="60" t="s">
        <v>278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2481</f>
        <v>2481</v>
      </c>
      <c r="L78" s="67" t="s">
        <v>840</v>
      </c>
      <c r="M78" s="66">
        <f>2481</f>
        <v>2481</v>
      </c>
      <c r="N78" s="67" t="s">
        <v>840</v>
      </c>
      <c r="O78" s="66">
        <f>2457</f>
        <v>2457</v>
      </c>
      <c r="P78" s="67" t="s">
        <v>100</v>
      </c>
      <c r="Q78" s="66">
        <f>2463</f>
        <v>2463</v>
      </c>
      <c r="R78" s="67" t="s">
        <v>50</v>
      </c>
      <c r="S78" s="68">
        <f>2466.64</f>
        <v>2466.64</v>
      </c>
      <c r="T78" s="65">
        <f>2486851</f>
        <v>2486851</v>
      </c>
      <c r="U78" s="65">
        <f>10</f>
        <v>10</v>
      </c>
      <c r="V78" s="65">
        <f>6132803598</f>
        <v>6132803598</v>
      </c>
      <c r="W78" s="65">
        <f>24659</f>
        <v>24659</v>
      </c>
      <c r="X78" s="69">
        <f>22</f>
        <v>22</v>
      </c>
    </row>
    <row r="79" spans="1:24">
      <c r="A79" s="60" t="s">
        <v>934</v>
      </c>
      <c r="B79" s="60" t="s">
        <v>279</v>
      </c>
      <c r="C79" s="60" t="s">
        <v>280</v>
      </c>
      <c r="D79" s="60" t="s">
        <v>281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f>1751</f>
        <v>1751</v>
      </c>
      <c r="L79" s="67" t="s">
        <v>840</v>
      </c>
      <c r="M79" s="66">
        <f>1810</f>
        <v>1810</v>
      </c>
      <c r="N79" s="67" t="s">
        <v>50</v>
      </c>
      <c r="O79" s="66">
        <f>1701</f>
        <v>1701</v>
      </c>
      <c r="P79" s="67" t="s">
        <v>99</v>
      </c>
      <c r="Q79" s="66">
        <f>1809</f>
        <v>1809</v>
      </c>
      <c r="R79" s="67" t="s">
        <v>50</v>
      </c>
      <c r="S79" s="68">
        <f>1760.33</f>
        <v>1760.33</v>
      </c>
      <c r="T79" s="65">
        <f>839</f>
        <v>839</v>
      </c>
      <c r="U79" s="65" t="str">
        <f>"－"</f>
        <v>－</v>
      </c>
      <c r="V79" s="65">
        <f>1474824</f>
        <v>1474824</v>
      </c>
      <c r="W79" s="65" t="str">
        <f>"－"</f>
        <v>－</v>
      </c>
      <c r="X79" s="69">
        <f>21</f>
        <v>21</v>
      </c>
    </row>
    <row r="80" spans="1:24">
      <c r="A80" s="60" t="s">
        <v>934</v>
      </c>
      <c r="B80" s="60" t="s">
        <v>282</v>
      </c>
      <c r="C80" s="60" t="s">
        <v>283</v>
      </c>
      <c r="D80" s="60" t="s">
        <v>284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10</v>
      </c>
      <c r="K80" s="66">
        <f>1749</f>
        <v>1749</v>
      </c>
      <c r="L80" s="67" t="s">
        <v>840</v>
      </c>
      <c r="M80" s="66">
        <f>1816</f>
        <v>1816</v>
      </c>
      <c r="N80" s="67" t="s">
        <v>245</v>
      </c>
      <c r="O80" s="66">
        <f>1735</f>
        <v>1735</v>
      </c>
      <c r="P80" s="67" t="s">
        <v>100</v>
      </c>
      <c r="Q80" s="66">
        <f>1807</f>
        <v>1807</v>
      </c>
      <c r="R80" s="67" t="s">
        <v>50</v>
      </c>
      <c r="S80" s="68">
        <f>1763.91</f>
        <v>1763.91</v>
      </c>
      <c r="T80" s="65">
        <f>12820</f>
        <v>12820</v>
      </c>
      <c r="U80" s="65" t="str">
        <f>"－"</f>
        <v>－</v>
      </c>
      <c r="V80" s="65">
        <f>22483820</f>
        <v>22483820</v>
      </c>
      <c r="W80" s="65" t="str">
        <f>"－"</f>
        <v>－</v>
      </c>
      <c r="X80" s="69">
        <f>22</f>
        <v>22</v>
      </c>
    </row>
    <row r="81" spans="1:24">
      <c r="A81" s="60" t="s">
        <v>934</v>
      </c>
      <c r="B81" s="60" t="s">
        <v>285</v>
      </c>
      <c r="C81" s="60" t="s">
        <v>286</v>
      </c>
      <c r="D81" s="60" t="s">
        <v>287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29640</f>
        <v>29640</v>
      </c>
      <c r="L81" s="67" t="s">
        <v>833</v>
      </c>
      <c r="M81" s="66">
        <f>29680</f>
        <v>29680</v>
      </c>
      <c r="N81" s="67" t="s">
        <v>72</v>
      </c>
      <c r="O81" s="66">
        <f>28170</f>
        <v>28170</v>
      </c>
      <c r="P81" s="67" t="s">
        <v>90</v>
      </c>
      <c r="Q81" s="66">
        <f>29290</f>
        <v>29290</v>
      </c>
      <c r="R81" s="67" t="s">
        <v>50</v>
      </c>
      <c r="S81" s="68">
        <f>29193.08</f>
        <v>29193.08</v>
      </c>
      <c r="T81" s="65">
        <f>96</f>
        <v>96</v>
      </c>
      <c r="U81" s="65" t="str">
        <f>"－"</f>
        <v>－</v>
      </c>
      <c r="V81" s="65">
        <f>2796270</f>
        <v>2796270</v>
      </c>
      <c r="W81" s="65" t="str">
        <f>"－"</f>
        <v>－</v>
      </c>
      <c r="X81" s="69">
        <f>13</f>
        <v>13</v>
      </c>
    </row>
    <row r="82" spans="1:24">
      <c r="A82" s="60" t="s">
        <v>934</v>
      </c>
      <c r="B82" s="60" t="s">
        <v>288</v>
      </c>
      <c r="C82" s="60" t="s">
        <v>289</v>
      </c>
      <c r="D82" s="60" t="s">
        <v>290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21490</f>
        <v>21490</v>
      </c>
      <c r="L82" s="67" t="s">
        <v>840</v>
      </c>
      <c r="M82" s="66">
        <f>21500</f>
        <v>21500</v>
      </c>
      <c r="N82" s="67" t="s">
        <v>840</v>
      </c>
      <c r="O82" s="66">
        <f>21140</f>
        <v>21140</v>
      </c>
      <c r="P82" s="67" t="s">
        <v>822</v>
      </c>
      <c r="Q82" s="66">
        <f>21180</f>
        <v>21180</v>
      </c>
      <c r="R82" s="67" t="s">
        <v>50</v>
      </c>
      <c r="S82" s="68">
        <f>21291.36</f>
        <v>21291.360000000001</v>
      </c>
      <c r="T82" s="65">
        <f>91613</f>
        <v>91613</v>
      </c>
      <c r="U82" s="65">
        <f>16500</f>
        <v>16500</v>
      </c>
      <c r="V82" s="65">
        <f>1944274400</f>
        <v>1944274400</v>
      </c>
      <c r="W82" s="65">
        <f>351067450</f>
        <v>351067450</v>
      </c>
      <c r="X82" s="69">
        <f>22</f>
        <v>22</v>
      </c>
    </row>
    <row r="83" spans="1:24">
      <c r="A83" s="60" t="s">
        <v>934</v>
      </c>
      <c r="B83" s="60" t="s">
        <v>291</v>
      </c>
      <c r="C83" s="60" t="s">
        <v>292</v>
      </c>
      <c r="D83" s="60" t="s">
        <v>293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</v>
      </c>
      <c r="K83" s="66">
        <f>19470</f>
        <v>19470</v>
      </c>
      <c r="L83" s="67" t="s">
        <v>840</v>
      </c>
      <c r="M83" s="66">
        <f>19500</f>
        <v>19500</v>
      </c>
      <c r="N83" s="67" t="s">
        <v>95</v>
      </c>
      <c r="O83" s="66">
        <f>19290</f>
        <v>19290</v>
      </c>
      <c r="P83" s="67" t="s">
        <v>100</v>
      </c>
      <c r="Q83" s="66">
        <f>19340</f>
        <v>19340</v>
      </c>
      <c r="R83" s="67" t="s">
        <v>50</v>
      </c>
      <c r="S83" s="68">
        <f>19362.27</f>
        <v>19362.27</v>
      </c>
      <c r="T83" s="65">
        <f>299719</f>
        <v>299719</v>
      </c>
      <c r="U83" s="65">
        <f>102500</f>
        <v>102500</v>
      </c>
      <c r="V83" s="65">
        <f>5803982695</f>
        <v>5803982695</v>
      </c>
      <c r="W83" s="65">
        <f>1985992425</f>
        <v>1985992425</v>
      </c>
      <c r="X83" s="69">
        <f>22</f>
        <v>22</v>
      </c>
    </row>
    <row r="84" spans="1:24">
      <c r="A84" s="60" t="s">
        <v>934</v>
      </c>
      <c r="B84" s="60" t="s">
        <v>294</v>
      </c>
      <c r="C84" s="60" t="s">
        <v>295</v>
      </c>
      <c r="D84" s="60" t="s">
        <v>296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10</v>
      </c>
      <c r="K84" s="66">
        <f>1745</f>
        <v>1745</v>
      </c>
      <c r="L84" s="67" t="s">
        <v>840</v>
      </c>
      <c r="M84" s="66">
        <f>1882</f>
        <v>1882</v>
      </c>
      <c r="N84" s="67" t="s">
        <v>245</v>
      </c>
      <c r="O84" s="66">
        <f>1726</f>
        <v>1726</v>
      </c>
      <c r="P84" s="67" t="s">
        <v>814</v>
      </c>
      <c r="Q84" s="66">
        <f>1834</f>
        <v>1834</v>
      </c>
      <c r="R84" s="67" t="s">
        <v>50</v>
      </c>
      <c r="S84" s="68">
        <f>1763.23</f>
        <v>1763.23</v>
      </c>
      <c r="T84" s="65">
        <f>1118180</f>
        <v>1118180</v>
      </c>
      <c r="U84" s="65">
        <f>590100</f>
        <v>590100</v>
      </c>
      <c r="V84" s="65">
        <f>1983099450</f>
        <v>1983099450</v>
      </c>
      <c r="W84" s="65">
        <f>1052956950</f>
        <v>1052956950</v>
      </c>
      <c r="X84" s="69">
        <f>22</f>
        <v>22</v>
      </c>
    </row>
    <row r="85" spans="1:24">
      <c r="A85" s="60" t="s">
        <v>934</v>
      </c>
      <c r="B85" s="60" t="s">
        <v>297</v>
      </c>
      <c r="C85" s="60" t="s">
        <v>298</v>
      </c>
      <c r="D85" s="60" t="s">
        <v>299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f>28850</f>
        <v>28850</v>
      </c>
      <c r="L85" s="67" t="s">
        <v>840</v>
      </c>
      <c r="M85" s="66">
        <f>30200</f>
        <v>30200</v>
      </c>
      <c r="N85" s="67" t="s">
        <v>150</v>
      </c>
      <c r="O85" s="66">
        <f>28800</f>
        <v>28800</v>
      </c>
      <c r="P85" s="67" t="s">
        <v>840</v>
      </c>
      <c r="Q85" s="66">
        <f>30000</f>
        <v>30000</v>
      </c>
      <c r="R85" s="67" t="s">
        <v>50</v>
      </c>
      <c r="S85" s="68">
        <f>29672.73</f>
        <v>29672.73</v>
      </c>
      <c r="T85" s="65">
        <f>35929</f>
        <v>35929</v>
      </c>
      <c r="U85" s="65">
        <f>2000</f>
        <v>2000</v>
      </c>
      <c r="V85" s="65">
        <f>1066523500</f>
        <v>1066523500</v>
      </c>
      <c r="W85" s="65">
        <f>59720000</f>
        <v>59720000</v>
      </c>
      <c r="X85" s="69">
        <f>22</f>
        <v>22</v>
      </c>
    </row>
    <row r="86" spans="1:24">
      <c r="A86" s="60" t="s">
        <v>934</v>
      </c>
      <c r="B86" s="60" t="s">
        <v>300</v>
      </c>
      <c r="C86" s="60" t="s">
        <v>301</v>
      </c>
      <c r="D86" s="60" t="s">
        <v>302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10</v>
      </c>
      <c r="K86" s="66">
        <f>7660</f>
        <v>7660</v>
      </c>
      <c r="L86" s="67" t="s">
        <v>833</v>
      </c>
      <c r="M86" s="66">
        <f>7720</f>
        <v>7720</v>
      </c>
      <c r="N86" s="67" t="s">
        <v>79</v>
      </c>
      <c r="O86" s="66">
        <f>7640</f>
        <v>7640</v>
      </c>
      <c r="P86" s="67" t="s">
        <v>79</v>
      </c>
      <c r="Q86" s="66">
        <f>7710</f>
        <v>7710</v>
      </c>
      <c r="R86" s="67" t="s">
        <v>50</v>
      </c>
      <c r="S86" s="68">
        <f>7665</f>
        <v>7665</v>
      </c>
      <c r="T86" s="65">
        <f>1090</f>
        <v>1090</v>
      </c>
      <c r="U86" s="65" t="str">
        <f>"－"</f>
        <v>－</v>
      </c>
      <c r="V86" s="65">
        <f>8375600</f>
        <v>8375600</v>
      </c>
      <c r="W86" s="65" t="str">
        <f>"－"</f>
        <v>－</v>
      </c>
      <c r="X86" s="69">
        <f>4</f>
        <v>4</v>
      </c>
    </row>
    <row r="87" spans="1:24">
      <c r="A87" s="60" t="s">
        <v>934</v>
      </c>
      <c r="B87" s="60" t="s">
        <v>303</v>
      </c>
      <c r="C87" s="60" t="s">
        <v>304</v>
      </c>
      <c r="D87" s="60" t="s">
        <v>305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14530</f>
        <v>14530</v>
      </c>
      <c r="L87" s="67" t="s">
        <v>840</v>
      </c>
      <c r="M87" s="66">
        <f>15180</f>
        <v>15180</v>
      </c>
      <c r="N87" s="67" t="s">
        <v>50</v>
      </c>
      <c r="O87" s="66">
        <f>14530</f>
        <v>14530</v>
      </c>
      <c r="P87" s="67" t="s">
        <v>840</v>
      </c>
      <c r="Q87" s="66">
        <f>15140</f>
        <v>15140</v>
      </c>
      <c r="R87" s="67" t="s">
        <v>50</v>
      </c>
      <c r="S87" s="68">
        <f>14805.71</f>
        <v>14805.71</v>
      </c>
      <c r="T87" s="65">
        <f>945</f>
        <v>945</v>
      </c>
      <c r="U87" s="65" t="str">
        <f>"－"</f>
        <v>－</v>
      </c>
      <c r="V87" s="65">
        <f>14065100</f>
        <v>14065100</v>
      </c>
      <c r="W87" s="65" t="str">
        <f>"－"</f>
        <v>－</v>
      </c>
      <c r="X87" s="69">
        <f>21</f>
        <v>21</v>
      </c>
    </row>
    <row r="88" spans="1:24">
      <c r="A88" s="60" t="s">
        <v>934</v>
      </c>
      <c r="B88" s="60" t="s">
        <v>306</v>
      </c>
      <c r="C88" s="60" t="s">
        <v>307</v>
      </c>
      <c r="D88" s="60" t="s">
        <v>308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14460</f>
        <v>14460</v>
      </c>
      <c r="L88" s="67" t="s">
        <v>840</v>
      </c>
      <c r="M88" s="66">
        <f>15180</f>
        <v>15180</v>
      </c>
      <c r="N88" s="67" t="s">
        <v>50</v>
      </c>
      <c r="O88" s="66">
        <f>14460</f>
        <v>14460</v>
      </c>
      <c r="P88" s="67" t="s">
        <v>840</v>
      </c>
      <c r="Q88" s="66">
        <f>15150</f>
        <v>15150</v>
      </c>
      <c r="R88" s="67" t="s">
        <v>50</v>
      </c>
      <c r="S88" s="68">
        <f>14864.09</f>
        <v>14864.09</v>
      </c>
      <c r="T88" s="65">
        <f>10182</f>
        <v>10182</v>
      </c>
      <c r="U88" s="65" t="str">
        <f>"－"</f>
        <v>－</v>
      </c>
      <c r="V88" s="65">
        <f>151339370</f>
        <v>151339370</v>
      </c>
      <c r="W88" s="65" t="str">
        <f>"－"</f>
        <v>－</v>
      </c>
      <c r="X88" s="69">
        <f>22</f>
        <v>22</v>
      </c>
    </row>
    <row r="89" spans="1:24">
      <c r="A89" s="60" t="s">
        <v>934</v>
      </c>
      <c r="B89" s="60" t="s">
        <v>310</v>
      </c>
      <c r="C89" s="60" t="s">
        <v>311</v>
      </c>
      <c r="D89" s="60" t="s">
        <v>312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f>16680</f>
        <v>16680</v>
      </c>
      <c r="L89" s="67" t="s">
        <v>840</v>
      </c>
      <c r="M89" s="66">
        <f>17320</f>
        <v>17320</v>
      </c>
      <c r="N89" s="67" t="s">
        <v>95</v>
      </c>
      <c r="O89" s="66">
        <f>16680</f>
        <v>16680</v>
      </c>
      <c r="P89" s="67" t="s">
        <v>840</v>
      </c>
      <c r="Q89" s="66">
        <f>17210</f>
        <v>17210</v>
      </c>
      <c r="R89" s="67" t="s">
        <v>50</v>
      </c>
      <c r="S89" s="68">
        <f>17077.27</f>
        <v>17077.27</v>
      </c>
      <c r="T89" s="65">
        <f>2315</f>
        <v>2315</v>
      </c>
      <c r="U89" s="65" t="str">
        <f>"－"</f>
        <v>－</v>
      </c>
      <c r="V89" s="65">
        <f>39580960</f>
        <v>39580960</v>
      </c>
      <c r="W89" s="65" t="str">
        <f>"－"</f>
        <v>－</v>
      </c>
      <c r="X89" s="69">
        <f>22</f>
        <v>22</v>
      </c>
    </row>
    <row r="90" spans="1:24">
      <c r="A90" s="60" t="s">
        <v>934</v>
      </c>
      <c r="B90" s="60" t="s">
        <v>313</v>
      </c>
      <c r="C90" s="60" t="s">
        <v>314</v>
      </c>
      <c r="D90" s="60" t="s">
        <v>315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10</v>
      </c>
      <c r="K90" s="66">
        <f>9860</f>
        <v>9860</v>
      </c>
      <c r="L90" s="67" t="s">
        <v>840</v>
      </c>
      <c r="M90" s="66">
        <f>10130</f>
        <v>10130</v>
      </c>
      <c r="N90" s="67" t="s">
        <v>100</v>
      </c>
      <c r="O90" s="66">
        <f>9730</f>
        <v>9730</v>
      </c>
      <c r="P90" s="67" t="s">
        <v>818</v>
      </c>
      <c r="Q90" s="66">
        <f>10030</f>
        <v>10030</v>
      </c>
      <c r="R90" s="67" t="s">
        <v>50</v>
      </c>
      <c r="S90" s="68">
        <f>9924.09</f>
        <v>9924.09</v>
      </c>
      <c r="T90" s="65">
        <f>14270</f>
        <v>14270</v>
      </c>
      <c r="U90" s="65" t="str">
        <f>"－"</f>
        <v>－</v>
      </c>
      <c r="V90" s="65">
        <f>141680000</f>
        <v>141680000</v>
      </c>
      <c r="W90" s="65" t="str">
        <f>"－"</f>
        <v>－</v>
      </c>
      <c r="X90" s="69">
        <f>22</f>
        <v>22</v>
      </c>
    </row>
    <row r="91" spans="1:24">
      <c r="A91" s="60" t="s">
        <v>934</v>
      </c>
      <c r="B91" s="60" t="s">
        <v>316</v>
      </c>
      <c r="C91" s="60" t="s">
        <v>317</v>
      </c>
      <c r="D91" s="60" t="s">
        <v>318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2702</f>
        <v>2702</v>
      </c>
      <c r="L91" s="67" t="s">
        <v>840</v>
      </c>
      <c r="M91" s="66">
        <f>2702</f>
        <v>2702</v>
      </c>
      <c r="N91" s="67" t="s">
        <v>840</v>
      </c>
      <c r="O91" s="66">
        <f>2660</f>
        <v>2660</v>
      </c>
      <c r="P91" s="67" t="s">
        <v>61</v>
      </c>
      <c r="Q91" s="66">
        <f>2690</f>
        <v>2690</v>
      </c>
      <c r="R91" s="67" t="s">
        <v>50</v>
      </c>
      <c r="S91" s="68">
        <f>2680.91</f>
        <v>2680.91</v>
      </c>
      <c r="T91" s="65">
        <f>304736</f>
        <v>304736</v>
      </c>
      <c r="U91" s="65">
        <f>159542</f>
        <v>159542</v>
      </c>
      <c r="V91" s="65">
        <f>816948212</f>
        <v>816948212</v>
      </c>
      <c r="W91" s="65">
        <f>427341898</f>
        <v>427341898</v>
      </c>
      <c r="X91" s="69">
        <f>22</f>
        <v>22</v>
      </c>
    </row>
    <row r="92" spans="1:24">
      <c r="A92" s="60" t="s">
        <v>934</v>
      </c>
      <c r="B92" s="60" t="s">
        <v>319</v>
      </c>
      <c r="C92" s="60" t="s">
        <v>320</v>
      </c>
      <c r="D92" s="60" t="s">
        <v>321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2340</f>
        <v>2340</v>
      </c>
      <c r="L92" s="67" t="s">
        <v>840</v>
      </c>
      <c r="M92" s="66">
        <f>2387</f>
        <v>2387</v>
      </c>
      <c r="N92" s="67" t="s">
        <v>816</v>
      </c>
      <c r="O92" s="66">
        <f>2335</f>
        <v>2335</v>
      </c>
      <c r="P92" s="67" t="s">
        <v>840</v>
      </c>
      <c r="Q92" s="66">
        <f>2379</f>
        <v>2379</v>
      </c>
      <c r="R92" s="67" t="s">
        <v>50</v>
      </c>
      <c r="S92" s="68">
        <f>2361.86</f>
        <v>2361.86</v>
      </c>
      <c r="T92" s="65">
        <f>422095</f>
        <v>422095</v>
      </c>
      <c r="U92" s="65">
        <f>150000</f>
        <v>150000</v>
      </c>
      <c r="V92" s="65">
        <f>996702198</f>
        <v>996702198</v>
      </c>
      <c r="W92" s="65">
        <f>354611295</f>
        <v>354611295</v>
      </c>
      <c r="X92" s="69">
        <f>22</f>
        <v>22</v>
      </c>
    </row>
    <row r="93" spans="1:24">
      <c r="A93" s="60" t="s">
        <v>934</v>
      </c>
      <c r="B93" s="60" t="s">
        <v>322</v>
      </c>
      <c r="C93" s="60" t="s">
        <v>323</v>
      </c>
      <c r="D93" s="60" t="s">
        <v>324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13320</f>
        <v>13320</v>
      </c>
      <c r="L93" s="67" t="s">
        <v>840</v>
      </c>
      <c r="M93" s="66">
        <f>13780</f>
        <v>13780</v>
      </c>
      <c r="N93" s="67" t="s">
        <v>245</v>
      </c>
      <c r="O93" s="66">
        <f>13220</f>
        <v>13220</v>
      </c>
      <c r="P93" s="67" t="s">
        <v>309</v>
      </c>
      <c r="Q93" s="66">
        <f>13680</f>
        <v>13680</v>
      </c>
      <c r="R93" s="67" t="s">
        <v>50</v>
      </c>
      <c r="S93" s="68">
        <f>13423.18</f>
        <v>13423.18</v>
      </c>
      <c r="T93" s="65">
        <f>4630</f>
        <v>4630</v>
      </c>
      <c r="U93" s="65" t="str">
        <f>"－"</f>
        <v>－</v>
      </c>
      <c r="V93" s="65">
        <f>62988170</f>
        <v>62988170</v>
      </c>
      <c r="W93" s="65" t="str">
        <f>"－"</f>
        <v>－</v>
      </c>
      <c r="X93" s="69">
        <f>22</f>
        <v>22</v>
      </c>
    </row>
    <row r="94" spans="1:24">
      <c r="A94" s="60" t="s">
        <v>934</v>
      </c>
      <c r="B94" s="60" t="s">
        <v>325</v>
      </c>
      <c r="C94" s="60" t="s">
        <v>326</v>
      </c>
      <c r="D94" s="60" t="s">
        <v>327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7790</f>
        <v>7790</v>
      </c>
      <c r="L94" s="67" t="s">
        <v>840</v>
      </c>
      <c r="M94" s="66">
        <f>7980</f>
        <v>7980</v>
      </c>
      <c r="N94" s="67" t="s">
        <v>90</v>
      </c>
      <c r="O94" s="66">
        <f>7730</f>
        <v>7730</v>
      </c>
      <c r="P94" s="67" t="s">
        <v>61</v>
      </c>
      <c r="Q94" s="66">
        <f>7920</f>
        <v>7920</v>
      </c>
      <c r="R94" s="67" t="s">
        <v>50</v>
      </c>
      <c r="S94" s="68">
        <f>7858.1</f>
        <v>7858.1</v>
      </c>
      <c r="T94" s="65">
        <f>332</f>
        <v>332</v>
      </c>
      <c r="U94" s="65" t="str">
        <f>"－"</f>
        <v>－</v>
      </c>
      <c r="V94" s="65">
        <f>2613040</f>
        <v>2613040</v>
      </c>
      <c r="W94" s="65" t="str">
        <f>"－"</f>
        <v>－</v>
      </c>
      <c r="X94" s="69">
        <f>21</f>
        <v>21</v>
      </c>
    </row>
    <row r="95" spans="1:24">
      <c r="A95" s="60" t="s">
        <v>934</v>
      </c>
      <c r="B95" s="60" t="s">
        <v>328</v>
      </c>
      <c r="C95" s="60" t="s">
        <v>329</v>
      </c>
      <c r="D95" s="60" t="s">
        <v>330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5710</f>
        <v>5710</v>
      </c>
      <c r="L95" s="67" t="s">
        <v>840</v>
      </c>
      <c r="M95" s="66">
        <f>6230</f>
        <v>6230</v>
      </c>
      <c r="N95" s="67" t="s">
        <v>822</v>
      </c>
      <c r="O95" s="66">
        <f>5700</f>
        <v>5700</v>
      </c>
      <c r="P95" s="67" t="s">
        <v>840</v>
      </c>
      <c r="Q95" s="66">
        <f>6090</f>
        <v>6090</v>
      </c>
      <c r="R95" s="67" t="s">
        <v>50</v>
      </c>
      <c r="S95" s="68">
        <f>5977.73</f>
        <v>5977.73</v>
      </c>
      <c r="T95" s="65">
        <f>4152554</f>
        <v>4152554</v>
      </c>
      <c r="U95" s="65">
        <f>197944</f>
        <v>197944</v>
      </c>
      <c r="V95" s="65">
        <f>24905434963</f>
        <v>24905434963</v>
      </c>
      <c r="W95" s="65">
        <f>1201272823</f>
        <v>1201272823</v>
      </c>
      <c r="X95" s="69">
        <f>22</f>
        <v>22</v>
      </c>
    </row>
    <row r="96" spans="1:24">
      <c r="A96" s="60" t="s">
        <v>934</v>
      </c>
      <c r="B96" s="60" t="s">
        <v>331</v>
      </c>
      <c r="C96" s="60" t="s">
        <v>332</v>
      </c>
      <c r="D96" s="60" t="s">
        <v>333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3040</f>
        <v>3040</v>
      </c>
      <c r="L96" s="67" t="s">
        <v>840</v>
      </c>
      <c r="M96" s="66">
        <f>3260</f>
        <v>3260</v>
      </c>
      <c r="N96" s="67" t="s">
        <v>100</v>
      </c>
      <c r="O96" s="66">
        <f>3035</f>
        <v>3035</v>
      </c>
      <c r="P96" s="67" t="s">
        <v>840</v>
      </c>
      <c r="Q96" s="66">
        <f>3250</f>
        <v>3250</v>
      </c>
      <c r="R96" s="67" t="s">
        <v>50</v>
      </c>
      <c r="S96" s="68">
        <f>3157.5</f>
        <v>3157.5</v>
      </c>
      <c r="T96" s="65">
        <f>1808289</f>
        <v>1808289</v>
      </c>
      <c r="U96" s="65" t="str">
        <f>"－"</f>
        <v>－</v>
      </c>
      <c r="V96" s="65">
        <f>5730233635</f>
        <v>5730233635</v>
      </c>
      <c r="W96" s="65" t="str">
        <f>"－"</f>
        <v>－</v>
      </c>
      <c r="X96" s="69">
        <f>22</f>
        <v>22</v>
      </c>
    </row>
    <row r="97" spans="1:24">
      <c r="A97" s="60" t="s">
        <v>934</v>
      </c>
      <c r="B97" s="60" t="s">
        <v>334</v>
      </c>
      <c r="C97" s="60" t="s">
        <v>335</v>
      </c>
      <c r="D97" s="60" t="s">
        <v>336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7020</f>
        <v>7020</v>
      </c>
      <c r="L97" s="67" t="s">
        <v>840</v>
      </c>
      <c r="M97" s="66">
        <f>8970</f>
        <v>8970</v>
      </c>
      <c r="N97" s="67" t="s">
        <v>50</v>
      </c>
      <c r="O97" s="66">
        <f>7010</f>
        <v>7010</v>
      </c>
      <c r="P97" s="67" t="s">
        <v>840</v>
      </c>
      <c r="Q97" s="66">
        <f>8930</f>
        <v>8930</v>
      </c>
      <c r="R97" s="67" t="s">
        <v>50</v>
      </c>
      <c r="S97" s="68">
        <f>7951.82</f>
        <v>7951.82</v>
      </c>
      <c r="T97" s="65">
        <f>688756</f>
        <v>688756</v>
      </c>
      <c r="U97" s="65">
        <f>15019</f>
        <v>15019</v>
      </c>
      <c r="V97" s="65">
        <f>5642471890</f>
        <v>5642471890</v>
      </c>
      <c r="W97" s="65">
        <f>126603310</f>
        <v>126603310</v>
      </c>
      <c r="X97" s="69">
        <f>22</f>
        <v>22</v>
      </c>
    </row>
    <row r="98" spans="1:24">
      <c r="A98" s="60" t="s">
        <v>934</v>
      </c>
      <c r="B98" s="60" t="s">
        <v>337</v>
      </c>
      <c r="C98" s="60" t="s">
        <v>338</v>
      </c>
      <c r="D98" s="60" t="s">
        <v>339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70100</f>
        <v>70100</v>
      </c>
      <c r="L98" s="67" t="s">
        <v>840</v>
      </c>
      <c r="M98" s="66">
        <f>70700</f>
        <v>70700</v>
      </c>
      <c r="N98" s="67" t="s">
        <v>833</v>
      </c>
      <c r="O98" s="66">
        <f>66600</f>
        <v>66600</v>
      </c>
      <c r="P98" s="67" t="s">
        <v>50</v>
      </c>
      <c r="Q98" s="66">
        <f>66600</f>
        <v>66600</v>
      </c>
      <c r="R98" s="67" t="s">
        <v>50</v>
      </c>
      <c r="S98" s="68">
        <f>68481.82</f>
        <v>68481.820000000007</v>
      </c>
      <c r="T98" s="65">
        <f>2348</f>
        <v>2348</v>
      </c>
      <c r="U98" s="65" t="str">
        <f>"－"</f>
        <v>－</v>
      </c>
      <c r="V98" s="65">
        <f>160666500</f>
        <v>160666500</v>
      </c>
      <c r="W98" s="65" t="str">
        <f>"－"</f>
        <v>－</v>
      </c>
      <c r="X98" s="69">
        <f>22</f>
        <v>22</v>
      </c>
    </row>
    <row r="99" spans="1:24">
      <c r="A99" s="60" t="s">
        <v>934</v>
      </c>
      <c r="B99" s="60" t="s">
        <v>340</v>
      </c>
      <c r="C99" s="60" t="s">
        <v>341</v>
      </c>
      <c r="D99" s="60" t="s">
        <v>342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</v>
      </c>
      <c r="K99" s="66">
        <f>13040</f>
        <v>13040</v>
      </c>
      <c r="L99" s="67" t="s">
        <v>840</v>
      </c>
      <c r="M99" s="66">
        <f>13520</f>
        <v>13520</v>
      </c>
      <c r="N99" s="67" t="s">
        <v>245</v>
      </c>
      <c r="O99" s="66">
        <f>13010</f>
        <v>13010</v>
      </c>
      <c r="P99" s="67" t="s">
        <v>834</v>
      </c>
      <c r="Q99" s="66">
        <f>13470</f>
        <v>13470</v>
      </c>
      <c r="R99" s="67" t="s">
        <v>50</v>
      </c>
      <c r="S99" s="68">
        <f>13240.45</f>
        <v>13240.45</v>
      </c>
      <c r="T99" s="65">
        <f>1817080</f>
        <v>1817080</v>
      </c>
      <c r="U99" s="65">
        <f>49756</f>
        <v>49756</v>
      </c>
      <c r="V99" s="65">
        <f>24062686795</f>
        <v>24062686795</v>
      </c>
      <c r="W99" s="65">
        <f>660336425</f>
        <v>660336425</v>
      </c>
      <c r="X99" s="69">
        <f>22</f>
        <v>22</v>
      </c>
    </row>
    <row r="100" spans="1:24">
      <c r="A100" s="60" t="s">
        <v>934</v>
      </c>
      <c r="B100" s="60" t="s">
        <v>343</v>
      </c>
      <c r="C100" s="60" t="s">
        <v>344</v>
      </c>
      <c r="D100" s="60" t="s">
        <v>345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</v>
      </c>
      <c r="K100" s="66">
        <f>30250</f>
        <v>30250</v>
      </c>
      <c r="L100" s="67" t="s">
        <v>840</v>
      </c>
      <c r="M100" s="66">
        <f>30950</f>
        <v>30950</v>
      </c>
      <c r="N100" s="67" t="s">
        <v>245</v>
      </c>
      <c r="O100" s="66">
        <f>30100</f>
        <v>30100</v>
      </c>
      <c r="P100" s="67" t="s">
        <v>833</v>
      </c>
      <c r="Q100" s="66">
        <f>30550</f>
        <v>30550</v>
      </c>
      <c r="R100" s="67" t="s">
        <v>50</v>
      </c>
      <c r="S100" s="68">
        <f>30452.27</f>
        <v>30452.27</v>
      </c>
      <c r="T100" s="65">
        <f>195162</f>
        <v>195162</v>
      </c>
      <c r="U100" s="65">
        <f>6883</f>
        <v>6883</v>
      </c>
      <c r="V100" s="65">
        <f>5942865900</f>
        <v>5942865900</v>
      </c>
      <c r="W100" s="65">
        <f>210895050</f>
        <v>210895050</v>
      </c>
      <c r="X100" s="69">
        <f>22</f>
        <v>22</v>
      </c>
    </row>
    <row r="101" spans="1:24">
      <c r="A101" s="60" t="s">
        <v>934</v>
      </c>
      <c r="B101" s="60" t="s">
        <v>346</v>
      </c>
      <c r="C101" s="60" t="s">
        <v>347</v>
      </c>
      <c r="D101" s="60" t="s">
        <v>348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4140</f>
        <v>4140</v>
      </c>
      <c r="L101" s="67" t="s">
        <v>840</v>
      </c>
      <c r="M101" s="66">
        <f>4255</f>
        <v>4255</v>
      </c>
      <c r="N101" s="67" t="s">
        <v>245</v>
      </c>
      <c r="O101" s="66">
        <f>4140</f>
        <v>4140</v>
      </c>
      <c r="P101" s="67" t="s">
        <v>840</v>
      </c>
      <c r="Q101" s="66">
        <f>4215</f>
        <v>4215</v>
      </c>
      <c r="R101" s="67" t="s">
        <v>50</v>
      </c>
      <c r="S101" s="68">
        <f>4182.05</f>
        <v>4182.05</v>
      </c>
      <c r="T101" s="65">
        <f>1000110</f>
        <v>1000110</v>
      </c>
      <c r="U101" s="65">
        <f>93090</f>
        <v>93090</v>
      </c>
      <c r="V101" s="65">
        <f>4185063250</f>
        <v>4185063250</v>
      </c>
      <c r="W101" s="65">
        <f>389111150</f>
        <v>389111150</v>
      </c>
      <c r="X101" s="69">
        <f>22</f>
        <v>22</v>
      </c>
    </row>
    <row r="102" spans="1:24">
      <c r="A102" s="60" t="s">
        <v>934</v>
      </c>
      <c r="B102" s="60" t="s">
        <v>349</v>
      </c>
      <c r="C102" s="60" t="s">
        <v>350</v>
      </c>
      <c r="D102" s="60" t="s">
        <v>351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2740</f>
        <v>2740</v>
      </c>
      <c r="L102" s="67" t="s">
        <v>840</v>
      </c>
      <c r="M102" s="66">
        <f>2826</f>
        <v>2826</v>
      </c>
      <c r="N102" s="67" t="s">
        <v>245</v>
      </c>
      <c r="O102" s="66">
        <f>2740</f>
        <v>2740</v>
      </c>
      <c r="P102" s="67" t="s">
        <v>840</v>
      </c>
      <c r="Q102" s="66">
        <f>2804</f>
        <v>2804</v>
      </c>
      <c r="R102" s="67" t="s">
        <v>50</v>
      </c>
      <c r="S102" s="68">
        <f>2774.73</f>
        <v>2774.73</v>
      </c>
      <c r="T102" s="65">
        <f>152920</f>
        <v>152920</v>
      </c>
      <c r="U102" s="65">
        <f>18050</f>
        <v>18050</v>
      </c>
      <c r="V102" s="65">
        <f>424237597</f>
        <v>424237597</v>
      </c>
      <c r="W102" s="65">
        <f>50015087</f>
        <v>50015087</v>
      </c>
      <c r="X102" s="69">
        <f>22</f>
        <v>22</v>
      </c>
    </row>
    <row r="103" spans="1:24">
      <c r="A103" s="60" t="s">
        <v>934</v>
      </c>
      <c r="B103" s="60" t="s">
        <v>352</v>
      </c>
      <c r="C103" s="60" t="s">
        <v>353</v>
      </c>
      <c r="D103" s="60" t="s">
        <v>354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10</v>
      </c>
      <c r="K103" s="66">
        <f>4960</f>
        <v>4960</v>
      </c>
      <c r="L103" s="67" t="s">
        <v>840</v>
      </c>
      <c r="M103" s="66">
        <f>5180</f>
        <v>5180</v>
      </c>
      <c r="N103" s="67" t="s">
        <v>822</v>
      </c>
      <c r="O103" s="66">
        <f>4840</f>
        <v>4840</v>
      </c>
      <c r="P103" s="67" t="s">
        <v>818</v>
      </c>
      <c r="Q103" s="66">
        <f>5140</f>
        <v>5140</v>
      </c>
      <c r="R103" s="67" t="s">
        <v>50</v>
      </c>
      <c r="S103" s="68">
        <f>5034.09</f>
        <v>5034.09</v>
      </c>
      <c r="T103" s="65">
        <f>29940</f>
        <v>29940</v>
      </c>
      <c r="U103" s="65" t="str">
        <f>"－"</f>
        <v>－</v>
      </c>
      <c r="V103" s="65">
        <f>151023450</f>
        <v>151023450</v>
      </c>
      <c r="W103" s="65" t="str">
        <f>"－"</f>
        <v>－</v>
      </c>
      <c r="X103" s="69">
        <f>22</f>
        <v>22</v>
      </c>
    </row>
    <row r="104" spans="1:24">
      <c r="A104" s="60" t="s">
        <v>934</v>
      </c>
      <c r="B104" s="60" t="s">
        <v>355</v>
      </c>
      <c r="C104" s="60" t="s">
        <v>356</v>
      </c>
      <c r="D104" s="60" t="s">
        <v>357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f>5740</f>
        <v>5740</v>
      </c>
      <c r="L104" s="67" t="s">
        <v>840</v>
      </c>
      <c r="M104" s="66">
        <f>6290</f>
        <v>6290</v>
      </c>
      <c r="N104" s="67" t="s">
        <v>309</v>
      </c>
      <c r="O104" s="66">
        <f>5500</f>
        <v>5500</v>
      </c>
      <c r="P104" s="67" t="s">
        <v>245</v>
      </c>
      <c r="Q104" s="66">
        <f>5740</f>
        <v>5740</v>
      </c>
      <c r="R104" s="67" t="s">
        <v>50</v>
      </c>
      <c r="S104" s="68">
        <f>5770.45</f>
        <v>5770.45</v>
      </c>
      <c r="T104" s="65">
        <f>7975245</f>
        <v>7975245</v>
      </c>
      <c r="U104" s="65">
        <f>89455</f>
        <v>89455</v>
      </c>
      <c r="V104" s="65">
        <f>46593331420</f>
        <v>46593331420</v>
      </c>
      <c r="W104" s="65">
        <f>549861730</f>
        <v>549861730</v>
      </c>
      <c r="X104" s="69">
        <f>22</f>
        <v>22</v>
      </c>
    </row>
    <row r="105" spans="1:24">
      <c r="A105" s="60" t="s">
        <v>934</v>
      </c>
      <c r="B105" s="60" t="s">
        <v>358</v>
      </c>
      <c r="C105" s="60" t="s">
        <v>359</v>
      </c>
      <c r="D105" s="60" t="s">
        <v>360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2392</f>
        <v>2392</v>
      </c>
      <c r="L105" s="67" t="s">
        <v>840</v>
      </c>
      <c r="M105" s="66">
        <f>2492</f>
        <v>2492</v>
      </c>
      <c r="N105" s="67" t="s">
        <v>245</v>
      </c>
      <c r="O105" s="66">
        <f>2392</f>
        <v>2392</v>
      </c>
      <c r="P105" s="67" t="s">
        <v>840</v>
      </c>
      <c r="Q105" s="66">
        <f>2490</f>
        <v>2490</v>
      </c>
      <c r="R105" s="67" t="s">
        <v>50</v>
      </c>
      <c r="S105" s="68">
        <f>2443.41</f>
        <v>2443.41</v>
      </c>
      <c r="T105" s="65">
        <f>65650</f>
        <v>65650</v>
      </c>
      <c r="U105" s="65">
        <f>100</f>
        <v>100</v>
      </c>
      <c r="V105" s="65">
        <f>160396400</f>
        <v>160396400</v>
      </c>
      <c r="W105" s="65">
        <f>244790</f>
        <v>244790</v>
      </c>
      <c r="X105" s="69">
        <f>22</f>
        <v>22</v>
      </c>
    </row>
    <row r="106" spans="1:24">
      <c r="A106" s="60" t="s">
        <v>934</v>
      </c>
      <c r="B106" s="60" t="s">
        <v>361</v>
      </c>
      <c r="C106" s="60" t="s">
        <v>362</v>
      </c>
      <c r="D106" s="60" t="s">
        <v>363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10</v>
      </c>
      <c r="K106" s="66">
        <f>1491</f>
        <v>1491</v>
      </c>
      <c r="L106" s="67" t="s">
        <v>840</v>
      </c>
      <c r="M106" s="66">
        <f>1597</f>
        <v>1597</v>
      </c>
      <c r="N106" s="67" t="s">
        <v>50</v>
      </c>
      <c r="O106" s="66">
        <f>1475</f>
        <v>1475</v>
      </c>
      <c r="P106" s="67" t="s">
        <v>150</v>
      </c>
      <c r="Q106" s="66">
        <f>1587</f>
        <v>1587</v>
      </c>
      <c r="R106" s="67" t="s">
        <v>50</v>
      </c>
      <c r="S106" s="68">
        <f>1514.82</f>
        <v>1514.82</v>
      </c>
      <c r="T106" s="65">
        <f>208830</f>
        <v>208830</v>
      </c>
      <c r="U106" s="65">
        <f>90</f>
        <v>90</v>
      </c>
      <c r="V106" s="65">
        <f>316079030</f>
        <v>316079030</v>
      </c>
      <c r="W106" s="65">
        <f>136240</f>
        <v>136240</v>
      </c>
      <c r="X106" s="69">
        <f>22</f>
        <v>22</v>
      </c>
    </row>
    <row r="107" spans="1:24">
      <c r="A107" s="60" t="s">
        <v>934</v>
      </c>
      <c r="B107" s="60" t="s">
        <v>364</v>
      </c>
      <c r="C107" s="60" t="s">
        <v>365</v>
      </c>
      <c r="D107" s="60" t="s">
        <v>366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37950</f>
        <v>37950</v>
      </c>
      <c r="L107" s="67" t="s">
        <v>840</v>
      </c>
      <c r="M107" s="66">
        <f>38800</f>
        <v>38800</v>
      </c>
      <c r="N107" s="67" t="s">
        <v>245</v>
      </c>
      <c r="O107" s="66">
        <f>37800</f>
        <v>37800</v>
      </c>
      <c r="P107" s="67" t="s">
        <v>309</v>
      </c>
      <c r="Q107" s="66">
        <f>38500</f>
        <v>38500</v>
      </c>
      <c r="R107" s="67" t="s">
        <v>50</v>
      </c>
      <c r="S107" s="68">
        <f>38256.82</f>
        <v>38256.82</v>
      </c>
      <c r="T107" s="65">
        <f>163672</f>
        <v>163672</v>
      </c>
      <c r="U107" s="65">
        <f>56000</f>
        <v>56000</v>
      </c>
      <c r="V107" s="65">
        <f>6245988632</f>
        <v>6245988632</v>
      </c>
      <c r="W107" s="65">
        <f>2127359682</f>
        <v>2127359682</v>
      </c>
      <c r="X107" s="69">
        <f>22</f>
        <v>22</v>
      </c>
    </row>
    <row r="108" spans="1:24">
      <c r="A108" s="60" t="s">
        <v>934</v>
      </c>
      <c r="B108" s="60" t="s">
        <v>367</v>
      </c>
      <c r="C108" s="60" t="s">
        <v>368</v>
      </c>
      <c r="D108" s="60" t="s">
        <v>369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2810</f>
        <v>2810</v>
      </c>
      <c r="L108" s="67" t="s">
        <v>840</v>
      </c>
      <c r="M108" s="66">
        <f>3005</f>
        <v>3005</v>
      </c>
      <c r="N108" s="67" t="s">
        <v>834</v>
      </c>
      <c r="O108" s="66">
        <f>2800</f>
        <v>2800</v>
      </c>
      <c r="P108" s="67" t="s">
        <v>175</v>
      </c>
      <c r="Q108" s="66">
        <f>2880</f>
        <v>2880</v>
      </c>
      <c r="R108" s="67" t="s">
        <v>50</v>
      </c>
      <c r="S108" s="68">
        <f>2915.05</f>
        <v>2915.05</v>
      </c>
      <c r="T108" s="65">
        <f>15291</f>
        <v>15291</v>
      </c>
      <c r="U108" s="65" t="str">
        <f>"－"</f>
        <v>－</v>
      </c>
      <c r="V108" s="65">
        <f>44529321</f>
        <v>44529321</v>
      </c>
      <c r="W108" s="65" t="str">
        <f>"－"</f>
        <v>－</v>
      </c>
      <c r="X108" s="69">
        <f>22</f>
        <v>22</v>
      </c>
    </row>
    <row r="109" spans="1:24">
      <c r="A109" s="60" t="s">
        <v>934</v>
      </c>
      <c r="B109" s="60" t="s">
        <v>370</v>
      </c>
      <c r="C109" s="60" t="s">
        <v>371</v>
      </c>
      <c r="D109" s="60" t="s">
        <v>372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4020</f>
        <v>4020</v>
      </c>
      <c r="L109" s="67" t="s">
        <v>840</v>
      </c>
      <c r="M109" s="66">
        <f>4275</f>
        <v>4275</v>
      </c>
      <c r="N109" s="67" t="s">
        <v>90</v>
      </c>
      <c r="O109" s="66">
        <f>3960</f>
        <v>3960</v>
      </c>
      <c r="P109" s="67" t="s">
        <v>840</v>
      </c>
      <c r="Q109" s="66">
        <f>4125</f>
        <v>4125</v>
      </c>
      <c r="R109" s="67" t="s">
        <v>50</v>
      </c>
      <c r="S109" s="68">
        <f>4135.45</f>
        <v>4135.45</v>
      </c>
      <c r="T109" s="65">
        <f>8707</f>
        <v>8707</v>
      </c>
      <c r="U109" s="65" t="str">
        <f>"－"</f>
        <v>－</v>
      </c>
      <c r="V109" s="65">
        <f>36268710</f>
        <v>36268710</v>
      </c>
      <c r="W109" s="65" t="str">
        <f>"－"</f>
        <v>－</v>
      </c>
      <c r="X109" s="69">
        <f>22</f>
        <v>22</v>
      </c>
    </row>
    <row r="110" spans="1:24">
      <c r="A110" s="60" t="s">
        <v>934</v>
      </c>
      <c r="B110" s="60" t="s">
        <v>373</v>
      </c>
      <c r="C110" s="60" t="s">
        <v>374</v>
      </c>
      <c r="D110" s="60" t="s">
        <v>375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3690</f>
        <v>3690</v>
      </c>
      <c r="L110" s="67" t="s">
        <v>840</v>
      </c>
      <c r="M110" s="66">
        <f>3835</f>
        <v>3835</v>
      </c>
      <c r="N110" s="67" t="s">
        <v>833</v>
      </c>
      <c r="O110" s="66">
        <f>3360</f>
        <v>3360</v>
      </c>
      <c r="P110" s="67" t="s">
        <v>309</v>
      </c>
      <c r="Q110" s="66">
        <f>3565</f>
        <v>3565</v>
      </c>
      <c r="R110" s="67" t="s">
        <v>50</v>
      </c>
      <c r="S110" s="68">
        <f>3512.27</f>
        <v>3512.27</v>
      </c>
      <c r="T110" s="65">
        <f>576674</f>
        <v>576674</v>
      </c>
      <c r="U110" s="65" t="str">
        <f>"－"</f>
        <v>－</v>
      </c>
      <c r="V110" s="65">
        <f>2052706255</f>
        <v>2052706255</v>
      </c>
      <c r="W110" s="65" t="str">
        <f>"－"</f>
        <v>－</v>
      </c>
      <c r="X110" s="69">
        <f>22</f>
        <v>22</v>
      </c>
    </row>
    <row r="111" spans="1:24">
      <c r="A111" s="60" t="s">
        <v>934</v>
      </c>
      <c r="B111" s="60" t="s">
        <v>376</v>
      </c>
      <c r="C111" s="60" t="s">
        <v>845</v>
      </c>
      <c r="D111" s="60" t="s">
        <v>378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f>44050</f>
        <v>44050</v>
      </c>
      <c r="L111" s="67" t="s">
        <v>840</v>
      </c>
      <c r="M111" s="66">
        <f>45200</f>
        <v>45200</v>
      </c>
      <c r="N111" s="67" t="s">
        <v>50</v>
      </c>
      <c r="O111" s="66">
        <f>44050</f>
        <v>44050</v>
      </c>
      <c r="P111" s="67" t="s">
        <v>840</v>
      </c>
      <c r="Q111" s="66">
        <f>45100</f>
        <v>45100</v>
      </c>
      <c r="R111" s="67" t="s">
        <v>50</v>
      </c>
      <c r="S111" s="68">
        <f>44747.73</f>
        <v>44747.73</v>
      </c>
      <c r="T111" s="65">
        <f>15308</f>
        <v>15308</v>
      </c>
      <c r="U111" s="65">
        <f>130</f>
        <v>130</v>
      </c>
      <c r="V111" s="65">
        <f>685148750</f>
        <v>685148750</v>
      </c>
      <c r="W111" s="65">
        <f>5817700</f>
        <v>5817700</v>
      </c>
      <c r="X111" s="69">
        <f>22</f>
        <v>22</v>
      </c>
    </row>
    <row r="112" spans="1:24">
      <c r="A112" s="60" t="s">
        <v>934</v>
      </c>
      <c r="B112" s="60" t="s">
        <v>379</v>
      </c>
      <c r="C112" s="60" t="s">
        <v>380</v>
      </c>
      <c r="D112" s="60" t="s">
        <v>381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f>1150</f>
        <v>1150</v>
      </c>
      <c r="L112" s="67" t="s">
        <v>818</v>
      </c>
      <c r="M112" s="66">
        <f>1250</f>
        <v>1250</v>
      </c>
      <c r="N112" s="67" t="s">
        <v>90</v>
      </c>
      <c r="O112" s="66">
        <f>1150</f>
        <v>1150</v>
      </c>
      <c r="P112" s="67" t="s">
        <v>818</v>
      </c>
      <c r="Q112" s="66">
        <f>1250</f>
        <v>1250</v>
      </c>
      <c r="R112" s="67" t="s">
        <v>90</v>
      </c>
      <c r="S112" s="68">
        <f>1202</f>
        <v>1202</v>
      </c>
      <c r="T112" s="65">
        <f>150</f>
        <v>150</v>
      </c>
      <c r="U112" s="65" t="str">
        <f>"－"</f>
        <v>－</v>
      </c>
      <c r="V112" s="65">
        <f>184480</f>
        <v>184480</v>
      </c>
      <c r="W112" s="65" t="str">
        <f>"－"</f>
        <v>－</v>
      </c>
      <c r="X112" s="69">
        <f>3</f>
        <v>3</v>
      </c>
    </row>
    <row r="113" spans="1:24">
      <c r="A113" s="60" t="s">
        <v>934</v>
      </c>
      <c r="B113" s="60" t="s">
        <v>382</v>
      </c>
      <c r="C113" s="60" t="s">
        <v>383</v>
      </c>
      <c r="D113" s="60" t="s">
        <v>384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19520</f>
        <v>19520</v>
      </c>
      <c r="L113" s="67" t="s">
        <v>840</v>
      </c>
      <c r="M113" s="66">
        <f>20830</f>
        <v>20830</v>
      </c>
      <c r="N113" s="67" t="s">
        <v>245</v>
      </c>
      <c r="O113" s="66">
        <f>19270</f>
        <v>19270</v>
      </c>
      <c r="P113" s="67" t="s">
        <v>65</v>
      </c>
      <c r="Q113" s="66">
        <f>20480</f>
        <v>20480</v>
      </c>
      <c r="R113" s="67" t="s">
        <v>50</v>
      </c>
      <c r="S113" s="68">
        <f>19906.82</f>
        <v>19906.82</v>
      </c>
      <c r="T113" s="65">
        <f>1893870</f>
        <v>1893870</v>
      </c>
      <c r="U113" s="65">
        <f>3090</f>
        <v>3090</v>
      </c>
      <c r="V113" s="65">
        <f>37748526725</f>
        <v>37748526725</v>
      </c>
      <c r="W113" s="65">
        <f>62210125</f>
        <v>62210125</v>
      </c>
      <c r="X113" s="69">
        <f>22</f>
        <v>22</v>
      </c>
    </row>
    <row r="114" spans="1:24">
      <c r="A114" s="60" t="s">
        <v>934</v>
      </c>
      <c r="B114" s="60" t="s">
        <v>385</v>
      </c>
      <c r="C114" s="60" t="s">
        <v>386</v>
      </c>
      <c r="D114" s="60" t="s">
        <v>387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f>2542</f>
        <v>2542</v>
      </c>
      <c r="L114" s="67" t="s">
        <v>840</v>
      </c>
      <c r="M114" s="66">
        <f>2557</f>
        <v>2557</v>
      </c>
      <c r="N114" s="67" t="s">
        <v>65</v>
      </c>
      <c r="O114" s="66">
        <f>2454</f>
        <v>2454</v>
      </c>
      <c r="P114" s="67" t="s">
        <v>245</v>
      </c>
      <c r="Q114" s="66">
        <f>2472</f>
        <v>2472</v>
      </c>
      <c r="R114" s="67" t="s">
        <v>50</v>
      </c>
      <c r="S114" s="68">
        <f>2514.14</f>
        <v>2514.14</v>
      </c>
      <c r="T114" s="65">
        <f>547710</f>
        <v>547710</v>
      </c>
      <c r="U114" s="65">
        <f>15800</f>
        <v>15800</v>
      </c>
      <c r="V114" s="65">
        <f>1378056951</f>
        <v>1378056951</v>
      </c>
      <c r="W114" s="65">
        <f>39662501</f>
        <v>39662501</v>
      </c>
      <c r="X114" s="69">
        <f>22</f>
        <v>22</v>
      </c>
    </row>
    <row r="115" spans="1:24">
      <c r="A115" s="60" t="s">
        <v>934</v>
      </c>
      <c r="B115" s="60" t="s">
        <v>388</v>
      </c>
      <c r="C115" s="60" t="s">
        <v>389</v>
      </c>
      <c r="D115" s="60" t="s">
        <v>390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27140</f>
        <v>27140</v>
      </c>
      <c r="L115" s="67" t="s">
        <v>840</v>
      </c>
      <c r="M115" s="66">
        <f>29210</f>
        <v>29210</v>
      </c>
      <c r="N115" s="67" t="s">
        <v>245</v>
      </c>
      <c r="O115" s="66">
        <f>26510</f>
        <v>26510</v>
      </c>
      <c r="P115" s="67" t="s">
        <v>65</v>
      </c>
      <c r="Q115" s="66">
        <f>28900</f>
        <v>28900</v>
      </c>
      <c r="R115" s="67" t="s">
        <v>50</v>
      </c>
      <c r="S115" s="68">
        <f>27435.91</f>
        <v>27435.91</v>
      </c>
      <c r="T115" s="65">
        <f>103883201</f>
        <v>103883201</v>
      </c>
      <c r="U115" s="65">
        <f>32210</f>
        <v>32210</v>
      </c>
      <c r="V115" s="65">
        <f>2851200162022</f>
        <v>2851200162022</v>
      </c>
      <c r="W115" s="65">
        <f>874662122</f>
        <v>874662122</v>
      </c>
      <c r="X115" s="69">
        <f>22</f>
        <v>22</v>
      </c>
    </row>
    <row r="116" spans="1:24">
      <c r="A116" s="60" t="s">
        <v>934</v>
      </c>
      <c r="B116" s="60" t="s">
        <v>391</v>
      </c>
      <c r="C116" s="60" t="s">
        <v>392</v>
      </c>
      <c r="D116" s="60" t="s">
        <v>393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</v>
      </c>
      <c r="K116" s="66">
        <f>1135</f>
        <v>1135</v>
      </c>
      <c r="L116" s="67" t="s">
        <v>840</v>
      </c>
      <c r="M116" s="66">
        <f>1147</f>
        <v>1147</v>
      </c>
      <c r="N116" s="67" t="s">
        <v>65</v>
      </c>
      <c r="O116" s="66">
        <f>1089</f>
        <v>1089</v>
      </c>
      <c r="P116" s="67" t="s">
        <v>245</v>
      </c>
      <c r="Q116" s="66">
        <f>1094</f>
        <v>1094</v>
      </c>
      <c r="R116" s="67" t="s">
        <v>50</v>
      </c>
      <c r="S116" s="68">
        <f>1126.45</f>
        <v>1126.45</v>
      </c>
      <c r="T116" s="65">
        <f>10998619</f>
        <v>10998619</v>
      </c>
      <c r="U116" s="65">
        <f>49971</f>
        <v>49971</v>
      </c>
      <c r="V116" s="65">
        <f>12369931625</f>
        <v>12369931625</v>
      </c>
      <c r="W116" s="65">
        <f>55601929</f>
        <v>55601929</v>
      </c>
      <c r="X116" s="69">
        <f>22</f>
        <v>22</v>
      </c>
    </row>
    <row r="117" spans="1:24">
      <c r="A117" s="60" t="s">
        <v>934</v>
      </c>
      <c r="B117" s="60" t="s">
        <v>394</v>
      </c>
      <c r="C117" s="60" t="s">
        <v>395</v>
      </c>
      <c r="D117" s="60" t="s">
        <v>396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10650</f>
        <v>10650</v>
      </c>
      <c r="L117" s="67" t="s">
        <v>840</v>
      </c>
      <c r="M117" s="66">
        <f>10900</f>
        <v>10900</v>
      </c>
      <c r="N117" s="67" t="s">
        <v>833</v>
      </c>
      <c r="O117" s="66">
        <f>9970</f>
        <v>9970</v>
      </c>
      <c r="P117" s="67" t="s">
        <v>95</v>
      </c>
      <c r="Q117" s="66">
        <f>10460</f>
        <v>10460</v>
      </c>
      <c r="R117" s="67" t="s">
        <v>50</v>
      </c>
      <c r="S117" s="68">
        <f>10353.18</f>
        <v>10353.18</v>
      </c>
      <c r="T117" s="65">
        <f>8720</f>
        <v>8720</v>
      </c>
      <c r="U117" s="65">
        <f>10</f>
        <v>10</v>
      </c>
      <c r="V117" s="65">
        <f>89955600</f>
        <v>89955600</v>
      </c>
      <c r="W117" s="65">
        <f>105000</f>
        <v>105000</v>
      </c>
      <c r="X117" s="69">
        <f>22</f>
        <v>22</v>
      </c>
    </row>
    <row r="118" spans="1:24">
      <c r="A118" s="60" t="s">
        <v>934</v>
      </c>
      <c r="B118" s="60" t="s">
        <v>397</v>
      </c>
      <c r="C118" s="60" t="s">
        <v>398</v>
      </c>
      <c r="D118" s="60" t="s">
        <v>399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f>6590</f>
        <v>6590</v>
      </c>
      <c r="L118" s="67" t="s">
        <v>840</v>
      </c>
      <c r="M118" s="66">
        <f>6810</f>
        <v>6810</v>
      </c>
      <c r="N118" s="67" t="s">
        <v>90</v>
      </c>
      <c r="O118" s="66">
        <f>6530</f>
        <v>6530</v>
      </c>
      <c r="P118" s="67" t="s">
        <v>50</v>
      </c>
      <c r="Q118" s="66">
        <f>6580</f>
        <v>6580</v>
      </c>
      <c r="R118" s="67" t="s">
        <v>50</v>
      </c>
      <c r="S118" s="68">
        <f>6682.86</f>
        <v>6682.86</v>
      </c>
      <c r="T118" s="65">
        <f>5780</f>
        <v>5780</v>
      </c>
      <c r="U118" s="65" t="str">
        <f>"－"</f>
        <v>－</v>
      </c>
      <c r="V118" s="65">
        <f>38634700</f>
        <v>38634700</v>
      </c>
      <c r="W118" s="65" t="str">
        <f>"－"</f>
        <v>－</v>
      </c>
      <c r="X118" s="69">
        <f>21</f>
        <v>21</v>
      </c>
    </row>
    <row r="119" spans="1:24">
      <c r="A119" s="60" t="s">
        <v>934</v>
      </c>
      <c r="B119" s="60" t="s">
        <v>400</v>
      </c>
      <c r="C119" s="60" t="s">
        <v>401</v>
      </c>
      <c r="D119" s="60" t="s">
        <v>402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1584</f>
        <v>1584</v>
      </c>
      <c r="L119" s="67" t="s">
        <v>90</v>
      </c>
      <c r="M119" s="66">
        <f>1625</f>
        <v>1625</v>
      </c>
      <c r="N119" s="67" t="s">
        <v>79</v>
      </c>
      <c r="O119" s="66">
        <f>1584</f>
        <v>1584</v>
      </c>
      <c r="P119" s="67" t="s">
        <v>90</v>
      </c>
      <c r="Q119" s="66">
        <f>1619</f>
        <v>1619</v>
      </c>
      <c r="R119" s="67" t="s">
        <v>245</v>
      </c>
      <c r="S119" s="68">
        <f>1608</f>
        <v>1608</v>
      </c>
      <c r="T119" s="65">
        <f>540</f>
        <v>540</v>
      </c>
      <c r="U119" s="65" t="str">
        <f>"－"</f>
        <v>－</v>
      </c>
      <c r="V119" s="65">
        <f>861680</f>
        <v>861680</v>
      </c>
      <c r="W119" s="65" t="str">
        <f>"－"</f>
        <v>－</v>
      </c>
      <c r="X119" s="69">
        <f>4</f>
        <v>4</v>
      </c>
    </row>
    <row r="120" spans="1:24">
      <c r="A120" s="60" t="s">
        <v>934</v>
      </c>
      <c r="B120" s="60" t="s">
        <v>403</v>
      </c>
      <c r="C120" s="60" t="s">
        <v>404</v>
      </c>
      <c r="D120" s="60" t="s">
        <v>405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f>800</f>
        <v>800</v>
      </c>
      <c r="L120" s="67" t="s">
        <v>840</v>
      </c>
      <c r="M120" s="66">
        <f>848</f>
        <v>848</v>
      </c>
      <c r="N120" s="67" t="s">
        <v>833</v>
      </c>
      <c r="O120" s="66">
        <f>744</f>
        <v>744</v>
      </c>
      <c r="P120" s="67" t="s">
        <v>834</v>
      </c>
      <c r="Q120" s="66">
        <f>800</f>
        <v>800</v>
      </c>
      <c r="R120" s="67" t="s">
        <v>50</v>
      </c>
      <c r="S120" s="68">
        <f>779.73</f>
        <v>779.73</v>
      </c>
      <c r="T120" s="65">
        <f>16000</f>
        <v>16000</v>
      </c>
      <c r="U120" s="65" t="str">
        <f>"－"</f>
        <v>－</v>
      </c>
      <c r="V120" s="65">
        <f>12645700</f>
        <v>12645700</v>
      </c>
      <c r="W120" s="65" t="str">
        <f>"－"</f>
        <v>－</v>
      </c>
      <c r="X120" s="69">
        <f>22</f>
        <v>22</v>
      </c>
    </row>
    <row r="121" spans="1:24">
      <c r="A121" s="60" t="s">
        <v>934</v>
      </c>
      <c r="B121" s="60" t="s">
        <v>406</v>
      </c>
      <c r="C121" s="60" t="s">
        <v>407</v>
      </c>
      <c r="D121" s="60" t="s">
        <v>408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10</v>
      </c>
      <c r="K121" s="66">
        <f>766</f>
        <v>766</v>
      </c>
      <c r="L121" s="67" t="s">
        <v>833</v>
      </c>
      <c r="M121" s="66">
        <f>817</f>
        <v>817</v>
      </c>
      <c r="N121" s="67" t="s">
        <v>150</v>
      </c>
      <c r="O121" s="66">
        <f>739</f>
        <v>739</v>
      </c>
      <c r="P121" s="67" t="s">
        <v>99</v>
      </c>
      <c r="Q121" s="66">
        <f>772</f>
        <v>772</v>
      </c>
      <c r="R121" s="67" t="s">
        <v>50</v>
      </c>
      <c r="S121" s="68">
        <f>764.45</f>
        <v>764.45</v>
      </c>
      <c r="T121" s="65">
        <f>11280</f>
        <v>11280</v>
      </c>
      <c r="U121" s="65" t="str">
        <f>"－"</f>
        <v>－</v>
      </c>
      <c r="V121" s="65">
        <f>8599580</f>
        <v>8599580</v>
      </c>
      <c r="W121" s="65" t="str">
        <f>"－"</f>
        <v>－</v>
      </c>
      <c r="X121" s="69">
        <f>20</f>
        <v>20</v>
      </c>
    </row>
    <row r="122" spans="1:24">
      <c r="A122" s="60" t="s">
        <v>934</v>
      </c>
      <c r="B122" s="60" t="s">
        <v>409</v>
      </c>
      <c r="C122" s="60" t="s">
        <v>410</v>
      </c>
      <c r="D122" s="60" t="s">
        <v>411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</v>
      </c>
      <c r="K122" s="66">
        <f>19130</f>
        <v>19130</v>
      </c>
      <c r="L122" s="67" t="s">
        <v>840</v>
      </c>
      <c r="M122" s="66">
        <f>19930</f>
        <v>19930</v>
      </c>
      <c r="N122" s="67" t="s">
        <v>90</v>
      </c>
      <c r="O122" s="66">
        <f>19120</f>
        <v>19120</v>
      </c>
      <c r="P122" s="67" t="s">
        <v>840</v>
      </c>
      <c r="Q122" s="66">
        <f>19670</f>
        <v>19670</v>
      </c>
      <c r="R122" s="67" t="s">
        <v>50</v>
      </c>
      <c r="S122" s="68">
        <f>19579.09</f>
        <v>19579.09</v>
      </c>
      <c r="T122" s="65">
        <f>91300</f>
        <v>91300</v>
      </c>
      <c r="U122" s="65">
        <f>17</f>
        <v>17</v>
      </c>
      <c r="V122" s="65">
        <f>1791093590</f>
        <v>1791093590</v>
      </c>
      <c r="W122" s="65">
        <f>332470</f>
        <v>332470</v>
      </c>
      <c r="X122" s="69">
        <f>22</f>
        <v>22</v>
      </c>
    </row>
    <row r="123" spans="1:24">
      <c r="A123" s="60" t="s">
        <v>934</v>
      </c>
      <c r="B123" s="60" t="s">
        <v>412</v>
      </c>
      <c r="C123" s="60" t="s">
        <v>413</v>
      </c>
      <c r="D123" s="60" t="s">
        <v>414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f>2130</f>
        <v>2130</v>
      </c>
      <c r="L123" s="67" t="s">
        <v>840</v>
      </c>
      <c r="M123" s="66">
        <f>2214</f>
        <v>2214</v>
      </c>
      <c r="N123" s="67" t="s">
        <v>245</v>
      </c>
      <c r="O123" s="66">
        <f>2107</f>
        <v>2107</v>
      </c>
      <c r="P123" s="67" t="s">
        <v>65</v>
      </c>
      <c r="Q123" s="66">
        <f>2200</f>
        <v>2200</v>
      </c>
      <c r="R123" s="67" t="s">
        <v>50</v>
      </c>
      <c r="S123" s="68">
        <f>2144.41</f>
        <v>2144.41</v>
      </c>
      <c r="T123" s="65">
        <f>24974</f>
        <v>24974</v>
      </c>
      <c r="U123" s="65" t="str">
        <f>"－"</f>
        <v>－</v>
      </c>
      <c r="V123" s="65">
        <f>53805629</f>
        <v>53805629</v>
      </c>
      <c r="W123" s="65" t="str">
        <f>"－"</f>
        <v>－</v>
      </c>
      <c r="X123" s="69">
        <f>22</f>
        <v>22</v>
      </c>
    </row>
    <row r="124" spans="1:24">
      <c r="A124" s="60" t="s">
        <v>934</v>
      </c>
      <c r="B124" s="60" t="s">
        <v>415</v>
      </c>
      <c r="C124" s="60" t="s">
        <v>416</v>
      </c>
      <c r="D124" s="60" t="s">
        <v>417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f>28910</f>
        <v>28910</v>
      </c>
      <c r="L124" s="67" t="s">
        <v>840</v>
      </c>
      <c r="M124" s="66">
        <f>31100</f>
        <v>31100</v>
      </c>
      <c r="N124" s="67" t="s">
        <v>245</v>
      </c>
      <c r="O124" s="66">
        <f>28230</f>
        <v>28230</v>
      </c>
      <c r="P124" s="67" t="s">
        <v>65</v>
      </c>
      <c r="Q124" s="66">
        <f>30800</f>
        <v>30800</v>
      </c>
      <c r="R124" s="67" t="s">
        <v>50</v>
      </c>
      <c r="S124" s="68">
        <f>29205.45</f>
        <v>29205.45</v>
      </c>
      <c r="T124" s="65">
        <f>8043000</f>
        <v>8043000</v>
      </c>
      <c r="U124" s="65">
        <f>210</f>
        <v>210</v>
      </c>
      <c r="V124" s="65">
        <f>234364985370</f>
        <v>234364985370</v>
      </c>
      <c r="W124" s="65">
        <f>6385370</f>
        <v>6385370</v>
      </c>
      <c r="X124" s="69">
        <f>22</f>
        <v>22</v>
      </c>
    </row>
    <row r="125" spans="1:24">
      <c r="A125" s="60" t="s">
        <v>934</v>
      </c>
      <c r="B125" s="60" t="s">
        <v>418</v>
      </c>
      <c r="C125" s="60" t="s">
        <v>419</v>
      </c>
      <c r="D125" s="60" t="s">
        <v>420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3020</f>
        <v>3020</v>
      </c>
      <c r="L125" s="67" t="s">
        <v>840</v>
      </c>
      <c r="M125" s="66">
        <f>3055</f>
        <v>3055</v>
      </c>
      <c r="N125" s="67" t="s">
        <v>65</v>
      </c>
      <c r="O125" s="66">
        <f>2904</f>
        <v>2904</v>
      </c>
      <c r="P125" s="67" t="s">
        <v>245</v>
      </c>
      <c r="Q125" s="66">
        <f>2918</f>
        <v>2918</v>
      </c>
      <c r="R125" s="67" t="s">
        <v>50</v>
      </c>
      <c r="S125" s="68">
        <f>3001.59</f>
        <v>3001.59</v>
      </c>
      <c r="T125" s="65">
        <f>1901660</f>
        <v>1901660</v>
      </c>
      <c r="U125" s="65">
        <f>147090</f>
        <v>147090</v>
      </c>
      <c r="V125" s="65">
        <f>5699127978</f>
        <v>5699127978</v>
      </c>
      <c r="W125" s="65">
        <f>444516798</f>
        <v>444516798</v>
      </c>
      <c r="X125" s="69">
        <f>22</f>
        <v>22</v>
      </c>
    </row>
    <row r="126" spans="1:24">
      <c r="A126" s="60" t="s">
        <v>934</v>
      </c>
      <c r="B126" s="60" t="s">
        <v>421</v>
      </c>
      <c r="C126" s="60" t="s">
        <v>422</v>
      </c>
      <c r="D126" s="60" t="s">
        <v>423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f>810</f>
        <v>810</v>
      </c>
      <c r="L126" s="67" t="s">
        <v>840</v>
      </c>
      <c r="M126" s="66">
        <f>930</f>
        <v>930</v>
      </c>
      <c r="N126" s="67" t="s">
        <v>72</v>
      </c>
      <c r="O126" s="66">
        <f>810</f>
        <v>810</v>
      </c>
      <c r="P126" s="67" t="s">
        <v>840</v>
      </c>
      <c r="Q126" s="66">
        <f>930</f>
        <v>930</v>
      </c>
      <c r="R126" s="67" t="s">
        <v>50</v>
      </c>
      <c r="S126" s="68">
        <f>874.95</f>
        <v>874.95</v>
      </c>
      <c r="T126" s="65">
        <f>5190</f>
        <v>5190</v>
      </c>
      <c r="U126" s="65">
        <f>70</f>
        <v>70</v>
      </c>
      <c r="V126" s="65">
        <f>4518570</f>
        <v>4518570</v>
      </c>
      <c r="W126" s="65">
        <f>60270</f>
        <v>60270</v>
      </c>
      <c r="X126" s="69">
        <f>20</f>
        <v>20</v>
      </c>
    </row>
    <row r="127" spans="1:24">
      <c r="A127" s="60" t="s">
        <v>934</v>
      </c>
      <c r="B127" s="60" t="s">
        <v>424</v>
      </c>
      <c r="C127" s="60" t="s">
        <v>425</v>
      </c>
      <c r="D127" s="60" t="s">
        <v>841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f>1413</f>
        <v>1413</v>
      </c>
      <c r="L127" s="67" t="s">
        <v>840</v>
      </c>
      <c r="M127" s="66">
        <f>1446</f>
        <v>1446</v>
      </c>
      <c r="N127" s="67" t="s">
        <v>245</v>
      </c>
      <c r="O127" s="66">
        <f>1394</f>
        <v>1394</v>
      </c>
      <c r="P127" s="67" t="s">
        <v>99</v>
      </c>
      <c r="Q127" s="66">
        <f>1446</f>
        <v>1446</v>
      </c>
      <c r="R127" s="67" t="s">
        <v>245</v>
      </c>
      <c r="S127" s="68">
        <f>1421.3</f>
        <v>1421.3</v>
      </c>
      <c r="T127" s="65">
        <f>77510</f>
        <v>77510</v>
      </c>
      <c r="U127" s="65">
        <f>69840</f>
        <v>69840</v>
      </c>
      <c r="V127" s="65">
        <f>111053706</f>
        <v>111053706</v>
      </c>
      <c r="W127" s="65">
        <f>100128456</f>
        <v>100128456</v>
      </c>
      <c r="X127" s="69">
        <f>10</f>
        <v>10</v>
      </c>
    </row>
    <row r="128" spans="1:24">
      <c r="A128" s="60" t="s">
        <v>934</v>
      </c>
      <c r="B128" s="60" t="s">
        <v>427</v>
      </c>
      <c r="C128" s="60" t="s">
        <v>428</v>
      </c>
      <c r="D128" s="60" t="s">
        <v>429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f>1598</f>
        <v>1598</v>
      </c>
      <c r="L128" s="67" t="s">
        <v>840</v>
      </c>
      <c r="M128" s="66">
        <f>1621</f>
        <v>1621</v>
      </c>
      <c r="N128" s="67" t="s">
        <v>245</v>
      </c>
      <c r="O128" s="66">
        <f>1547</f>
        <v>1547</v>
      </c>
      <c r="P128" s="67" t="s">
        <v>99</v>
      </c>
      <c r="Q128" s="66">
        <f>1617</f>
        <v>1617</v>
      </c>
      <c r="R128" s="67" t="s">
        <v>50</v>
      </c>
      <c r="S128" s="68">
        <f>1593.33</f>
        <v>1593.33</v>
      </c>
      <c r="T128" s="65">
        <f>902</f>
        <v>902</v>
      </c>
      <c r="U128" s="65" t="str">
        <f>"－"</f>
        <v>－</v>
      </c>
      <c r="V128" s="65">
        <f>1419756</f>
        <v>1419756</v>
      </c>
      <c r="W128" s="65" t="str">
        <f>"－"</f>
        <v>－</v>
      </c>
      <c r="X128" s="69">
        <f>18</f>
        <v>18</v>
      </c>
    </row>
    <row r="129" spans="1:24">
      <c r="A129" s="60" t="s">
        <v>934</v>
      </c>
      <c r="B129" s="60" t="s">
        <v>430</v>
      </c>
      <c r="C129" s="60" t="s">
        <v>431</v>
      </c>
      <c r="D129" s="60" t="s">
        <v>432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16050</f>
        <v>16050</v>
      </c>
      <c r="L129" s="67" t="s">
        <v>840</v>
      </c>
      <c r="M129" s="66">
        <f>16560</f>
        <v>16560</v>
      </c>
      <c r="N129" s="67" t="s">
        <v>245</v>
      </c>
      <c r="O129" s="66">
        <f>15910</f>
        <v>15910</v>
      </c>
      <c r="P129" s="67" t="s">
        <v>309</v>
      </c>
      <c r="Q129" s="66">
        <f>16390</f>
        <v>16390</v>
      </c>
      <c r="R129" s="67" t="s">
        <v>50</v>
      </c>
      <c r="S129" s="68">
        <f>16164.09</f>
        <v>16164.09</v>
      </c>
      <c r="T129" s="65">
        <f>167891</f>
        <v>167891</v>
      </c>
      <c r="U129" s="65">
        <f>88011</f>
        <v>88011</v>
      </c>
      <c r="V129" s="65">
        <f>2716015420</f>
        <v>2716015420</v>
      </c>
      <c r="W129" s="65">
        <f>1419280440</f>
        <v>1419280440</v>
      </c>
      <c r="X129" s="69">
        <f>22</f>
        <v>22</v>
      </c>
    </row>
    <row r="130" spans="1:24">
      <c r="A130" s="60" t="s">
        <v>934</v>
      </c>
      <c r="B130" s="60" t="s">
        <v>433</v>
      </c>
      <c r="C130" s="60" t="s">
        <v>434</v>
      </c>
      <c r="D130" s="60" t="s">
        <v>435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</v>
      </c>
      <c r="K130" s="66">
        <f>1478</f>
        <v>1478</v>
      </c>
      <c r="L130" s="67" t="s">
        <v>840</v>
      </c>
      <c r="M130" s="66">
        <f>1521</f>
        <v>1521</v>
      </c>
      <c r="N130" s="67" t="s">
        <v>245</v>
      </c>
      <c r="O130" s="66">
        <f>1465</f>
        <v>1465</v>
      </c>
      <c r="P130" s="67" t="s">
        <v>309</v>
      </c>
      <c r="Q130" s="66">
        <f>1508</f>
        <v>1508</v>
      </c>
      <c r="R130" s="67" t="s">
        <v>50</v>
      </c>
      <c r="S130" s="68">
        <f>1486.77</f>
        <v>1486.77</v>
      </c>
      <c r="T130" s="65">
        <f>372152</f>
        <v>372152</v>
      </c>
      <c r="U130" s="65">
        <f>245000</f>
        <v>245000</v>
      </c>
      <c r="V130" s="65">
        <f>554646964</f>
        <v>554646964</v>
      </c>
      <c r="W130" s="65">
        <f>365069500</f>
        <v>365069500</v>
      </c>
      <c r="X130" s="69">
        <f>22</f>
        <v>22</v>
      </c>
    </row>
    <row r="131" spans="1:24">
      <c r="A131" s="60" t="s">
        <v>934</v>
      </c>
      <c r="B131" s="60" t="s">
        <v>436</v>
      </c>
      <c r="C131" s="60" t="s">
        <v>437</v>
      </c>
      <c r="D131" s="60" t="s">
        <v>438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f>16500</f>
        <v>16500</v>
      </c>
      <c r="L131" s="67" t="s">
        <v>840</v>
      </c>
      <c r="M131" s="66">
        <f>16990</f>
        <v>16990</v>
      </c>
      <c r="N131" s="67" t="s">
        <v>245</v>
      </c>
      <c r="O131" s="66">
        <f>16330</f>
        <v>16330</v>
      </c>
      <c r="P131" s="67" t="s">
        <v>309</v>
      </c>
      <c r="Q131" s="66">
        <f>16830</f>
        <v>16830</v>
      </c>
      <c r="R131" s="67" t="s">
        <v>50</v>
      </c>
      <c r="S131" s="68">
        <f>16598.18</f>
        <v>16598.18</v>
      </c>
      <c r="T131" s="65">
        <f>61917</f>
        <v>61917</v>
      </c>
      <c r="U131" s="65">
        <f>33512</f>
        <v>33512</v>
      </c>
      <c r="V131" s="65">
        <f>1026819550</f>
        <v>1026819550</v>
      </c>
      <c r="W131" s="65">
        <f>555159430</f>
        <v>555159430</v>
      </c>
      <c r="X131" s="69">
        <f>22</f>
        <v>22</v>
      </c>
    </row>
    <row r="132" spans="1:24">
      <c r="A132" s="60" t="s">
        <v>934</v>
      </c>
      <c r="B132" s="60" t="s">
        <v>439</v>
      </c>
      <c r="C132" s="60" t="s">
        <v>440</v>
      </c>
      <c r="D132" s="60" t="s">
        <v>441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f>1718</f>
        <v>1718</v>
      </c>
      <c r="L132" s="67" t="s">
        <v>840</v>
      </c>
      <c r="M132" s="66">
        <f>1840</f>
        <v>1840</v>
      </c>
      <c r="N132" s="67" t="s">
        <v>816</v>
      </c>
      <c r="O132" s="66">
        <f>1712</f>
        <v>1712</v>
      </c>
      <c r="P132" s="67" t="s">
        <v>814</v>
      </c>
      <c r="Q132" s="66">
        <f>1818</f>
        <v>1818</v>
      </c>
      <c r="R132" s="67" t="s">
        <v>50</v>
      </c>
      <c r="S132" s="68">
        <f>1748.45</f>
        <v>1748.45</v>
      </c>
      <c r="T132" s="65">
        <f>1796820</f>
        <v>1796820</v>
      </c>
      <c r="U132" s="65">
        <f>590040</f>
        <v>590040</v>
      </c>
      <c r="V132" s="65">
        <f>3154473530</f>
        <v>3154473530</v>
      </c>
      <c r="W132" s="65">
        <f>1029497890</f>
        <v>1029497890</v>
      </c>
      <c r="X132" s="69">
        <f>22</f>
        <v>22</v>
      </c>
    </row>
    <row r="133" spans="1:24">
      <c r="A133" s="60" t="s">
        <v>934</v>
      </c>
      <c r="B133" s="60" t="s">
        <v>442</v>
      </c>
      <c r="C133" s="60" t="s">
        <v>443</v>
      </c>
      <c r="D133" s="60" t="s">
        <v>444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10</v>
      </c>
      <c r="K133" s="66">
        <f>1566</f>
        <v>1566</v>
      </c>
      <c r="L133" s="67" t="s">
        <v>65</v>
      </c>
      <c r="M133" s="66">
        <f>1605</f>
        <v>1605</v>
      </c>
      <c r="N133" s="67" t="s">
        <v>822</v>
      </c>
      <c r="O133" s="66">
        <f>1566</f>
        <v>1566</v>
      </c>
      <c r="P133" s="67" t="s">
        <v>65</v>
      </c>
      <c r="Q133" s="66">
        <f>1602</f>
        <v>1602</v>
      </c>
      <c r="R133" s="67" t="s">
        <v>95</v>
      </c>
      <c r="S133" s="68">
        <f>1590.67</f>
        <v>1590.67</v>
      </c>
      <c r="T133" s="65">
        <f>180</f>
        <v>180</v>
      </c>
      <c r="U133" s="65" t="str">
        <f>"－"</f>
        <v>－</v>
      </c>
      <c r="V133" s="65">
        <f>286280</f>
        <v>286280</v>
      </c>
      <c r="W133" s="65" t="str">
        <f>"－"</f>
        <v>－</v>
      </c>
      <c r="X133" s="69">
        <f>6</f>
        <v>6</v>
      </c>
    </row>
    <row r="134" spans="1:24">
      <c r="A134" s="60" t="s">
        <v>934</v>
      </c>
      <c r="B134" s="60" t="s">
        <v>445</v>
      </c>
      <c r="C134" s="60" t="s">
        <v>446</v>
      </c>
      <c r="D134" s="60" t="s">
        <v>447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10</v>
      </c>
      <c r="K134" s="66">
        <f>1733</f>
        <v>1733</v>
      </c>
      <c r="L134" s="67" t="s">
        <v>840</v>
      </c>
      <c r="M134" s="66">
        <f>1819</f>
        <v>1819</v>
      </c>
      <c r="N134" s="67" t="s">
        <v>50</v>
      </c>
      <c r="O134" s="66">
        <f>1718</f>
        <v>1718</v>
      </c>
      <c r="P134" s="67" t="s">
        <v>65</v>
      </c>
      <c r="Q134" s="66">
        <f>1819</f>
        <v>1819</v>
      </c>
      <c r="R134" s="67" t="s">
        <v>50</v>
      </c>
      <c r="S134" s="68">
        <f>1752.77</f>
        <v>1752.77</v>
      </c>
      <c r="T134" s="65">
        <f>1088800</f>
        <v>1088800</v>
      </c>
      <c r="U134" s="65">
        <f>179040</f>
        <v>179040</v>
      </c>
      <c r="V134" s="65">
        <f>1894382910</f>
        <v>1894382910</v>
      </c>
      <c r="W134" s="65">
        <f>310328870</f>
        <v>310328870</v>
      </c>
      <c r="X134" s="69">
        <f>22</f>
        <v>22</v>
      </c>
    </row>
    <row r="135" spans="1:24">
      <c r="A135" s="60" t="s">
        <v>934</v>
      </c>
      <c r="B135" s="60" t="s">
        <v>448</v>
      </c>
      <c r="C135" s="60" t="s">
        <v>449</v>
      </c>
      <c r="D135" s="60" t="s">
        <v>450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</v>
      </c>
      <c r="K135" s="66">
        <f>17120</f>
        <v>17120</v>
      </c>
      <c r="L135" s="67" t="s">
        <v>833</v>
      </c>
      <c r="M135" s="66">
        <f>17440</f>
        <v>17440</v>
      </c>
      <c r="N135" s="67" t="s">
        <v>150</v>
      </c>
      <c r="O135" s="66">
        <f>17120</f>
        <v>17120</v>
      </c>
      <c r="P135" s="67" t="s">
        <v>833</v>
      </c>
      <c r="Q135" s="66">
        <f>17260</f>
        <v>17260</v>
      </c>
      <c r="R135" s="67" t="s">
        <v>95</v>
      </c>
      <c r="S135" s="68">
        <f>17255</f>
        <v>17255</v>
      </c>
      <c r="T135" s="65">
        <f>10</f>
        <v>10</v>
      </c>
      <c r="U135" s="65" t="str">
        <f>"－"</f>
        <v>－</v>
      </c>
      <c r="V135" s="65">
        <f>172740</f>
        <v>172740</v>
      </c>
      <c r="W135" s="65" t="str">
        <f>"－"</f>
        <v>－</v>
      </c>
      <c r="X135" s="69">
        <f>6</f>
        <v>6</v>
      </c>
    </row>
    <row r="136" spans="1:24">
      <c r="A136" s="60" t="s">
        <v>934</v>
      </c>
      <c r="B136" s="60" t="s">
        <v>451</v>
      </c>
      <c r="C136" s="60" t="s">
        <v>452</v>
      </c>
      <c r="D136" s="60" t="s">
        <v>453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16240</f>
        <v>16240</v>
      </c>
      <c r="L136" s="67" t="s">
        <v>840</v>
      </c>
      <c r="M136" s="66">
        <f>16800</f>
        <v>16800</v>
      </c>
      <c r="N136" s="67" t="s">
        <v>245</v>
      </c>
      <c r="O136" s="66">
        <f>16040</f>
        <v>16040</v>
      </c>
      <c r="P136" s="67" t="s">
        <v>61</v>
      </c>
      <c r="Q136" s="66">
        <f>16670</f>
        <v>16670</v>
      </c>
      <c r="R136" s="67" t="s">
        <v>50</v>
      </c>
      <c r="S136" s="68">
        <f>16438.64</f>
        <v>16438.64</v>
      </c>
      <c r="T136" s="65">
        <f>17160</f>
        <v>17160</v>
      </c>
      <c r="U136" s="65">
        <f>14008</f>
        <v>14008</v>
      </c>
      <c r="V136" s="65">
        <f>281925400</f>
        <v>281925400</v>
      </c>
      <c r="W136" s="65">
        <f>230003850</f>
        <v>230003850</v>
      </c>
      <c r="X136" s="69">
        <f>22</f>
        <v>22</v>
      </c>
    </row>
    <row r="137" spans="1:24">
      <c r="A137" s="60" t="s">
        <v>934</v>
      </c>
      <c r="B137" s="60" t="s">
        <v>457</v>
      </c>
      <c r="C137" s="60" t="s">
        <v>885</v>
      </c>
      <c r="D137" s="60" t="s">
        <v>886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100</v>
      </c>
      <c r="K137" s="66">
        <f>125</f>
        <v>125</v>
      </c>
      <c r="L137" s="67" t="s">
        <v>840</v>
      </c>
      <c r="M137" s="66">
        <f>128</f>
        <v>128</v>
      </c>
      <c r="N137" s="67" t="s">
        <v>833</v>
      </c>
      <c r="O137" s="66">
        <f>119</f>
        <v>119</v>
      </c>
      <c r="P137" s="67" t="s">
        <v>99</v>
      </c>
      <c r="Q137" s="66">
        <f>124</f>
        <v>124</v>
      </c>
      <c r="R137" s="67" t="s">
        <v>50</v>
      </c>
      <c r="S137" s="68">
        <f>123.73</f>
        <v>123.73</v>
      </c>
      <c r="T137" s="65">
        <f>56868200</f>
        <v>56868200</v>
      </c>
      <c r="U137" s="65">
        <f>11700</f>
        <v>11700</v>
      </c>
      <c r="V137" s="65">
        <f>7031538000</f>
        <v>7031538000</v>
      </c>
      <c r="W137" s="65">
        <f>1450300</f>
        <v>1450300</v>
      </c>
      <c r="X137" s="69">
        <f>22</f>
        <v>22</v>
      </c>
    </row>
    <row r="138" spans="1:24">
      <c r="A138" s="60" t="s">
        <v>934</v>
      </c>
      <c r="B138" s="60" t="s">
        <v>460</v>
      </c>
      <c r="C138" s="60" t="s">
        <v>461</v>
      </c>
      <c r="D138" s="60" t="s">
        <v>462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</v>
      </c>
      <c r="K138" s="66">
        <f>26810</f>
        <v>26810</v>
      </c>
      <c r="L138" s="67" t="s">
        <v>840</v>
      </c>
      <c r="M138" s="66">
        <f>27580</f>
        <v>27580</v>
      </c>
      <c r="N138" s="67" t="s">
        <v>90</v>
      </c>
      <c r="O138" s="66">
        <f>26500</f>
        <v>26500</v>
      </c>
      <c r="P138" s="67" t="s">
        <v>150</v>
      </c>
      <c r="Q138" s="66">
        <f>27080</f>
        <v>27080</v>
      </c>
      <c r="R138" s="67" t="s">
        <v>50</v>
      </c>
      <c r="S138" s="68">
        <f>27090.5</f>
        <v>27090.5</v>
      </c>
      <c r="T138" s="65">
        <f>4117</f>
        <v>4117</v>
      </c>
      <c r="U138" s="65" t="str">
        <f t="shared" ref="U138:U150" si="4">"－"</f>
        <v>－</v>
      </c>
      <c r="V138" s="65">
        <f>111285630</f>
        <v>111285630</v>
      </c>
      <c r="W138" s="65" t="str">
        <f t="shared" ref="W138:W150" si="5">"－"</f>
        <v>－</v>
      </c>
      <c r="X138" s="69">
        <f>20</f>
        <v>20</v>
      </c>
    </row>
    <row r="139" spans="1:24">
      <c r="A139" s="60" t="s">
        <v>934</v>
      </c>
      <c r="B139" s="60" t="s">
        <v>463</v>
      </c>
      <c r="C139" s="60" t="s">
        <v>464</v>
      </c>
      <c r="D139" s="60" t="s">
        <v>465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7680</f>
        <v>7680</v>
      </c>
      <c r="L139" s="67" t="s">
        <v>840</v>
      </c>
      <c r="M139" s="66">
        <f>7990</f>
        <v>7990</v>
      </c>
      <c r="N139" s="67" t="s">
        <v>150</v>
      </c>
      <c r="O139" s="66">
        <f>7490</f>
        <v>7490</v>
      </c>
      <c r="P139" s="67" t="s">
        <v>814</v>
      </c>
      <c r="Q139" s="66">
        <f>7900</f>
        <v>7900</v>
      </c>
      <c r="R139" s="67" t="s">
        <v>50</v>
      </c>
      <c r="S139" s="68">
        <f>7735.45</f>
        <v>7735.45</v>
      </c>
      <c r="T139" s="65">
        <f>14937</f>
        <v>14937</v>
      </c>
      <c r="U139" s="65" t="str">
        <f t="shared" si="4"/>
        <v>－</v>
      </c>
      <c r="V139" s="65">
        <f>115537200</f>
        <v>115537200</v>
      </c>
      <c r="W139" s="65" t="str">
        <f t="shared" si="5"/>
        <v>－</v>
      </c>
      <c r="X139" s="69">
        <f>22</f>
        <v>22</v>
      </c>
    </row>
    <row r="140" spans="1:24">
      <c r="A140" s="60" t="s">
        <v>934</v>
      </c>
      <c r="B140" s="60" t="s">
        <v>466</v>
      </c>
      <c r="C140" s="60" t="s">
        <v>467</v>
      </c>
      <c r="D140" s="60" t="s">
        <v>468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19510</f>
        <v>19510</v>
      </c>
      <c r="L140" s="67" t="s">
        <v>840</v>
      </c>
      <c r="M140" s="66">
        <f>20300</f>
        <v>20300</v>
      </c>
      <c r="N140" s="67" t="s">
        <v>833</v>
      </c>
      <c r="O140" s="66">
        <f>19510</f>
        <v>19510</v>
      </c>
      <c r="P140" s="67" t="s">
        <v>840</v>
      </c>
      <c r="Q140" s="66">
        <f>20100</f>
        <v>20100</v>
      </c>
      <c r="R140" s="67" t="s">
        <v>50</v>
      </c>
      <c r="S140" s="68">
        <f>19974.76</f>
        <v>19974.759999999998</v>
      </c>
      <c r="T140" s="65">
        <f>1836</f>
        <v>1836</v>
      </c>
      <c r="U140" s="65" t="str">
        <f t="shared" si="4"/>
        <v>－</v>
      </c>
      <c r="V140" s="65">
        <f>36660340</f>
        <v>36660340</v>
      </c>
      <c r="W140" s="65" t="str">
        <f t="shared" si="5"/>
        <v>－</v>
      </c>
      <c r="X140" s="69">
        <f>21</f>
        <v>21</v>
      </c>
    </row>
    <row r="141" spans="1:24">
      <c r="A141" s="60" t="s">
        <v>934</v>
      </c>
      <c r="B141" s="60" t="s">
        <v>469</v>
      </c>
      <c r="C141" s="60" t="s">
        <v>470</v>
      </c>
      <c r="D141" s="60" t="s">
        <v>471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25700</f>
        <v>25700</v>
      </c>
      <c r="L141" s="67" t="s">
        <v>840</v>
      </c>
      <c r="M141" s="66">
        <f>26950</f>
        <v>26950</v>
      </c>
      <c r="N141" s="67" t="s">
        <v>245</v>
      </c>
      <c r="O141" s="66">
        <f>25700</f>
        <v>25700</v>
      </c>
      <c r="P141" s="67" t="s">
        <v>840</v>
      </c>
      <c r="Q141" s="66">
        <f>26760</f>
        <v>26760</v>
      </c>
      <c r="R141" s="67" t="s">
        <v>50</v>
      </c>
      <c r="S141" s="68">
        <f>26315.91</f>
        <v>26315.91</v>
      </c>
      <c r="T141" s="65">
        <f>1447</f>
        <v>1447</v>
      </c>
      <c r="U141" s="65" t="str">
        <f t="shared" si="4"/>
        <v>－</v>
      </c>
      <c r="V141" s="65">
        <f>38243720</f>
        <v>38243720</v>
      </c>
      <c r="W141" s="65" t="str">
        <f t="shared" si="5"/>
        <v>－</v>
      </c>
      <c r="X141" s="69">
        <f>22</f>
        <v>22</v>
      </c>
    </row>
    <row r="142" spans="1:24">
      <c r="A142" s="60" t="s">
        <v>934</v>
      </c>
      <c r="B142" s="60" t="s">
        <v>472</v>
      </c>
      <c r="C142" s="60" t="s">
        <v>473</v>
      </c>
      <c r="D142" s="60" t="s">
        <v>474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25000</f>
        <v>25000</v>
      </c>
      <c r="L142" s="67" t="s">
        <v>840</v>
      </c>
      <c r="M142" s="66">
        <f>25170</f>
        <v>25170</v>
      </c>
      <c r="N142" s="67" t="s">
        <v>245</v>
      </c>
      <c r="O142" s="66">
        <f>24090</f>
        <v>24090</v>
      </c>
      <c r="P142" s="67" t="s">
        <v>309</v>
      </c>
      <c r="Q142" s="66">
        <f>24870</f>
        <v>24870</v>
      </c>
      <c r="R142" s="67" t="s">
        <v>50</v>
      </c>
      <c r="S142" s="68">
        <f>24530.91</f>
        <v>24530.91</v>
      </c>
      <c r="T142" s="65">
        <f>5438</f>
        <v>5438</v>
      </c>
      <c r="U142" s="65" t="str">
        <f t="shared" si="4"/>
        <v>－</v>
      </c>
      <c r="V142" s="65">
        <f>133230580</f>
        <v>133230580</v>
      </c>
      <c r="W142" s="65" t="str">
        <f t="shared" si="5"/>
        <v>－</v>
      </c>
      <c r="X142" s="69">
        <f>22</f>
        <v>22</v>
      </c>
    </row>
    <row r="143" spans="1:24">
      <c r="A143" s="60" t="s">
        <v>934</v>
      </c>
      <c r="B143" s="60" t="s">
        <v>475</v>
      </c>
      <c r="C143" s="60" t="s">
        <v>476</v>
      </c>
      <c r="D143" s="60" t="s">
        <v>477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18480</f>
        <v>18480</v>
      </c>
      <c r="L143" s="67" t="s">
        <v>840</v>
      </c>
      <c r="M143" s="66">
        <f>20230</f>
        <v>20230</v>
      </c>
      <c r="N143" s="67" t="s">
        <v>72</v>
      </c>
      <c r="O143" s="66">
        <f>18480</f>
        <v>18480</v>
      </c>
      <c r="P143" s="67" t="s">
        <v>840</v>
      </c>
      <c r="Q143" s="66">
        <f>19830</f>
        <v>19830</v>
      </c>
      <c r="R143" s="67" t="s">
        <v>50</v>
      </c>
      <c r="S143" s="68">
        <f>19527.27</f>
        <v>19527.27</v>
      </c>
      <c r="T143" s="65">
        <f>2496</f>
        <v>2496</v>
      </c>
      <c r="U143" s="65" t="str">
        <f t="shared" si="4"/>
        <v>－</v>
      </c>
      <c r="V143" s="65">
        <f>49042830</f>
        <v>49042830</v>
      </c>
      <c r="W143" s="65" t="str">
        <f t="shared" si="5"/>
        <v>－</v>
      </c>
      <c r="X143" s="69">
        <f>22</f>
        <v>22</v>
      </c>
    </row>
    <row r="144" spans="1:24">
      <c r="A144" s="60" t="s">
        <v>934</v>
      </c>
      <c r="B144" s="60" t="s">
        <v>478</v>
      </c>
      <c r="C144" s="60" t="s">
        <v>479</v>
      </c>
      <c r="D144" s="60" t="s">
        <v>480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12100</f>
        <v>12100</v>
      </c>
      <c r="L144" s="67" t="s">
        <v>840</v>
      </c>
      <c r="M144" s="66">
        <f>14490</f>
        <v>14490</v>
      </c>
      <c r="N144" s="67" t="s">
        <v>814</v>
      </c>
      <c r="O144" s="66">
        <f>12060</f>
        <v>12060</v>
      </c>
      <c r="P144" s="67" t="s">
        <v>814</v>
      </c>
      <c r="Q144" s="66">
        <f>13120</f>
        <v>13120</v>
      </c>
      <c r="R144" s="67" t="s">
        <v>50</v>
      </c>
      <c r="S144" s="68">
        <f>12941.36</f>
        <v>12941.36</v>
      </c>
      <c r="T144" s="65">
        <f>9863</f>
        <v>9863</v>
      </c>
      <c r="U144" s="65" t="str">
        <f t="shared" si="4"/>
        <v>－</v>
      </c>
      <c r="V144" s="65">
        <f>128392350</f>
        <v>128392350</v>
      </c>
      <c r="W144" s="65" t="str">
        <f t="shared" si="5"/>
        <v>－</v>
      </c>
      <c r="X144" s="69">
        <f>22</f>
        <v>22</v>
      </c>
    </row>
    <row r="145" spans="1:24">
      <c r="A145" s="60" t="s">
        <v>934</v>
      </c>
      <c r="B145" s="60" t="s">
        <v>481</v>
      </c>
      <c r="C145" s="60" t="s">
        <v>482</v>
      </c>
      <c r="D145" s="60" t="s">
        <v>483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38150</f>
        <v>38150</v>
      </c>
      <c r="L145" s="67" t="s">
        <v>840</v>
      </c>
      <c r="M145" s="66">
        <f>39250</f>
        <v>39250</v>
      </c>
      <c r="N145" s="67" t="s">
        <v>50</v>
      </c>
      <c r="O145" s="66">
        <f>37600</f>
        <v>37600</v>
      </c>
      <c r="P145" s="67" t="s">
        <v>65</v>
      </c>
      <c r="Q145" s="66">
        <f>38900</f>
        <v>38900</v>
      </c>
      <c r="R145" s="67" t="s">
        <v>50</v>
      </c>
      <c r="S145" s="68">
        <f>38377.27</f>
        <v>38377.269999999997</v>
      </c>
      <c r="T145" s="65">
        <f>1411</f>
        <v>1411</v>
      </c>
      <c r="U145" s="65" t="str">
        <f t="shared" si="4"/>
        <v>－</v>
      </c>
      <c r="V145" s="65">
        <f>54225200</f>
        <v>54225200</v>
      </c>
      <c r="W145" s="65" t="str">
        <f t="shared" si="5"/>
        <v>－</v>
      </c>
      <c r="X145" s="69">
        <f>22</f>
        <v>22</v>
      </c>
    </row>
    <row r="146" spans="1:24">
      <c r="A146" s="60" t="s">
        <v>934</v>
      </c>
      <c r="B146" s="60" t="s">
        <v>484</v>
      </c>
      <c r="C146" s="60" t="s">
        <v>485</v>
      </c>
      <c r="D146" s="60" t="s">
        <v>486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25260</f>
        <v>25260</v>
      </c>
      <c r="L146" s="67" t="s">
        <v>840</v>
      </c>
      <c r="M146" s="66">
        <f>26440</f>
        <v>26440</v>
      </c>
      <c r="N146" s="67" t="s">
        <v>245</v>
      </c>
      <c r="O146" s="66">
        <f>24860</f>
        <v>24860</v>
      </c>
      <c r="P146" s="67" t="s">
        <v>86</v>
      </c>
      <c r="Q146" s="66">
        <f>26320</f>
        <v>26320</v>
      </c>
      <c r="R146" s="67" t="s">
        <v>50</v>
      </c>
      <c r="S146" s="68">
        <f>25478.18</f>
        <v>25478.18</v>
      </c>
      <c r="T146" s="65">
        <f>2156</f>
        <v>2156</v>
      </c>
      <c r="U146" s="65" t="str">
        <f t="shared" si="4"/>
        <v>－</v>
      </c>
      <c r="V146" s="65">
        <f>54951540</f>
        <v>54951540</v>
      </c>
      <c r="W146" s="65" t="str">
        <f t="shared" si="5"/>
        <v>－</v>
      </c>
      <c r="X146" s="69">
        <f>22</f>
        <v>22</v>
      </c>
    </row>
    <row r="147" spans="1:24">
      <c r="A147" s="60" t="s">
        <v>934</v>
      </c>
      <c r="B147" s="60" t="s">
        <v>487</v>
      </c>
      <c r="C147" s="60" t="s">
        <v>488</v>
      </c>
      <c r="D147" s="60" t="s">
        <v>489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28360</f>
        <v>28360</v>
      </c>
      <c r="L147" s="67" t="s">
        <v>840</v>
      </c>
      <c r="M147" s="66">
        <f>29090</f>
        <v>29090</v>
      </c>
      <c r="N147" s="67" t="s">
        <v>822</v>
      </c>
      <c r="O147" s="66">
        <f>27340</f>
        <v>27340</v>
      </c>
      <c r="P147" s="67" t="s">
        <v>65</v>
      </c>
      <c r="Q147" s="66">
        <f>28860</f>
        <v>28860</v>
      </c>
      <c r="R147" s="67" t="s">
        <v>50</v>
      </c>
      <c r="S147" s="68">
        <f>28293.64</f>
        <v>28293.64</v>
      </c>
      <c r="T147" s="65">
        <f>6219</f>
        <v>6219</v>
      </c>
      <c r="U147" s="65" t="str">
        <f t="shared" si="4"/>
        <v>－</v>
      </c>
      <c r="V147" s="65">
        <f>176287570</f>
        <v>176287570</v>
      </c>
      <c r="W147" s="65" t="str">
        <f t="shared" si="5"/>
        <v>－</v>
      </c>
      <c r="X147" s="69">
        <f>22</f>
        <v>22</v>
      </c>
    </row>
    <row r="148" spans="1:24">
      <c r="A148" s="60" t="s">
        <v>934</v>
      </c>
      <c r="B148" s="60" t="s">
        <v>490</v>
      </c>
      <c r="C148" s="60" t="s">
        <v>491</v>
      </c>
      <c r="D148" s="60" t="s">
        <v>492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6060</f>
        <v>6060</v>
      </c>
      <c r="L148" s="67" t="s">
        <v>840</v>
      </c>
      <c r="M148" s="66">
        <f>6450</f>
        <v>6450</v>
      </c>
      <c r="N148" s="67" t="s">
        <v>814</v>
      </c>
      <c r="O148" s="66">
        <f>5820</f>
        <v>5820</v>
      </c>
      <c r="P148" s="67" t="s">
        <v>309</v>
      </c>
      <c r="Q148" s="66">
        <f>6110</f>
        <v>6110</v>
      </c>
      <c r="R148" s="67" t="s">
        <v>50</v>
      </c>
      <c r="S148" s="68">
        <f>5953.64</f>
        <v>5953.64</v>
      </c>
      <c r="T148" s="65">
        <f>16708</f>
        <v>16708</v>
      </c>
      <c r="U148" s="65" t="str">
        <f t="shared" si="4"/>
        <v>－</v>
      </c>
      <c r="V148" s="65">
        <f>99562970</f>
        <v>99562970</v>
      </c>
      <c r="W148" s="65" t="str">
        <f t="shared" si="5"/>
        <v>－</v>
      </c>
      <c r="X148" s="69">
        <f>22</f>
        <v>22</v>
      </c>
    </row>
    <row r="149" spans="1:24">
      <c r="A149" s="60" t="s">
        <v>934</v>
      </c>
      <c r="B149" s="60" t="s">
        <v>493</v>
      </c>
      <c r="C149" s="60" t="s">
        <v>494</v>
      </c>
      <c r="D149" s="60" t="s">
        <v>495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13990</f>
        <v>13990</v>
      </c>
      <c r="L149" s="67" t="s">
        <v>840</v>
      </c>
      <c r="M149" s="66">
        <f>14480</f>
        <v>14480</v>
      </c>
      <c r="N149" s="67" t="s">
        <v>814</v>
      </c>
      <c r="O149" s="66">
        <f>13360</f>
        <v>13360</v>
      </c>
      <c r="P149" s="67" t="s">
        <v>309</v>
      </c>
      <c r="Q149" s="66">
        <f>14100</f>
        <v>14100</v>
      </c>
      <c r="R149" s="67" t="s">
        <v>50</v>
      </c>
      <c r="S149" s="68">
        <f>13957.27</f>
        <v>13957.27</v>
      </c>
      <c r="T149" s="65">
        <f>15273</f>
        <v>15273</v>
      </c>
      <c r="U149" s="65" t="str">
        <f t="shared" si="4"/>
        <v>－</v>
      </c>
      <c r="V149" s="65">
        <f>212505300</f>
        <v>212505300</v>
      </c>
      <c r="W149" s="65" t="str">
        <f t="shared" si="5"/>
        <v>－</v>
      </c>
      <c r="X149" s="69">
        <f>22</f>
        <v>22</v>
      </c>
    </row>
    <row r="150" spans="1:24">
      <c r="A150" s="60" t="s">
        <v>934</v>
      </c>
      <c r="B150" s="60" t="s">
        <v>496</v>
      </c>
      <c r="C150" s="60" t="s">
        <v>497</v>
      </c>
      <c r="D150" s="60" t="s">
        <v>498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33050</f>
        <v>33050</v>
      </c>
      <c r="L150" s="67" t="s">
        <v>840</v>
      </c>
      <c r="M150" s="66">
        <f>34500</f>
        <v>34500</v>
      </c>
      <c r="N150" s="67" t="s">
        <v>90</v>
      </c>
      <c r="O150" s="66">
        <f>32550</f>
        <v>32550</v>
      </c>
      <c r="P150" s="67" t="s">
        <v>840</v>
      </c>
      <c r="Q150" s="66">
        <f>34250</f>
        <v>34250</v>
      </c>
      <c r="R150" s="67" t="s">
        <v>50</v>
      </c>
      <c r="S150" s="68">
        <f>33734.09</f>
        <v>33734.089999999997</v>
      </c>
      <c r="T150" s="65">
        <f>6372</f>
        <v>6372</v>
      </c>
      <c r="U150" s="65" t="str">
        <f t="shared" si="4"/>
        <v>－</v>
      </c>
      <c r="V150" s="65">
        <f>215549950</f>
        <v>215549950</v>
      </c>
      <c r="W150" s="65" t="str">
        <f t="shared" si="5"/>
        <v>－</v>
      </c>
      <c r="X150" s="69">
        <f>22</f>
        <v>22</v>
      </c>
    </row>
    <row r="151" spans="1:24">
      <c r="A151" s="60" t="s">
        <v>934</v>
      </c>
      <c r="B151" s="60" t="s">
        <v>499</v>
      </c>
      <c r="C151" s="60" t="s">
        <v>500</v>
      </c>
      <c r="D151" s="60" t="s">
        <v>501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22120</f>
        <v>22120</v>
      </c>
      <c r="L151" s="67" t="s">
        <v>840</v>
      </c>
      <c r="M151" s="66">
        <f>22580</f>
        <v>22580</v>
      </c>
      <c r="N151" s="67" t="s">
        <v>50</v>
      </c>
      <c r="O151" s="66">
        <f>21830</f>
        <v>21830</v>
      </c>
      <c r="P151" s="67" t="s">
        <v>65</v>
      </c>
      <c r="Q151" s="66">
        <f>22580</f>
        <v>22580</v>
      </c>
      <c r="R151" s="67" t="s">
        <v>50</v>
      </c>
      <c r="S151" s="68">
        <f>22153.57</f>
        <v>22153.57</v>
      </c>
      <c r="T151" s="65">
        <f>49</f>
        <v>49</v>
      </c>
      <c r="U151" s="65">
        <f>1</f>
        <v>1</v>
      </c>
      <c r="V151" s="65">
        <f>1088050</f>
        <v>1088050</v>
      </c>
      <c r="W151" s="65">
        <f>22580</f>
        <v>22580</v>
      </c>
      <c r="X151" s="69">
        <f>14</f>
        <v>14</v>
      </c>
    </row>
    <row r="152" spans="1:24">
      <c r="A152" s="60" t="s">
        <v>934</v>
      </c>
      <c r="B152" s="60" t="s">
        <v>502</v>
      </c>
      <c r="C152" s="60" t="s">
        <v>503</v>
      </c>
      <c r="D152" s="60" t="s">
        <v>504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6400</f>
        <v>6400</v>
      </c>
      <c r="L152" s="67" t="s">
        <v>840</v>
      </c>
      <c r="M152" s="66">
        <f>6620</f>
        <v>6620</v>
      </c>
      <c r="N152" s="67" t="s">
        <v>814</v>
      </c>
      <c r="O152" s="66">
        <f>6240</f>
        <v>6240</v>
      </c>
      <c r="P152" s="67" t="s">
        <v>99</v>
      </c>
      <c r="Q152" s="66">
        <f>6430</f>
        <v>6430</v>
      </c>
      <c r="R152" s="67" t="s">
        <v>50</v>
      </c>
      <c r="S152" s="68">
        <f>6417.27</f>
        <v>6417.27</v>
      </c>
      <c r="T152" s="65">
        <f>37092</f>
        <v>37092</v>
      </c>
      <c r="U152" s="65" t="str">
        <f t="shared" ref="U152:U158" si="6">"－"</f>
        <v>－</v>
      </c>
      <c r="V152" s="65">
        <f>237963050</f>
        <v>237963050</v>
      </c>
      <c r="W152" s="65" t="str">
        <f t="shared" ref="W152:W158" si="7">"－"</f>
        <v>－</v>
      </c>
      <c r="X152" s="69">
        <f>22</f>
        <v>22</v>
      </c>
    </row>
    <row r="153" spans="1:24">
      <c r="A153" s="60" t="s">
        <v>934</v>
      </c>
      <c r="B153" s="60" t="s">
        <v>505</v>
      </c>
      <c r="C153" s="60" t="s">
        <v>506</v>
      </c>
      <c r="D153" s="60" t="s">
        <v>507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f>11790</f>
        <v>11790</v>
      </c>
      <c r="L153" s="67" t="s">
        <v>840</v>
      </c>
      <c r="M153" s="66">
        <f>12070</f>
        <v>12070</v>
      </c>
      <c r="N153" s="67" t="s">
        <v>100</v>
      </c>
      <c r="O153" s="66">
        <f>11480</f>
        <v>11480</v>
      </c>
      <c r="P153" s="67" t="s">
        <v>99</v>
      </c>
      <c r="Q153" s="66">
        <f>11870</f>
        <v>11870</v>
      </c>
      <c r="R153" s="67" t="s">
        <v>50</v>
      </c>
      <c r="S153" s="68">
        <f>11780</f>
        <v>11780</v>
      </c>
      <c r="T153" s="65">
        <f>1577</f>
        <v>1577</v>
      </c>
      <c r="U153" s="65" t="str">
        <f t="shared" si="6"/>
        <v>－</v>
      </c>
      <c r="V153" s="65">
        <f>18633190</f>
        <v>18633190</v>
      </c>
      <c r="W153" s="65" t="str">
        <f t="shared" si="7"/>
        <v>－</v>
      </c>
      <c r="X153" s="69">
        <f>21</f>
        <v>21</v>
      </c>
    </row>
    <row r="154" spans="1:24">
      <c r="A154" s="60" t="s">
        <v>934</v>
      </c>
      <c r="B154" s="60" t="s">
        <v>508</v>
      </c>
      <c r="C154" s="60" t="s">
        <v>509</v>
      </c>
      <c r="D154" s="60" t="s">
        <v>510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f>27190</f>
        <v>27190</v>
      </c>
      <c r="L154" s="67" t="s">
        <v>840</v>
      </c>
      <c r="M154" s="66">
        <f>27800</f>
        <v>27800</v>
      </c>
      <c r="N154" s="67" t="s">
        <v>814</v>
      </c>
      <c r="O154" s="66">
        <f>25350</f>
        <v>25350</v>
      </c>
      <c r="P154" s="67" t="s">
        <v>99</v>
      </c>
      <c r="Q154" s="66">
        <f>26200</f>
        <v>26200</v>
      </c>
      <c r="R154" s="67" t="s">
        <v>50</v>
      </c>
      <c r="S154" s="68">
        <f>26676.36</f>
        <v>26676.36</v>
      </c>
      <c r="T154" s="65">
        <f>2363</f>
        <v>2363</v>
      </c>
      <c r="U154" s="65" t="str">
        <f t="shared" si="6"/>
        <v>－</v>
      </c>
      <c r="V154" s="65">
        <f>63139190</f>
        <v>63139190</v>
      </c>
      <c r="W154" s="65" t="str">
        <f t="shared" si="7"/>
        <v>－</v>
      </c>
      <c r="X154" s="69">
        <f>22</f>
        <v>22</v>
      </c>
    </row>
    <row r="155" spans="1:24">
      <c r="A155" s="60" t="s">
        <v>934</v>
      </c>
      <c r="B155" s="60" t="s">
        <v>511</v>
      </c>
      <c r="C155" s="60" t="s">
        <v>512</v>
      </c>
      <c r="D155" s="60" t="s">
        <v>513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10</v>
      </c>
      <c r="K155" s="66">
        <f>882</f>
        <v>882</v>
      </c>
      <c r="L155" s="67" t="s">
        <v>840</v>
      </c>
      <c r="M155" s="66">
        <f>920</f>
        <v>920</v>
      </c>
      <c r="N155" s="67" t="s">
        <v>90</v>
      </c>
      <c r="O155" s="66">
        <f>877</f>
        <v>877</v>
      </c>
      <c r="P155" s="67" t="s">
        <v>840</v>
      </c>
      <c r="Q155" s="66">
        <f>913</f>
        <v>913</v>
      </c>
      <c r="R155" s="67" t="s">
        <v>50</v>
      </c>
      <c r="S155" s="68">
        <f>904.27</f>
        <v>904.27</v>
      </c>
      <c r="T155" s="65">
        <f>54880</f>
        <v>54880</v>
      </c>
      <c r="U155" s="65" t="str">
        <f t="shared" si="6"/>
        <v>－</v>
      </c>
      <c r="V155" s="65">
        <f>49506030</f>
        <v>49506030</v>
      </c>
      <c r="W155" s="65" t="str">
        <f t="shared" si="7"/>
        <v>－</v>
      </c>
      <c r="X155" s="69">
        <f>22</f>
        <v>22</v>
      </c>
    </row>
    <row r="156" spans="1:24">
      <c r="A156" s="60" t="s">
        <v>934</v>
      </c>
      <c r="B156" s="60" t="s">
        <v>514</v>
      </c>
      <c r="C156" s="60" t="s">
        <v>515</v>
      </c>
      <c r="D156" s="60" t="s">
        <v>516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2246</f>
        <v>2246</v>
      </c>
      <c r="L156" s="67" t="s">
        <v>840</v>
      </c>
      <c r="M156" s="66">
        <f>2283</f>
        <v>2283</v>
      </c>
      <c r="N156" s="67" t="s">
        <v>50</v>
      </c>
      <c r="O156" s="66">
        <f>2201</f>
        <v>2201</v>
      </c>
      <c r="P156" s="67" t="s">
        <v>309</v>
      </c>
      <c r="Q156" s="66">
        <f>2272</f>
        <v>2272</v>
      </c>
      <c r="R156" s="67" t="s">
        <v>50</v>
      </c>
      <c r="S156" s="68">
        <f>2234.1</f>
        <v>2234.1</v>
      </c>
      <c r="T156" s="65">
        <f>2150</f>
        <v>2150</v>
      </c>
      <c r="U156" s="65" t="str">
        <f t="shared" si="6"/>
        <v>－</v>
      </c>
      <c r="V156" s="65">
        <f>4887490</f>
        <v>4887490</v>
      </c>
      <c r="W156" s="65" t="str">
        <f t="shared" si="7"/>
        <v>－</v>
      </c>
      <c r="X156" s="69">
        <f>10</f>
        <v>10</v>
      </c>
    </row>
    <row r="157" spans="1:24">
      <c r="A157" s="60" t="s">
        <v>934</v>
      </c>
      <c r="B157" s="60" t="s">
        <v>517</v>
      </c>
      <c r="C157" s="60" t="s">
        <v>518</v>
      </c>
      <c r="D157" s="60" t="s">
        <v>519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10</v>
      </c>
      <c r="K157" s="66">
        <f>2261</f>
        <v>2261</v>
      </c>
      <c r="L157" s="67" t="s">
        <v>840</v>
      </c>
      <c r="M157" s="66">
        <f>2358</f>
        <v>2358</v>
      </c>
      <c r="N157" s="67" t="s">
        <v>245</v>
      </c>
      <c r="O157" s="66">
        <f>2252</f>
        <v>2252</v>
      </c>
      <c r="P157" s="67" t="s">
        <v>65</v>
      </c>
      <c r="Q157" s="66">
        <f>2342</f>
        <v>2342</v>
      </c>
      <c r="R157" s="67" t="s">
        <v>50</v>
      </c>
      <c r="S157" s="68">
        <f>2279.81</f>
        <v>2279.81</v>
      </c>
      <c r="T157" s="65">
        <f>65630</f>
        <v>65630</v>
      </c>
      <c r="U157" s="65" t="str">
        <f t="shared" si="6"/>
        <v>－</v>
      </c>
      <c r="V157" s="65">
        <f>152532760</f>
        <v>152532760</v>
      </c>
      <c r="W157" s="65" t="str">
        <f t="shared" si="7"/>
        <v>－</v>
      </c>
      <c r="X157" s="69">
        <f>21</f>
        <v>21</v>
      </c>
    </row>
    <row r="158" spans="1:24">
      <c r="A158" s="60" t="s">
        <v>934</v>
      </c>
      <c r="B158" s="60" t="s">
        <v>520</v>
      </c>
      <c r="C158" s="60" t="s">
        <v>521</v>
      </c>
      <c r="D158" s="60" t="s">
        <v>522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10</v>
      </c>
      <c r="K158" s="66">
        <f>1331</f>
        <v>1331</v>
      </c>
      <c r="L158" s="67" t="s">
        <v>840</v>
      </c>
      <c r="M158" s="66">
        <f>1356</f>
        <v>1356</v>
      </c>
      <c r="N158" s="67" t="s">
        <v>100</v>
      </c>
      <c r="O158" s="66">
        <f>1330</f>
        <v>1330</v>
      </c>
      <c r="P158" s="67" t="s">
        <v>309</v>
      </c>
      <c r="Q158" s="66">
        <f>1334</f>
        <v>1334</v>
      </c>
      <c r="R158" s="67" t="s">
        <v>99</v>
      </c>
      <c r="S158" s="68">
        <f>1338.63</f>
        <v>1338.63</v>
      </c>
      <c r="T158" s="65">
        <f>510</f>
        <v>510</v>
      </c>
      <c r="U158" s="65" t="str">
        <f t="shared" si="6"/>
        <v>－</v>
      </c>
      <c r="V158" s="65">
        <f>686820</f>
        <v>686820</v>
      </c>
      <c r="W158" s="65" t="str">
        <f t="shared" si="7"/>
        <v>－</v>
      </c>
      <c r="X158" s="69">
        <f>8</f>
        <v>8</v>
      </c>
    </row>
    <row r="159" spans="1:24">
      <c r="A159" s="60" t="s">
        <v>934</v>
      </c>
      <c r="B159" s="60" t="s">
        <v>523</v>
      </c>
      <c r="C159" s="60" t="s">
        <v>524</v>
      </c>
      <c r="D159" s="60" t="s">
        <v>525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</v>
      </c>
      <c r="K159" s="66">
        <f>2719</f>
        <v>2719</v>
      </c>
      <c r="L159" s="67" t="s">
        <v>840</v>
      </c>
      <c r="M159" s="66">
        <f>2790</f>
        <v>2790</v>
      </c>
      <c r="N159" s="67" t="s">
        <v>245</v>
      </c>
      <c r="O159" s="66">
        <f>2717</f>
        <v>2717</v>
      </c>
      <c r="P159" s="67" t="s">
        <v>99</v>
      </c>
      <c r="Q159" s="66">
        <f>2769</f>
        <v>2769</v>
      </c>
      <c r="R159" s="67" t="s">
        <v>50</v>
      </c>
      <c r="S159" s="68">
        <f>2745.27</f>
        <v>2745.27</v>
      </c>
      <c r="T159" s="65">
        <f>3415122</f>
        <v>3415122</v>
      </c>
      <c r="U159" s="65">
        <f>147011</f>
        <v>147011</v>
      </c>
      <c r="V159" s="65">
        <f>9380953423</f>
        <v>9380953423</v>
      </c>
      <c r="W159" s="65">
        <f>404311900</f>
        <v>404311900</v>
      </c>
      <c r="X159" s="69">
        <f>22</f>
        <v>22</v>
      </c>
    </row>
    <row r="160" spans="1:24">
      <c r="A160" s="60" t="s">
        <v>934</v>
      </c>
      <c r="B160" s="60" t="s">
        <v>526</v>
      </c>
      <c r="C160" s="60" t="s">
        <v>527</v>
      </c>
      <c r="D160" s="60" t="s">
        <v>528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2603</f>
        <v>2603</v>
      </c>
      <c r="L160" s="67" t="s">
        <v>840</v>
      </c>
      <c r="M160" s="66">
        <f>2606</f>
        <v>2606</v>
      </c>
      <c r="N160" s="67" t="s">
        <v>840</v>
      </c>
      <c r="O160" s="66">
        <f>2562</f>
        <v>2562</v>
      </c>
      <c r="P160" s="67" t="s">
        <v>822</v>
      </c>
      <c r="Q160" s="66">
        <f>2568</f>
        <v>2568</v>
      </c>
      <c r="R160" s="67" t="s">
        <v>50</v>
      </c>
      <c r="S160" s="68">
        <f>2579.95</f>
        <v>2579.9499999999998</v>
      </c>
      <c r="T160" s="65">
        <f>671369</f>
        <v>671369</v>
      </c>
      <c r="U160" s="65">
        <f>194000</f>
        <v>194000</v>
      </c>
      <c r="V160" s="65">
        <f>1732544963</f>
        <v>1732544963</v>
      </c>
      <c r="W160" s="65">
        <f>501606400</f>
        <v>501606400</v>
      </c>
      <c r="X160" s="69">
        <f>22</f>
        <v>22</v>
      </c>
    </row>
    <row r="161" spans="1:24">
      <c r="A161" s="60" t="s">
        <v>934</v>
      </c>
      <c r="B161" s="60" t="s">
        <v>529</v>
      </c>
      <c r="C161" s="60" t="s">
        <v>530</v>
      </c>
      <c r="D161" s="60" t="s">
        <v>531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2432</f>
        <v>2432</v>
      </c>
      <c r="L161" s="67" t="s">
        <v>840</v>
      </c>
      <c r="M161" s="66">
        <f>2517</f>
        <v>2517</v>
      </c>
      <c r="N161" s="67" t="s">
        <v>245</v>
      </c>
      <c r="O161" s="66">
        <f>2432</f>
        <v>2432</v>
      </c>
      <c r="P161" s="67" t="s">
        <v>840</v>
      </c>
      <c r="Q161" s="66">
        <f>2505</f>
        <v>2505</v>
      </c>
      <c r="R161" s="67" t="s">
        <v>50</v>
      </c>
      <c r="S161" s="68">
        <f>2474.55</f>
        <v>2474.5500000000002</v>
      </c>
      <c r="T161" s="65">
        <f>158715</f>
        <v>158715</v>
      </c>
      <c r="U161" s="65">
        <f>82000</f>
        <v>82000</v>
      </c>
      <c r="V161" s="65">
        <f>392684519</f>
        <v>392684519</v>
      </c>
      <c r="W161" s="65">
        <f>202353860</f>
        <v>202353860</v>
      </c>
      <c r="X161" s="69">
        <f>22</f>
        <v>22</v>
      </c>
    </row>
    <row r="162" spans="1:24">
      <c r="A162" s="60" t="s">
        <v>934</v>
      </c>
      <c r="B162" s="60" t="s">
        <v>532</v>
      </c>
      <c r="C162" s="60" t="s">
        <v>533</v>
      </c>
      <c r="D162" s="60" t="s">
        <v>534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2037</f>
        <v>2037</v>
      </c>
      <c r="L162" s="67" t="s">
        <v>840</v>
      </c>
      <c r="M162" s="66">
        <f>2164</f>
        <v>2164</v>
      </c>
      <c r="N162" s="67" t="s">
        <v>50</v>
      </c>
      <c r="O162" s="66">
        <f>2037</f>
        <v>2037</v>
      </c>
      <c r="P162" s="67" t="s">
        <v>840</v>
      </c>
      <c r="Q162" s="66">
        <f>2164</f>
        <v>2164</v>
      </c>
      <c r="R162" s="67" t="s">
        <v>50</v>
      </c>
      <c r="S162" s="68">
        <f>2113</f>
        <v>2113</v>
      </c>
      <c r="T162" s="65">
        <f>184861</f>
        <v>184861</v>
      </c>
      <c r="U162" s="65">
        <f>17</f>
        <v>17</v>
      </c>
      <c r="V162" s="65">
        <f>390281212</f>
        <v>390281212</v>
      </c>
      <c r="W162" s="65">
        <f>35837</f>
        <v>35837</v>
      </c>
      <c r="X162" s="69">
        <f>22</f>
        <v>22</v>
      </c>
    </row>
    <row r="163" spans="1:24">
      <c r="A163" s="60" t="s">
        <v>934</v>
      </c>
      <c r="B163" s="60" t="s">
        <v>535</v>
      </c>
      <c r="C163" s="60" t="s">
        <v>536</v>
      </c>
      <c r="D163" s="60" t="s">
        <v>537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1849</f>
        <v>1849</v>
      </c>
      <c r="L163" s="67" t="s">
        <v>840</v>
      </c>
      <c r="M163" s="66">
        <f>1901</f>
        <v>1901</v>
      </c>
      <c r="N163" s="67" t="s">
        <v>100</v>
      </c>
      <c r="O163" s="66">
        <f>1820</f>
        <v>1820</v>
      </c>
      <c r="P163" s="67" t="s">
        <v>309</v>
      </c>
      <c r="Q163" s="66">
        <f>1853</f>
        <v>1853</v>
      </c>
      <c r="R163" s="67" t="s">
        <v>50</v>
      </c>
      <c r="S163" s="68">
        <f>1861.14</f>
        <v>1861.14</v>
      </c>
      <c r="T163" s="65">
        <f>672846</f>
        <v>672846</v>
      </c>
      <c r="U163" s="65" t="str">
        <f>"－"</f>
        <v>－</v>
      </c>
      <c r="V163" s="65">
        <f>1248251396</f>
        <v>1248251396</v>
      </c>
      <c r="W163" s="65" t="str">
        <f>"－"</f>
        <v>－</v>
      </c>
      <c r="X163" s="69">
        <f>22</f>
        <v>22</v>
      </c>
    </row>
    <row r="164" spans="1:24">
      <c r="A164" s="60" t="s">
        <v>934</v>
      </c>
      <c r="B164" s="60" t="s">
        <v>538</v>
      </c>
      <c r="C164" s="60" t="s">
        <v>539</v>
      </c>
      <c r="D164" s="60" t="s">
        <v>540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9360</f>
        <v>9360</v>
      </c>
      <c r="L164" s="67" t="s">
        <v>840</v>
      </c>
      <c r="M164" s="66">
        <f>10030</f>
        <v>10030</v>
      </c>
      <c r="N164" s="67" t="s">
        <v>50</v>
      </c>
      <c r="O164" s="66">
        <f>9350</f>
        <v>9350</v>
      </c>
      <c r="P164" s="67" t="s">
        <v>840</v>
      </c>
      <c r="Q164" s="66">
        <f>10030</f>
        <v>10030</v>
      </c>
      <c r="R164" s="67" t="s">
        <v>50</v>
      </c>
      <c r="S164" s="68">
        <f>9610.45</f>
        <v>9610.4500000000007</v>
      </c>
      <c r="T164" s="65">
        <f>34063</f>
        <v>34063</v>
      </c>
      <c r="U164" s="65">
        <f>9</f>
        <v>9</v>
      </c>
      <c r="V164" s="65">
        <f>330681940</f>
        <v>330681940</v>
      </c>
      <c r="W164" s="65">
        <f>86630</f>
        <v>86630</v>
      </c>
      <c r="X164" s="69">
        <f>22</f>
        <v>22</v>
      </c>
    </row>
    <row r="165" spans="1:24">
      <c r="A165" s="60" t="s">
        <v>934</v>
      </c>
      <c r="B165" s="60" t="s">
        <v>541</v>
      </c>
      <c r="C165" s="60" t="s">
        <v>542</v>
      </c>
      <c r="D165" s="60" t="s">
        <v>543</v>
      </c>
      <c r="E165" s="61" t="s">
        <v>46</v>
      </c>
      <c r="F165" s="62" t="s">
        <v>46</v>
      </c>
      <c r="G165" s="63" t="s">
        <v>46</v>
      </c>
      <c r="H165" s="64" t="s">
        <v>823</v>
      </c>
      <c r="I165" s="64" t="s">
        <v>47</v>
      </c>
      <c r="J165" s="65">
        <v>100</v>
      </c>
      <c r="K165" s="66">
        <f>119</f>
        <v>119</v>
      </c>
      <c r="L165" s="67" t="s">
        <v>840</v>
      </c>
      <c r="M165" s="66">
        <f>157</f>
        <v>157</v>
      </c>
      <c r="N165" s="67" t="s">
        <v>79</v>
      </c>
      <c r="O165" s="66">
        <f>115</f>
        <v>115</v>
      </c>
      <c r="P165" s="67" t="s">
        <v>840</v>
      </c>
      <c r="Q165" s="66">
        <f>123</f>
        <v>123</v>
      </c>
      <c r="R165" s="67" t="s">
        <v>50</v>
      </c>
      <c r="S165" s="68">
        <f>120.05</f>
        <v>120.05</v>
      </c>
      <c r="T165" s="65">
        <f>1018800</f>
        <v>1018800</v>
      </c>
      <c r="U165" s="65" t="str">
        <f>"－"</f>
        <v>－</v>
      </c>
      <c r="V165" s="65">
        <f>135310300</f>
        <v>135310300</v>
      </c>
      <c r="W165" s="65" t="str">
        <f>"－"</f>
        <v>－</v>
      </c>
      <c r="X165" s="69">
        <f>22</f>
        <v>22</v>
      </c>
    </row>
    <row r="166" spans="1:24">
      <c r="A166" s="60" t="s">
        <v>934</v>
      </c>
      <c r="B166" s="60" t="s">
        <v>544</v>
      </c>
      <c r="C166" s="60" t="s">
        <v>545</v>
      </c>
      <c r="D166" s="60" t="s">
        <v>546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</v>
      </c>
      <c r="K166" s="66">
        <f>910</f>
        <v>910</v>
      </c>
      <c r="L166" s="67" t="s">
        <v>840</v>
      </c>
      <c r="M166" s="66">
        <f>967</f>
        <v>967</v>
      </c>
      <c r="N166" s="67" t="s">
        <v>150</v>
      </c>
      <c r="O166" s="66">
        <f>887</f>
        <v>887</v>
      </c>
      <c r="P166" s="67" t="s">
        <v>833</v>
      </c>
      <c r="Q166" s="66">
        <f>956</f>
        <v>956</v>
      </c>
      <c r="R166" s="67" t="s">
        <v>50</v>
      </c>
      <c r="S166" s="68">
        <f>936.95</f>
        <v>936.95</v>
      </c>
      <c r="T166" s="65">
        <f>43184026</f>
        <v>43184026</v>
      </c>
      <c r="U166" s="65">
        <f>39310</f>
        <v>39310</v>
      </c>
      <c r="V166" s="65">
        <f>40334999110</f>
        <v>40334999110</v>
      </c>
      <c r="W166" s="65">
        <f>37443125</f>
        <v>37443125</v>
      </c>
      <c r="X166" s="69">
        <f>22</f>
        <v>22</v>
      </c>
    </row>
    <row r="167" spans="1:24">
      <c r="A167" s="60" t="s">
        <v>934</v>
      </c>
      <c r="B167" s="60" t="s">
        <v>737</v>
      </c>
      <c r="C167" s="60" t="s">
        <v>738</v>
      </c>
      <c r="D167" s="60" t="s">
        <v>739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f>17510</f>
        <v>17510</v>
      </c>
      <c r="L167" s="67" t="s">
        <v>840</v>
      </c>
      <c r="M167" s="66">
        <f>18980</f>
        <v>18980</v>
      </c>
      <c r="N167" s="67" t="s">
        <v>95</v>
      </c>
      <c r="O167" s="66">
        <f>17510</f>
        <v>17510</v>
      </c>
      <c r="P167" s="67" t="s">
        <v>840</v>
      </c>
      <c r="Q167" s="66">
        <f>18470</f>
        <v>18470</v>
      </c>
      <c r="R167" s="67" t="s">
        <v>50</v>
      </c>
      <c r="S167" s="68">
        <f>18297.27</f>
        <v>18297.27</v>
      </c>
      <c r="T167" s="65">
        <f>7103</f>
        <v>7103</v>
      </c>
      <c r="U167" s="65" t="str">
        <f t="shared" ref="U167:U172" si="8">"－"</f>
        <v>－</v>
      </c>
      <c r="V167" s="65">
        <f>129799610</f>
        <v>129799610</v>
      </c>
      <c r="W167" s="65" t="str">
        <f t="shared" ref="W167:W172" si="9">"－"</f>
        <v>－</v>
      </c>
      <c r="X167" s="69">
        <f>22</f>
        <v>22</v>
      </c>
    </row>
    <row r="168" spans="1:24">
      <c r="A168" s="60" t="s">
        <v>934</v>
      </c>
      <c r="B168" s="60" t="s">
        <v>740</v>
      </c>
      <c r="C168" s="60" t="s">
        <v>741</v>
      </c>
      <c r="D168" s="60" t="s">
        <v>742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10</v>
      </c>
      <c r="K168" s="66">
        <f>2194</f>
        <v>2194</v>
      </c>
      <c r="L168" s="67" t="s">
        <v>840</v>
      </c>
      <c r="M168" s="66">
        <f>3180</f>
        <v>3180</v>
      </c>
      <c r="N168" s="67" t="s">
        <v>150</v>
      </c>
      <c r="O168" s="66">
        <f>2194</f>
        <v>2194</v>
      </c>
      <c r="P168" s="67" t="s">
        <v>840</v>
      </c>
      <c r="Q168" s="66">
        <f>2566</f>
        <v>2566</v>
      </c>
      <c r="R168" s="67" t="s">
        <v>50</v>
      </c>
      <c r="S168" s="68">
        <f>2477</f>
        <v>2477</v>
      </c>
      <c r="T168" s="65">
        <f>91370</f>
        <v>91370</v>
      </c>
      <c r="U168" s="65" t="str">
        <f t="shared" si="8"/>
        <v>－</v>
      </c>
      <c r="V168" s="65">
        <f>240580690</f>
        <v>240580690</v>
      </c>
      <c r="W168" s="65" t="str">
        <f t="shared" si="9"/>
        <v>－</v>
      </c>
      <c r="X168" s="69">
        <f>22</f>
        <v>22</v>
      </c>
    </row>
    <row r="169" spans="1:24">
      <c r="A169" s="60" t="s">
        <v>934</v>
      </c>
      <c r="B169" s="60" t="s">
        <v>743</v>
      </c>
      <c r="C169" s="60" t="s">
        <v>744</v>
      </c>
      <c r="D169" s="60" t="s">
        <v>745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</v>
      </c>
      <c r="K169" s="66">
        <f>9410</f>
        <v>9410</v>
      </c>
      <c r="L169" s="67" t="s">
        <v>840</v>
      </c>
      <c r="M169" s="66">
        <f>10280</f>
        <v>10280</v>
      </c>
      <c r="N169" s="67" t="s">
        <v>100</v>
      </c>
      <c r="O169" s="66">
        <f>9360</f>
        <v>9360</v>
      </c>
      <c r="P169" s="67" t="s">
        <v>840</v>
      </c>
      <c r="Q169" s="66">
        <f>10250</f>
        <v>10250</v>
      </c>
      <c r="R169" s="67" t="s">
        <v>50</v>
      </c>
      <c r="S169" s="68">
        <f>9925.45</f>
        <v>9925.4500000000007</v>
      </c>
      <c r="T169" s="65">
        <f>17206</f>
        <v>17206</v>
      </c>
      <c r="U169" s="65" t="str">
        <f t="shared" si="8"/>
        <v>－</v>
      </c>
      <c r="V169" s="65">
        <f>170780950</f>
        <v>170780950</v>
      </c>
      <c r="W169" s="65" t="str">
        <f t="shared" si="9"/>
        <v>－</v>
      </c>
      <c r="X169" s="69">
        <f>22</f>
        <v>22</v>
      </c>
    </row>
    <row r="170" spans="1:24">
      <c r="A170" s="60" t="s">
        <v>934</v>
      </c>
      <c r="B170" s="60" t="s">
        <v>746</v>
      </c>
      <c r="C170" s="60" t="s">
        <v>747</v>
      </c>
      <c r="D170" s="60" t="s">
        <v>748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</v>
      </c>
      <c r="K170" s="66">
        <f>23560</f>
        <v>23560</v>
      </c>
      <c r="L170" s="67" t="s">
        <v>833</v>
      </c>
      <c r="M170" s="66">
        <f>24780</f>
        <v>24780</v>
      </c>
      <c r="N170" s="67" t="s">
        <v>818</v>
      </c>
      <c r="O170" s="66">
        <f>22280</f>
        <v>22280</v>
      </c>
      <c r="P170" s="67" t="s">
        <v>99</v>
      </c>
      <c r="Q170" s="66">
        <f>22780</f>
        <v>22780</v>
      </c>
      <c r="R170" s="67" t="s">
        <v>50</v>
      </c>
      <c r="S170" s="68">
        <f>23085.24</f>
        <v>23085.24</v>
      </c>
      <c r="T170" s="65">
        <f>623</f>
        <v>623</v>
      </c>
      <c r="U170" s="65" t="str">
        <f t="shared" si="8"/>
        <v>－</v>
      </c>
      <c r="V170" s="65">
        <f>14316060</f>
        <v>14316060</v>
      </c>
      <c r="W170" s="65" t="str">
        <f t="shared" si="9"/>
        <v>－</v>
      </c>
      <c r="X170" s="69">
        <f>21</f>
        <v>21</v>
      </c>
    </row>
    <row r="171" spans="1:24">
      <c r="A171" s="60" t="s">
        <v>934</v>
      </c>
      <c r="B171" s="60" t="s">
        <v>749</v>
      </c>
      <c r="C171" s="60" t="s">
        <v>750</v>
      </c>
      <c r="D171" s="60" t="s">
        <v>751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</v>
      </c>
      <c r="K171" s="66">
        <f>16760</f>
        <v>16760</v>
      </c>
      <c r="L171" s="67" t="s">
        <v>833</v>
      </c>
      <c r="M171" s="66">
        <f>17200</f>
        <v>17200</v>
      </c>
      <c r="N171" s="67" t="s">
        <v>816</v>
      </c>
      <c r="O171" s="66">
        <f>15320</f>
        <v>15320</v>
      </c>
      <c r="P171" s="67" t="s">
        <v>86</v>
      </c>
      <c r="Q171" s="66">
        <f>17200</f>
        <v>17200</v>
      </c>
      <c r="R171" s="67" t="s">
        <v>816</v>
      </c>
      <c r="S171" s="68">
        <f>16088.75</f>
        <v>16088.75</v>
      </c>
      <c r="T171" s="65">
        <f>44</f>
        <v>44</v>
      </c>
      <c r="U171" s="65" t="str">
        <f t="shared" si="8"/>
        <v>－</v>
      </c>
      <c r="V171" s="65">
        <f>703970</f>
        <v>703970</v>
      </c>
      <c r="W171" s="65" t="str">
        <f t="shared" si="9"/>
        <v>－</v>
      </c>
      <c r="X171" s="69">
        <f>8</f>
        <v>8</v>
      </c>
    </row>
    <row r="172" spans="1:24">
      <c r="A172" s="60" t="s">
        <v>934</v>
      </c>
      <c r="B172" s="60" t="s">
        <v>547</v>
      </c>
      <c r="C172" s="60" t="s">
        <v>548</v>
      </c>
      <c r="D172" s="60" t="s">
        <v>549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10</v>
      </c>
      <c r="K172" s="66">
        <f>51300</f>
        <v>51300</v>
      </c>
      <c r="L172" s="67" t="s">
        <v>840</v>
      </c>
      <c r="M172" s="66">
        <f>51500</f>
        <v>51500</v>
      </c>
      <c r="N172" s="67" t="s">
        <v>814</v>
      </c>
      <c r="O172" s="66">
        <f>51100</f>
        <v>51100</v>
      </c>
      <c r="P172" s="67" t="s">
        <v>840</v>
      </c>
      <c r="Q172" s="66">
        <f>51300</f>
        <v>51300</v>
      </c>
      <c r="R172" s="67" t="s">
        <v>50</v>
      </c>
      <c r="S172" s="68">
        <f>51250</f>
        <v>51250</v>
      </c>
      <c r="T172" s="65">
        <f>5380</f>
        <v>5380</v>
      </c>
      <c r="U172" s="65" t="str">
        <f t="shared" si="8"/>
        <v>－</v>
      </c>
      <c r="V172" s="65">
        <f>275793000</f>
        <v>275793000</v>
      </c>
      <c r="W172" s="65" t="str">
        <f t="shared" si="9"/>
        <v>－</v>
      </c>
      <c r="X172" s="69">
        <f>22</f>
        <v>22</v>
      </c>
    </row>
    <row r="173" spans="1:24">
      <c r="A173" s="60" t="s">
        <v>934</v>
      </c>
      <c r="B173" s="60" t="s">
        <v>550</v>
      </c>
      <c r="C173" s="60" t="s">
        <v>551</v>
      </c>
      <c r="D173" s="60" t="s">
        <v>552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100</v>
      </c>
      <c r="K173" s="66">
        <f>162</f>
        <v>162</v>
      </c>
      <c r="L173" s="67" t="s">
        <v>840</v>
      </c>
      <c r="M173" s="66">
        <f>178</f>
        <v>178</v>
      </c>
      <c r="N173" s="67" t="s">
        <v>245</v>
      </c>
      <c r="O173" s="66">
        <f>162</f>
        <v>162</v>
      </c>
      <c r="P173" s="67" t="s">
        <v>840</v>
      </c>
      <c r="Q173" s="66">
        <f>178</f>
        <v>178</v>
      </c>
      <c r="R173" s="67" t="s">
        <v>50</v>
      </c>
      <c r="S173" s="68">
        <f>171.32</f>
        <v>171.32</v>
      </c>
      <c r="T173" s="65">
        <f>8223500</f>
        <v>8223500</v>
      </c>
      <c r="U173" s="65">
        <f>25500</f>
        <v>25500</v>
      </c>
      <c r="V173" s="65">
        <f>1402068100</f>
        <v>1402068100</v>
      </c>
      <c r="W173" s="65">
        <f>4371100</f>
        <v>4371100</v>
      </c>
      <c r="X173" s="69">
        <f>22</f>
        <v>22</v>
      </c>
    </row>
    <row r="174" spans="1:24">
      <c r="A174" s="60" t="s">
        <v>934</v>
      </c>
      <c r="B174" s="60" t="s">
        <v>553</v>
      </c>
      <c r="C174" s="60" t="s">
        <v>554</v>
      </c>
      <c r="D174" s="60" t="s">
        <v>555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</v>
      </c>
      <c r="K174" s="66">
        <f>27690</f>
        <v>27690</v>
      </c>
      <c r="L174" s="67" t="s">
        <v>840</v>
      </c>
      <c r="M174" s="66">
        <f>27920</f>
        <v>27920</v>
      </c>
      <c r="N174" s="67" t="s">
        <v>245</v>
      </c>
      <c r="O174" s="66">
        <f>27290</f>
        <v>27290</v>
      </c>
      <c r="P174" s="67" t="s">
        <v>99</v>
      </c>
      <c r="Q174" s="66">
        <f>27660</f>
        <v>27660</v>
      </c>
      <c r="R174" s="67" t="s">
        <v>50</v>
      </c>
      <c r="S174" s="68">
        <f>27575.45</f>
        <v>27575.45</v>
      </c>
      <c r="T174" s="65">
        <f>5770</f>
        <v>5770</v>
      </c>
      <c r="U174" s="65" t="str">
        <f>"－"</f>
        <v>－</v>
      </c>
      <c r="V174" s="65">
        <f>159002000</f>
        <v>159002000</v>
      </c>
      <c r="W174" s="65" t="str">
        <f>"－"</f>
        <v>－</v>
      </c>
      <c r="X174" s="69">
        <f>22</f>
        <v>22</v>
      </c>
    </row>
    <row r="175" spans="1:24">
      <c r="A175" s="60" t="s">
        <v>934</v>
      </c>
      <c r="B175" s="60" t="s">
        <v>556</v>
      </c>
      <c r="C175" s="60" t="s">
        <v>557</v>
      </c>
      <c r="D175" s="60" t="s">
        <v>558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2815</f>
        <v>2815</v>
      </c>
      <c r="L175" s="67" t="s">
        <v>840</v>
      </c>
      <c r="M175" s="66">
        <f>2929</f>
        <v>2929</v>
      </c>
      <c r="N175" s="67" t="s">
        <v>245</v>
      </c>
      <c r="O175" s="66">
        <f>2791</f>
        <v>2791</v>
      </c>
      <c r="P175" s="67" t="s">
        <v>309</v>
      </c>
      <c r="Q175" s="66">
        <f>2915</f>
        <v>2915</v>
      </c>
      <c r="R175" s="67" t="s">
        <v>50</v>
      </c>
      <c r="S175" s="68">
        <f>2860.14</f>
        <v>2860.14</v>
      </c>
      <c r="T175" s="65">
        <f>115090</f>
        <v>115090</v>
      </c>
      <c r="U175" s="65" t="str">
        <f>"－"</f>
        <v>－</v>
      </c>
      <c r="V175" s="65">
        <f>329817090</f>
        <v>329817090</v>
      </c>
      <c r="W175" s="65" t="str">
        <f>"－"</f>
        <v>－</v>
      </c>
      <c r="X175" s="69">
        <f>22</f>
        <v>22</v>
      </c>
    </row>
    <row r="176" spans="1:24">
      <c r="A176" s="60" t="s">
        <v>934</v>
      </c>
      <c r="B176" s="60" t="s">
        <v>559</v>
      </c>
      <c r="C176" s="60" t="s">
        <v>560</v>
      </c>
      <c r="D176" s="60" t="s">
        <v>561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1590</f>
        <v>1590</v>
      </c>
      <c r="L176" s="67" t="s">
        <v>840</v>
      </c>
      <c r="M176" s="66">
        <f>1686</f>
        <v>1686</v>
      </c>
      <c r="N176" s="67" t="s">
        <v>50</v>
      </c>
      <c r="O176" s="66">
        <f>1590</f>
        <v>1590</v>
      </c>
      <c r="P176" s="67" t="s">
        <v>840</v>
      </c>
      <c r="Q176" s="66">
        <f>1682</f>
        <v>1682</v>
      </c>
      <c r="R176" s="67" t="s">
        <v>50</v>
      </c>
      <c r="S176" s="68">
        <f>1644.18</f>
        <v>1644.18</v>
      </c>
      <c r="T176" s="65">
        <f>170660</f>
        <v>170660</v>
      </c>
      <c r="U176" s="65">
        <f>160</f>
        <v>160</v>
      </c>
      <c r="V176" s="65">
        <f>280637240</f>
        <v>280637240</v>
      </c>
      <c r="W176" s="65">
        <f>263380</f>
        <v>263380</v>
      </c>
      <c r="X176" s="69">
        <f>22</f>
        <v>22</v>
      </c>
    </row>
    <row r="177" spans="1:24">
      <c r="A177" s="60" t="s">
        <v>934</v>
      </c>
      <c r="B177" s="60" t="s">
        <v>562</v>
      </c>
      <c r="C177" s="60" t="s">
        <v>854</v>
      </c>
      <c r="D177" s="60" t="s">
        <v>855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100</v>
      </c>
      <c r="K177" s="66">
        <f>172</f>
        <v>172</v>
      </c>
      <c r="L177" s="67" t="s">
        <v>840</v>
      </c>
      <c r="M177" s="66">
        <f>188</f>
        <v>188</v>
      </c>
      <c r="N177" s="67" t="s">
        <v>100</v>
      </c>
      <c r="O177" s="66">
        <f>172</f>
        <v>172</v>
      </c>
      <c r="P177" s="67" t="s">
        <v>840</v>
      </c>
      <c r="Q177" s="66">
        <f>186</f>
        <v>186</v>
      </c>
      <c r="R177" s="67" t="s">
        <v>50</v>
      </c>
      <c r="S177" s="68">
        <f>181.86</f>
        <v>181.86</v>
      </c>
      <c r="T177" s="65">
        <f>827800</f>
        <v>827800</v>
      </c>
      <c r="U177" s="65" t="str">
        <f t="shared" ref="U177:U187" si="10">"－"</f>
        <v>－</v>
      </c>
      <c r="V177" s="65">
        <f>150942800</f>
        <v>150942800</v>
      </c>
      <c r="W177" s="65" t="str">
        <f t="shared" ref="W177:W187" si="11">"－"</f>
        <v>－</v>
      </c>
      <c r="X177" s="69">
        <f>22</f>
        <v>22</v>
      </c>
    </row>
    <row r="178" spans="1:24">
      <c r="A178" s="60" t="s">
        <v>934</v>
      </c>
      <c r="B178" s="60" t="s">
        <v>752</v>
      </c>
      <c r="C178" s="60" t="s">
        <v>753</v>
      </c>
      <c r="D178" s="60" t="s">
        <v>754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</v>
      </c>
      <c r="K178" s="66">
        <f>808</f>
        <v>808</v>
      </c>
      <c r="L178" s="67" t="s">
        <v>95</v>
      </c>
      <c r="M178" s="66">
        <f>808</f>
        <v>808</v>
      </c>
      <c r="N178" s="67" t="s">
        <v>95</v>
      </c>
      <c r="O178" s="66">
        <f>808</f>
        <v>808</v>
      </c>
      <c r="P178" s="67" t="s">
        <v>95</v>
      </c>
      <c r="Q178" s="66">
        <f>808</f>
        <v>808</v>
      </c>
      <c r="R178" s="67" t="s">
        <v>95</v>
      </c>
      <c r="S178" s="68">
        <f>808</f>
        <v>808</v>
      </c>
      <c r="T178" s="65">
        <f>40</f>
        <v>40</v>
      </c>
      <c r="U178" s="65" t="str">
        <f t="shared" si="10"/>
        <v>－</v>
      </c>
      <c r="V178" s="65">
        <f>32320</f>
        <v>32320</v>
      </c>
      <c r="W178" s="65" t="str">
        <f t="shared" si="11"/>
        <v>－</v>
      </c>
      <c r="X178" s="69">
        <f>1</f>
        <v>1</v>
      </c>
    </row>
    <row r="179" spans="1:24">
      <c r="A179" s="60" t="s">
        <v>934</v>
      </c>
      <c r="B179" s="60" t="s">
        <v>755</v>
      </c>
      <c r="C179" s="60" t="s">
        <v>756</v>
      </c>
      <c r="D179" s="60" t="s">
        <v>757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f>218</f>
        <v>218</v>
      </c>
      <c r="L179" s="67" t="s">
        <v>840</v>
      </c>
      <c r="M179" s="66">
        <f>307</f>
        <v>307</v>
      </c>
      <c r="N179" s="67" t="s">
        <v>79</v>
      </c>
      <c r="O179" s="66">
        <f>209</f>
        <v>209</v>
      </c>
      <c r="P179" s="67" t="s">
        <v>818</v>
      </c>
      <c r="Q179" s="66">
        <f>224</f>
        <v>224</v>
      </c>
      <c r="R179" s="67" t="s">
        <v>50</v>
      </c>
      <c r="S179" s="68">
        <f>223.59</f>
        <v>223.59</v>
      </c>
      <c r="T179" s="65">
        <f>218010</f>
        <v>218010</v>
      </c>
      <c r="U179" s="65" t="str">
        <f t="shared" si="10"/>
        <v>－</v>
      </c>
      <c r="V179" s="65">
        <f>56301960</f>
        <v>56301960</v>
      </c>
      <c r="W179" s="65" t="str">
        <f t="shared" si="11"/>
        <v>－</v>
      </c>
      <c r="X179" s="69">
        <f>22</f>
        <v>22</v>
      </c>
    </row>
    <row r="180" spans="1:24">
      <c r="A180" s="60" t="s">
        <v>934</v>
      </c>
      <c r="B180" s="60" t="s">
        <v>758</v>
      </c>
      <c r="C180" s="60" t="s">
        <v>759</v>
      </c>
      <c r="D180" s="60" t="s">
        <v>760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>
        <f>1400</f>
        <v>1400</v>
      </c>
      <c r="L180" s="67" t="s">
        <v>818</v>
      </c>
      <c r="M180" s="66">
        <f>1567</f>
        <v>1567</v>
      </c>
      <c r="N180" s="67" t="s">
        <v>79</v>
      </c>
      <c r="O180" s="66">
        <f>1335</f>
        <v>1335</v>
      </c>
      <c r="P180" s="67" t="s">
        <v>99</v>
      </c>
      <c r="Q180" s="66">
        <f>1443</f>
        <v>1443</v>
      </c>
      <c r="R180" s="67" t="s">
        <v>50</v>
      </c>
      <c r="S180" s="68">
        <f>1433.44</f>
        <v>1433.44</v>
      </c>
      <c r="T180" s="65">
        <f>570</f>
        <v>570</v>
      </c>
      <c r="U180" s="65" t="str">
        <f t="shared" si="10"/>
        <v>－</v>
      </c>
      <c r="V180" s="65">
        <f>829250</f>
        <v>829250</v>
      </c>
      <c r="W180" s="65" t="str">
        <f t="shared" si="11"/>
        <v>－</v>
      </c>
      <c r="X180" s="69">
        <f>9</f>
        <v>9</v>
      </c>
    </row>
    <row r="181" spans="1:24">
      <c r="A181" s="60" t="s">
        <v>934</v>
      </c>
      <c r="B181" s="60" t="s">
        <v>761</v>
      </c>
      <c r="C181" s="60" t="s">
        <v>762</v>
      </c>
      <c r="D181" s="60" t="s">
        <v>763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450</f>
        <v>450</v>
      </c>
      <c r="L181" s="67" t="s">
        <v>840</v>
      </c>
      <c r="M181" s="66">
        <f>479</f>
        <v>479</v>
      </c>
      <c r="N181" s="67" t="s">
        <v>816</v>
      </c>
      <c r="O181" s="66">
        <f>436</f>
        <v>436</v>
      </c>
      <c r="P181" s="67" t="s">
        <v>119</v>
      </c>
      <c r="Q181" s="66">
        <f>475</f>
        <v>475</v>
      </c>
      <c r="R181" s="67" t="s">
        <v>50</v>
      </c>
      <c r="S181" s="68">
        <f>456.41</f>
        <v>456.41</v>
      </c>
      <c r="T181" s="65">
        <f>36820</f>
        <v>36820</v>
      </c>
      <c r="U181" s="65" t="str">
        <f t="shared" si="10"/>
        <v>－</v>
      </c>
      <c r="V181" s="65">
        <f>16802890</f>
        <v>16802890</v>
      </c>
      <c r="W181" s="65" t="str">
        <f t="shared" si="11"/>
        <v>－</v>
      </c>
      <c r="X181" s="69">
        <f>22</f>
        <v>22</v>
      </c>
    </row>
    <row r="182" spans="1:24">
      <c r="A182" s="60" t="s">
        <v>934</v>
      </c>
      <c r="B182" s="60" t="s">
        <v>764</v>
      </c>
      <c r="C182" s="60" t="s">
        <v>765</v>
      </c>
      <c r="D182" s="60" t="s">
        <v>766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</v>
      </c>
      <c r="K182" s="66">
        <f>335</f>
        <v>335</v>
      </c>
      <c r="L182" s="67" t="s">
        <v>840</v>
      </c>
      <c r="M182" s="66">
        <f>356</f>
        <v>356</v>
      </c>
      <c r="N182" s="67" t="s">
        <v>50</v>
      </c>
      <c r="O182" s="66">
        <f>318</f>
        <v>318</v>
      </c>
      <c r="P182" s="67" t="s">
        <v>833</v>
      </c>
      <c r="Q182" s="66">
        <f>353</f>
        <v>353</v>
      </c>
      <c r="R182" s="67" t="s">
        <v>50</v>
      </c>
      <c r="S182" s="68">
        <f>334.23</f>
        <v>334.23</v>
      </c>
      <c r="T182" s="65">
        <f>369200</f>
        <v>369200</v>
      </c>
      <c r="U182" s="65" t="str">
        <f t="shared" si="10"/>
        <v>－</v>
      </c>
      <c r="V182" s="65">
        <f>124844290</f>
        <v>124844290</v>
      </c>
      <c r="W182" s="65" t="str">
        <f t="shared" si="11"/>
        <v>－</v>
      </c>
      <c r="X182" s="69">
        <f>22</f>
        <v>22</v>
      </c>
    </row>
    <row r="183" spans="1:24">
      <c r="A183" s="60" t="s">
        <v>934</v>
      </c>
      <c r="B183" s="60" t="s">
        <v>767</v>
      </c>
      <c r="C183" s="60" t="s">
        <v>768</v>
      </c>
      <c r="D183" s="60" t="s">
        <v>769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100</v>
      </c>
      <c r="K183" s="66">
        <f>2</f>
        <v>2</v>
      </c>
      <c r="L183" s="67" t="s">
        <v>840</v>
      </c>
      <c r="M183" s="66">
        <f>2</f>
        <v>2</v>
      </c>
      <c r="N183" s="67" t="s">
        <v>840</v>
      </c>
      <c r="O183" s="66">
        <f>1</f>
        <v>1</v>
      </c>
      <c r="P183" s="67" t="s">
        <v>840</v>
      </c>
      <c r="Q183" s="66">
        <f>1</f>
        <v>1</v>
      </c>
      <c r="R183" s="67" t="s">
        <v>50</v>
      </c>
      <c r="S183" s="68">
        <f>1.41</f>
        <v>1.41</v>
      </c>
      <c r="T183" s="65">
        <f>322873600</f>
        <v>322873600</v>
      </c>
      <c r="U183" s="65" t="str">
        <f t="shared" si="10"/>
        <v>－</v>
      </c>
      <c r="V183" s="65">
        <f>499684800</f>
        <v>499684800</v>
      </c>
      <c r="W183" s="65" t="str">
        <f t="shared" si="11"/>
        <v>－</v>
      </c>
      <c r="X183" s="69">
        <f>22</f>
        <v>22</v>
      </c>
    </row>
    <row r="184" spans="1:24">
      <c r="A184" s="60" t="s">
        <v>934</v>
      </c>
      <c r="B184" s="60" t="s">
        <v>770</v>
      </c>
      <c r="C184" s="60" t="s">
        <v>771</v>
      </c>
      <c r="D184" s="60" t="s">
        <v>772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</v>
      </c>
      <c r="K184" s="66">
        <f>422</f>
        <v>422</v>
      </c>
      <c r="L184" s="67" t="s">
        <v>840</v>
      </c>
      <c r="M184" s="66">
        <f>449</f>
        <v>449</v>
      </c>
      <c r="N184" s="67" t="s">
        <v>79</v>
      </c>
      <c r="O184" s="66">
        <f>411</f>
        <v>411</v>
      </c>
      <c r="P184" s="67" t="s">
        <v>833</v>
      </c>
      <c r="Q184" s="66">
        <f>442</f>
        <v>442</v>
      </c>
      <c r="R184" s="67" t="s">
        <v>50</v>
      </c>
      <c r="S184" s="68">
        <f>433.95</f>
        <v>433.95</v>
      </c>
      <c r="T184" s="65">
        <f>731960</f>
        <v>731960</v>
      </c>
      <c r="U184" s="65" t="str">
        <f t="shared" si="10"/>
        <v>－</v>
      </c>
      <c r="V184" s="65">
        <f>318222040</f>
        <v>318222040</v>
      </c>
      <c r="W184" s="65" t="str">
        <f t="shared" si="11"/>
        <v>－</v>
      </c>
      <c r="X184" s="69">
        <f>22</f>
        <v>22</v>
      </c>
    </row>
    <row r="185" spans="1:24">
      <c r="A185" s="60" t="s">
        <v>934</v>
      </c>
      <c r="B185" s="60" t="s">
        <v>773</v>
      </c>
      <c r="C185" s="60" t="s">
        <v>774</v>
      </c>
      <c r="D185" s="60" t="s">
        <v>775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</v>
      </c>
      <c r="K185" s="66">
        <f>1733</f>
        <v>1733</v>
      </c>
      <c r="L185" s="67" t="s">
        <v>840</v>
      </c>
      <c r="M185" s="66">
        <f>1937</f>
        <v>1937</v>
      </c>
      <c r="N185" s="67" t="s">
        <v>95</v>
      </c>
      <c r="O185" s="66">
        <f>1669</f>
        <v>1669</v>
      </c>
      <c r="P185" s="67" t="s">
        <v>833</v>
      </c>
      <c r="Q185" s="66">
        <f>1857</f>
        <v>1857</v>
      </c>
      <c r="R185" s="67" t="s">
        <v>95</v>
      </c>
      <c r="S185" s="68">
        <f>1805.72</f>
        <v>1805.72</v>
      </c>
      <c r="T185" s="65">
        <f>4175</f>
        <v>4175</v>
      </c>
      <c r="U185" s="65" t="str">
        <f t="shared" si="10"/>
        <v>－</v>
      </c>
      <c r="V185" s="65">
        <f>7591161</f>
        <v>7591161</v>
      </c>
      <c r="W185" s="65" t="str">
        <f t="shared" si="11"/>
        <v>－</v>
      </c>
      <c r="X185" s="69">
        <f>18</f>
        <v>18</v>
      </c>
    </row>
    <row r="186" spans="1:24">
      <c r="A186" s="60" t="s">
        <v>934</v>
      </c>
      <c r="B186" s="60" t="s">
        <v>776</v>
      </c>
      <c r="C186" s="60" t="s">
        <v>777</v>
      </c>
      <c r="D186" s="60" t="s">
        <v>778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100</v>
      </c>
      <c r="K186" s="66">
        <f>308</f>
        <v>308</v>
      </c>
      <c r="L186" s="67" t="s">
        <v>833</v>
      </c>
      <c r="M186" s="66">
        <f>375</f>
        <v>375</v>
      </c>
      <c r="N186" s="67" t="s">
        <v>816</v>
      </c>
      <c r="O186" s="66">
        <f>301</f>
        <v>301</v>
      </c>
      <c r="P186" s="67" t="s">
        <v>65</v>
      </c>
      <c r="Q186" s="66">
        <f>306</f>
        <v>306</v>
      </c>
      <c r="R186" s="67" t="s">
        <v>245</v>
      </c>
      <c r="S186" s="68">
        <f>314.64</f>
        <v>314.64</v>
      </c>
      <c r="T186" s="65">
        <f>5500</f>
        <v>5500</v>
      </c>
      <c r="U186" s="65" t="str">
        <f t="shared" si="10"/>
        <v>－</v>
      </c>
      <c r="V186" s="65">
        <f>1791200</f>
        <v>1791200</v>
      </c>
      <c r="W186" s="65" t="str">
        <f t="shared" si="11"/>
        <v>－</v>
      </c>
      <c r="X186" s="69">
        <f>11</f>
        <v>11</v>
      </c>
    </row>
    <row r="187" spans="1:24">
      <c r="A187" s="60" t="s">
        <v>934</v>
      </c>
      <c r="B187" s="60" t="s">
        <v>779</v>
      </c>
      <c r="C187" s="60" t="s">
        <v>780</v>
      </c>
      <c r="D187" s="60" t="s">
        <v>781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10</v>
      </c>
      <c r="K187" s="66">
        <f>3445</f>
        <v>3445</v>
      </c>
      <c r="L187" s="67" t="s">
        <v>840</v>
      </c>
      <c r="M187" s="66">
        <f>3600</f>
        <v>3600</v>
      </c>
      <c r="N187" s="67" t="s">
        <v>150</v>
      </c>
      <c r="O187" s="66">
        <f>3230</f>
        <v>3230</v>
      </c>
      <c r="P187" s="67" t="s">
        <v>840</v>
      </c>
      <c r="Q187" s="66">
        <f>3350</f>
        <v>3350</v>
      </c>
      <c r="R187" s="67" t="s">
        <v>50</v>
      </c>
      <c r="S187" s="68">
        <f>3337.27</f>
        <v>3337.27</v>
      </c>
      <c r="T187" s="65">
        <f>33440</f>
        <v>33440</v>
      </c>
      <c r="U187" s="65" t="str">
        <f t="shared" si="10"/>
        <v>－</v>
      </c>
      <c r="V187" s="65">
        <f>112909500</f>
        <v>112909500</v>
      </c>
      <c r="W187" s="65" t="str">
        <f t="shared" si="11"/>
        <v>－</v>
      </c>
      <c r="X187" s="69">
        <f>22</f>
        <v>22</v>
      </c>
    </row>
    <row r="188" spans="1:24">
      <c r="A188" s="60" t="s">
        <v>934</v>
      </c>
      <c r="B188" s="60" t="s">
        <v>782</v>
      </c>
      <c r="C188" s="60" t="s">
        <v>783</v>
      </c>
      <c r="D188" s="60" t="s">
        <v>784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</v>
      </c>
      <c r="K188" s="66">
        <f>1709</f>
        <v>1709</v>
      </c>
      <c r="L188" s="67" t="s">
        <v>840</v>
      </c>
      <c r="M188" s="66">
        <f>2815</f>
        <v>2815</v>
      </c>
      <c r="N188" s="67" t="s">
        <v>95</v>
      </c>
      <c r="O188" s="66">
        <f>1557</f>
        <v>1557</v>
      </c>
      <c r="P188" s="67" t="s">
        <v>814</v>
      </c>
      <c r="Q188" s="66">
        <f>2584</f>
        <v>2584</v>
      </c>
      <c r="R188" s="67" t="s">
        <v>50</v>
      </c>
      <c r="S188" s="68">
        <f>1858.22</f>
        <v>1858.22</v>
      </c>
      <c r="T188" s="65">
        <f>4780</f>
        <v>4780</v>
      </c>
      <c r="U188" s="65">
        <f>20</f>
        <v>20</v>
      </c>
      <c r="V188" s="65">
        <f>9493930</f>
        <v>9493930</v>
      </c>
      <c r="W188" s="65">
        <f>31420</f>
        <v>31420</v>
      </c>
      <c r="X188" s="69">
        <f>18</f>
        <v>18</v>
      </c>
    </row>
    <row r="189" spans="1:24">
      <c r="A189" s="60" t="s">
        <v>934</v>
      </c>
      <c r="B189" s="60" t="s">
        <v>785</v>
      </c>
      <c r="C189" s="60" t="s">
        <v>786</v>
      </c>
      <c r="D189" s="60" t="s">
        <v>787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100</v>
      </c>
      <c r="K189" s="66">
        <f>69</f>
        <v>69</v>
      </c>
      <c r="L189" s="67" t="s">
        <v>840</v>
      </c>
      <c r="M189" s="66">
        <f>74</f>
        <v>74</v>
      </c>
      <c r="N189" s="67" t="s">
        <v>175</v>
      </c>
      <c r="O189" s="66">
        <f>66</f>
        <v>66</v>
      </c>
      <c r="P189" s="67" t="s">
        <v>119</v>
      </c>
      <c r="Q189" s="66">
        <f>71</f>
        <v>71</v>
      </c>
      <c r="R189" s="67" t="s">
        <v>50</v>
      </c>
      <c r="S189" s="68">
        <f>69.95</f>
        <v>69.95</v>
      </c>
      <c r="T189" s="65">
        <f>4811900</f>
        <v>4811900</v>
      </c>
      <c r="U189" s="65" t="str">
        <f>"－"</f>
        <v>－</v>
      </c>
      <c r="V189" s="65">
        <f>341674500</f>
        <v>341674500</v>
      </c>
      <c r="W189" s="65" t="str">
        <f>"－"</f>
        <v>－</v>
      </c>
      <c r="X189" s="69">
        <f>22</f>
        <v>22</v>
      </c>
    </row>
    <row r="190" spans="1:24">
      <c r="A190" s="60" t="s">
        <v>934</v>
      </c>
      <c r="B190" s="60" t="s">
        <v>788</v>
      </c>
      <c r="C190" s="60" t="s">
        <v>789</v>
      </c>
      <c r="D190" s="60" t="s">
        <v>790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100</v>
      </c>
      <c r="K190" s="66">
        <f>77</f>
        <v>77</v>
      </c>
      <c r="L190" s="67" t="s">
        <v>840</v>
      </c>
      <c r="M190" s="66">
        <f>84</f>
        <v>84</v>
      </c>
      <c r="N190" s="67" t="s">
        <v>50</v>
      </c>
      <c r="O190" s="66">
        <f>74</f>
        <v>74</v>
      </c>
      <c r="P190" s="67" t="s">
        <v>100</v>
      </c>
      <c r="Q190" s="66">
        <f>83</f>
        <v>83</v>
      </c>
      <c r="R190" s="67" t="s">
        <v>50</v>
      </c>
      <c r="S190" s="68">
        <f>77.45</f>
        <v>77.45</v>
      </c>
      <c r="T190" s="65">
        <f>1367300</f>
        <v>1367300</v>
      </c>
      <c r="U190" s="65">
        <f>4200</f>
        <v>4200</v>
      </c>
      <c r="V190" s="65">
        <f>107821100</f>
        <v>107821100</v>
      </c>
      <c r="W190" s="65">
        <f>327600</f>
        <v>327600</v>
      </c>
      <c r="X190" s="69">
        <f>22</f>
        <v>22</v>
      </c>
    </row>
    <row r="191" spans="1:24">
      <c r="A191" s="60" t="s">
        <v>934</v>
      </c>
      <c r="B191" s="60" t="s">
        <v>791</v>
      </c>
      <c r="C191" s="60" t="s">
        <v>792</v>
      </c>
      <c r="D191" s="60" t="s">
        <v>793</v>
      </c>
      <c r="E191" s="61" t="s">
        <v>46</v>
      </c>
      <c r="F191" s="62" t="s">
        <v>46</v>
      </c>
      <c r="G191" s="63" t="s">
        <v>46</v>
      </c>
      <c r="H191" s="64"/>
      <c r="I191" s="64" t="s">
        <v>47</v>
      </c>
      <c r="J191" s="65">
        <v>10</v>
      </c>
      <c r="K191" s="66">
        <f>2110</f>
        <v>2110</v>
      </c>
      <c r="L191" s="67" t="s">
        <v>840</v>
      </c>
      <c r="M191" s="66">
        <f>2344</f>
        <v>2344</v>
      </c>
      <c r="N191" s="67" t="s">
        <v>50</v>
      </c>
      <c r="O191" s="66">
        <f>2069</f>
        <v>2069</v>
      </c>
      <c r="P191" s="67" t="s">
        <v>119</v>
      </c>
      <c r="Q191" s="66">
        <f>2310</f>
        <v>2310</v>
      </c>
      <c r="R191" s="67" t="s">
        <v>50</v>
      </c>
      <c r="S191" s="68">
        <f>2171.36</f>
        <v>2171.36</v>
      </c>
      <c r="T191" s="65">
        <f>26050</f>
        <v>26050</v>
      </c>
      <c r="U191" s="65" t="str">
        <f>"－"</f>
        <v>－</v>
      </c>
      <c r="V191" s="65">
        <f>57120660</f>
        <v>57120660</v>
      </c>
      <c r="W191" s="65" t="str">
        <f>"－"</f>
        <v>－</v>
      </c>
      <c r="X191" s="69">
        <f>22</f>
        <v>22</v>
      </c>
    </row>
    <row r="192" spans="1:24">
      <c r="A192" s="60" t="s">
        <v>934</v>
      </c>
      <c r="B192" s="60" t="s">
        <v>568</v>
      </c>
      <c r="C192" s="60" t="s">
        <v>569</v>
      </c>
      <c r="D192" s="60" t="s">
        <v>570</v>
      </c>
      <c r="E192" s="61" t="s">
        <v>46</v>
      </c>
      <c r="F192" s="62" t="s">
        <v>46</v>
      </c>
      <c r="G192" s="63" t="s">
        <v>46</v>
      </c>
      <c r="H192" s="64"/>
      <c r="I192" s="64" t="s">
        <v>47</v>
      </c>
      <c r="J192" s="65">
        <v>10</v>
      </c>
      <c r="K192" s="66">
        <f>1523</f>
        <v>1523</v>
      </c>
      <c r="L192" s="67" t="s">
        <v>840</v>
      </c>
      <c r="M192" s="66">
        <f>1588</f>
        <v>1588</v>
      </c>
      <c r="N192" s="67" t="s">
        <v>90</v>
      </c>
      <c r="O192" s="66">
        <f>1523</f>
        <v>1523</v>
      </c>
      <c r="P192" s="67" t="s">
        <v>840</v>
      </c>
      <c r="Q192" s="66">
        <f>1566</f>
        <v>1566</v>
      </c>
      <c r="R192" s="67" t="s">
        <v>50</v>
      </c>
      <c r="S192" s="68">
        <f>1564.14</f>
        <v>1564.14</v>
      </c>
      <c r="T192" s="65">
        <f>30790</f>
        <v>30790</v>
      </c>
      <c r="U192" s="65" t="str">
        <f>"－"</f>
        <v>－</v>
      </c>
      <c r="V192" s="65">
        <f>48135290</f>
        <v>48135290</v>
      </c>
      <c r="W192" s="65" t="str">
        <f>"－"</f>
        <v>－</v>
      </c>
      <c r="X192" s="69">
        <f>22</f>
        <v>22</v>
      </c>
    </row>
    <row r="193" spans="1:24">
      <c r="A193" s="60" t="s">
        <v>934</v>
      </c>
      <c r="B193" s="60" t="s">
        <v>571</v>
      </c>
      <c r="C193" s="60" t="s">
        <v>572</v>
      </c>
      <c r="D193" s="60" t="s">
        <v>573</v>
      </c>
      <c r="E193" s="61" t="s">
        <v>46</v>
      </c>
      <c r="F193" s="62" t="s">
        <v>46</v>
      </c>
      <c r="G193" s="63" t="s">
        <v>46</v>
      </c>
      <c r="H193" s="64"/>
      <c r="I193" s="64" t="s">
        <v>47</v>
      </c>
      <c r="J193" s="65">
        <v>10</v>
      </c>
      <c r="K193" s="66">
        <f>111</f>
        <v>111</v>
      </c>
      <c r="L193" s="67" t="s">
        <v>840</v>
      </c>
      <c r="M193" s="66">
        <f>119</f>
        <v>119</v>
      </c>
      <c r="N193" s="67" t="s">
        <v>79</v>
      </c>
      <c r="O193" s="66">
        <f>109</f>
        <v>109</v>
      </c>
      <c r="P193" s="67" t="s">
        <v>833</v>
      </c>
      <c r="Q193" s="66">
        <f>117</f>
        <v>117</v>
      </c>
      <c r="R193" s="67" t="s">
        <v>50</v>
      </c>
      <c r="S193" s="68">
        <f>114.73</f>
        <v>114.73</v>
      </c>
      <c r="T193" s="65">
        <f>212588540</f>
        <v>212588540</v>
      </c>
      <c r="U193" s="65">
        <f>4361370</f>
        <v>4361370</v>
      </c>
      <c r="V193" s="65">
        <f>24330642788</f>
        <v>24330642788</v>
      </c>
      <c r="W193" s="65">
        <f>505951408</f>
        <v>505951408</v>
      </c>
      <c r="X193" s="69">
        <f>22</f>
        <v>22</v>
      </c>
    </row>
    <row r="194" spans="1:24">
      <c r="A194" s="60" t="s">
        <v>934</v>
      </c>
      <c r="B194" s="60" t="s">
        <v>574</v>
      </c>
      <c r="C194" s="60" t="s">
        <v>575</v>
      </c>
      <c r="D194" s="60" t="s">
        <v>576</v>
      </c>
      <c r="E194" s="61" t="s">
        <v>46</v>
      </c>
      <c r="F194" s="62" t="s">
        <v>46</v>
      </c>
      <c r="G194" s="63" t="s">
        <v>46</v>
      </c>
      <c r="H194" s="64"/>
      <c r="I194" s="64" t="s">
        <v>577</v>
      </c>
      <c r="J194" s="65">
        <v>1</v>
      </c>
      <c r="K194" s="66">
        <f>9800</f>
        <v>9800</v>
      </c>
      <c r="L194" s="67" t="s">
        <v>840</v>
      </c>
      <c r="M194" s="66">
        <f>10220</f>
        <v>10220</v>
      </c>
      <c r="N194" s="67" t="s">
        <v>50</v>
      </c>
      <c r="O194" s="66">
        <f>9400</f>
        <v>9400</v>
      </c>
      <c r="P194" s="67" t="s">
        <v>65</v>
      </c>
      <c r="Q194" s="66">
        <f>10030</f>
        <v>10030</v>
      </c>
      <c r="R194" s="67" t="s">
        <v>50</v>
      </c>
      <c r="S194" s="68">
        <f>9745.45</f>
        <v>9745.4500000000007</v>
      </c>
      <c r="T194" s="65">
        <f>4181</f>
        <v>4181</v>
      </c>
      <c r="U194" s="65">
        <f>3</f>
        <v>3</v>
      </c>
      <c r="V194" s="65">
        <f>40879070</f>
        <v>40879070</v>
      </c>
      <c r="W194" s="65">
        <f>29290</f>
        <v>29290</v>
      </c>
      <c r="X194" s="69">
        <f>22</f>
        <v>22</v>
      </c>
    </row>
    <row r="195" spans="1:24">
      <c r="A195" s="60" t="s">
        <v>934</v>
      </c>
      <c r="B195" s="60" t="s">
        <v>578</v>
      </c>
      <c r="C195" s="60" t="s">
        <v>579</v>
      </c>
      <c r="D195" s="60" t="s">
        <v>580</v>
      </c>
      <c r="E195" s="61" t="s">
        <v>46</v>
      </c>
      <c r="F195" s="62" t="s">
        <v>46</v>
      </c>
      <c r="G195" s="63" t="s">
        <v>46</v>
      </c>
      <c r="H195" s="64"/>
      <c r="I195" s="64" t="s">
        <v>577</v>
      </c>
      <c r="J195" s="65">
        <v>1</v>
      </c>
      <c r="K195" s="66">
        <f>5570</f>
        <v>5570</v>
      </c>
      <c r="L195" s="67" t="s">
        <v>840</v>
      </c>
      <c r="M195" s="66">
        <f>5860</f>
        <v>5860</v>
      </c>
      <c r="N195" s="67" t="s">
        <v>90</v>
      </c>
      <c r="O195" s="66">
        <f>5390</f>
        <v>5390</v>
      </c>
      <c r="P195" s="67" t="s">
        <v>50</v>
      </c>
      <c r="Q195" s="66">
        <f>5390</f>
        <v>5390</v>
      </c>
      <c r="R195" s="67" t="s">
        <v>50</v>
      </c>
      <c r="S195" s="68">
        <f>5548.57</f>
        <v>5548.57</v>
      </c>
      <c r="T195" s="65">
        <f>2433</f>
        <v>2433</v>
      </c>
      <c r="U195" s="65" t="str">
        <f>"－"</f>
        <v>－</v>
      </c>
      <c r="V195" s="65">
        <f>13524230</f>
        <v>13524230</v>
      </c>
      <c r="W195" s="65" t="str">
        <f>"－"</f>
        <v>－</v>
      </c>
      <c r="X195" s="69">
        <f>21</f>
        <v>21</v>
      </c>
    </row>
    <row r="196" spans="1:24">
      <c r="A196" s="60" t="s">
        <v>934</v>
      </c>
      <c r="B196" s="60" t="s">
        <v>581</v>
      </c>
      <c r="C196" s="60" t="s">
        <v>582</v>
      </c>
      <c r="D196" s="60" t="s">
        <v>583</v>
      </c>
      <c r="E196" s="61" t="s">
        <v>46</v>
      </c>
      <c r="F196" s="62" t="s">
        <v>46</v>
      </c>
      <c r="G196" s="63" t="s">
        <v>46</v>
      </c>
      <c r="H196" s="64"/>
      <c r="I196" s="64" t="s">
        <v>577</v>
      </c>
      <c r="J196" s="65">
        <v>1</v>
      </c>
      <c r="K196" s="66">
        <f>13370</f>
        <v>13370</v>
      </c>
      <c r="L196" s="67" t="s">
        <v>840</v>
      </c>
      <c r="M196" s="66">
        <f>15980</f>
        <v>15980</v>
      </c>
      <c r="N196" s="67" t="s">
        <v>50</v>
      </c>
      <c r="O196" s="66">
        <f>13370</f>
        <v>13370</v>
      </c>
      <c r="P196" s="67" t="s">
        <v>840</v>
      </c>
      <c r="Q196" s="66">
        <f>15980</f>
        <v>15980</v>
      </c>
      <c r="R196" s="67" t="s">
        <v>50</v>
      </c>
      <c r="S196" s="68">
        <f>14791.82</f>
        <v>14791.82</v>
      </c>
      <c r="T196" s="65">
        <f>4076</f>
        <v>4076</v>
      </c>
      <c r="U196" s="65" t="str">
        <f>"－"</f>
        <v>－</v>
      </c>
      <c r="V196" s="65">
        <f>60579550</f>
        <v>60579550</v>
      </c>
      <c r="W196" s="65" t="str">
        <f>"－"</f>
        <v>－</v>
      </c>
      <c r="X196" s="69">
        <f>22</f>
        <v>22</v>
      </c>
    </row>
    <row r="197" spans="1:24">
      <c r="A197" s="60" t="s">
        <v>934</v>
      </c>
      <c r="B197" s="60" t="s">
        <v>584</v>
      </c>
      <c r="C197" s="60" t="s">
        <v>585</v>
      </c>
      <c r="D197" s="60" t="s">
        <v>586</v>
      </c>
      <c r="E197" s="61" t="s">
        <v>46</v>
      </c>
      <c r="F197" s="62" t="s">
        <v>46</v>
      </c>
      <c r="G197" s="63" t="s">
        <v>46</v>
      </c>
      <c r="H197" s="64"/>
      <c r="I197" s="64" t="s">
        <v>577</v>
      </c>
      <c r="J197" s="65">
        <v>1</v>
      </c>
      <c r="K197" s="66">
        <f>7210</f>
        <v>7210</v>
      </c>
      <c r="L197" s="67" t="s">
        <v>840</v>
      </c>
      <c r="M197" s="66">
        <f>7260</f>
        <v>7260</v>
      </c>
      <c r="N197" s="67" t="s">
        <v>65</v>
      </c>
      <c r="O197" s="66">
        <f>6420</f>
        <v>6420</v>
      </c>
      <c r="P197" s="67" t="s">
        <v>50</v>
      </c>
      <c r="Q197" s="66">
        <f>6420</f>
        <v>6420</v>
      </c>
      <c r="R197" s="67" t="s">
        <v>50</v>
      </c>
      <c r="S197" s="68">
        <f>6832.27</f>
        <v>6832.27</v>
      </c>
      <c r="T197" s="65">
        <f>14328</f>
        <v>14328</v>
      </c>
      <c r="U197" s="65">
        <f>1</f>
        <v>1</v>
      </c>
      <c r="V197" s="65">
        <f>98645460</f>
        <v>98645460</v>
      </c>
      <c r="W197" s="65">
        <f>7050</f>
        <v>7050</v>
      </c>
      <c r="X197" s="69">
        <f>22</f>
        <v>22</v>
      </c>
    </row>
    <row r="198" spans="1:24">
      <c r="A198" s="60" t="s">
        <v>934</v>
      </c>
      <c r="B198" s="60" t="s">
        <v>587</v>
      </c>
      <c r="C198" s="60" t="s">
        <v>588</v>
      </c>
      <c r="D198" s="60" t="s">
        <v>589</v>
      </c>
      <c r="E198" s="61" t="s">
        <v>46</v>
      </c>
      <c r="F198" s="62" t="s">
        <v>46</v>
      </c>
      <c r="G198" s="63" t="s">
        <v>46</v>
      </c>
      <c r="H198" s="64"/>
      <c r="I198" s="64" t="s">
        <v>577</v>
      </c>
      <c r="J198" s="65">
        <v>1</v>
      </c>
      <c r="K198" s="66">
        <f>373</f>
        <v>373</v>
      </c>
      <c r="L198" s="67" t="s">
        <v>840</v>
      </c>
      <c r="M198" s="66">
        <f>383</f>
        <v>383</v>
      </c>
      <c r="N198" s="67" t="s">
        <v>818</v>
      </c>
      <c r="O198" s="66">
        <f>330</f>
        <v>330</v>
      </c>
      <c r="P198" s="67" t="s">
        <v>822</v>
      </c>
      <c r="Q198" s="66">
        <f>346</f>
        <v>346</v>
      </c>
      <c r="R198" s="67" t="s">
        <v>50</v>
      </c>
      <c r="S198" s="68">
        <f>353.86</f>
        <v>353.86</v>
      </c>
      <c r="T198" s="65">
        <f>17336466</f>
        <v>17336466</v>
      </c>
      <c r="U198" s="65">
        <f>3606</f>
        <v>3606</v>
      </c>
      <c r="V198" s="65">
        <f>6107256060</f>
        <v>6107256060</v>
      </c>
      <c r="W198" s="65">
        <f>1289762</f>
        <v>1289762</v>
      </c>
      <c r="X198" s="69">
        <f>22</f>
        <v>22</v>
      </c>
    </row>
    <row r="199" spans="1:24">
      <c r="A199" s="60" t="s">
        <v>934</v>
      </c>
      <c r="B199" s="60" t="s">
        <v>590</v>
      </c>
      <c r="C199" s="60" t="s">
        <v>856</v>
      </c>
      <c r="D199" s="60" t="s">
        <v>857</v>
      </c>
      <c r="E199" s="61" t="s">
        <v>46</v>
      </c>
      <c r="F199" s="62" t="s">
        <v>46</v>
      </c>
      <c r="G199" s="63" t="s">
        <v>46</v>
      </c>
      <c r="H199" s="64"/>
      <c r="I199" s="64" t="s">
        <v>577</v>
      </c>
      <c r="J199" s="65">
        <v>1</v>
      </c>
      <c r="K199" s="66">
        <f>15860</f>
        <v>15860</v>
      </c>
      <c r="L199" s="67" t="s">
        <v>840</v>
      </c>
      <c r="M199" s="66">
        <f>17860</f>
        <v>17860</v>
      </c>
      <c r="N199" s="67" t="s">
        <v>150</v>
      </c>
      <c r="O199" s="66">
        <f>15860</f>
        <v>15860</v>
      </c>
      <c r="P199" s="67" t="s">
        <v>840</v>
      </c>
      <c r="Q199" s="66">
        <f>17670</f>
        <v>17670</v>
      </c>
      <c r="R199" s="67" t="s">
        <v>50</v>
      </c>
      <c r="S199" s="68">
        <f>17225.91</f>
        <v>17225.91</v>
      </c>
      <c r="T199" s="65">
        <f>42174</f>
        <v>42174</v>
      </c>
      <c r="U199" s="65" t="str">
        <f>"－"</f>
        <v>－</v>
      </c>
      <c r="V199" s="65">
        <f>727934520</f>
        <v>727934520</v>
      </c>
      <c r="W199" s="65" t="str">
        <f>"－"</f>
        <v>－</v>
      </c>
      <c r="X199" s="69">
        <f>22</f>
        <v>22</v>
      </c>
    </row>
    <row r="200" spans="1:24">
      <c r="A200" s="60" t="s">
        <v>934</v>
      </c>
      <c r="B200" s="60" t="s">
        <v>593</v>
      </c>
      <c r="C200" s="60" t="s">
        <v>858</v>
      </c>
      <c r="D200" s="60" t="s">
        <v>859</v>
      </c>
      <c r="E200" s="61" t="s">
        <v>46</v>
      </c>
      <c r="F200" s="62" t="s">
        <v>46</v>
      </c>
      <c r="G200" s="63" t="s">
        <v>46</v>
      </c>
      <c r="H200" s="64"/>
      <c r="I200" s="64" t="s">
        <v>577</v>
      </c>
      <c r="J200" s="65">
        <v>1</v>
      </c>
      <c r="K200" s="66">
        <f>6050</f>
        <v>6050</v>
      </c>
      <c r="L200" s="67" t="s">
        <v>840</v>
      </c>
      <c r="M200" s="66">
        <f>6050</f>
        <v>6050</v>
      </c>
      <c r="N200" s="67" t="s">
        <v>840</v>
      </c>
      <c r="O200" s="66">
        <f>5580</f>
        <v>5580</v>
      </c>
      <c r="P200" s="67" t="s">
        <v>150</v>
      </c>
      <c r="Q200" s="66">
        <f>5650</f>
        <v>5650</v>
      </c>
      <c r="R200" s="67" t="s">
        <v>50</v>
      </c>
      <c r="S200" s="68">
        <f>5721.82</f>
        <v>5721.82</v>
      </c>
      <c r="T200" s="65">
        <f>11222</f>
        <v>11222</v>
      </c>
      <c r="U200" s="65" t="str">
        <f>"－"</f>
        <v>－</v>
      </c>
      <c r="V200" s="65">
        <f>64780840</f>
        <v>64780840</v>
      </c>
      <c r="W200" s="65" t="str">
        <f>"－"</f>
        <v>－</v>
      </c>
      <c r="X200" s="69">
        <f>22</f>
        <v>22</v>
      </c>
    </row>
    <row r="201" spans="1:24">
      <c r="A201" s="60" t="s">
        <v>934</v>
      </c>
      <c r="B201" s="60" t="s">
        <v>596</v>
      </c>
      <c r="C201" s="60" t="s">
        <v>860</v>
      </c>
      <c r="D201" s="60" t="s">
        <v>861</v>
      </c>
      <c r="E201" s="61" t="s">
        <v>46</v>
      </c>
      <c r="F201" s="62" t="s">
        <v>46</v>
      </c>
      <c r="G201" s="63" t="s">
        <v>46</v>
      </c>
      <c r="H201" s="64"/>
      <c r="I201" s="64" t="s">
        <v>577</v>
      </c>
      <c r="J201" s="65">
        <v>1</v>
      </c>
      <c r="K201" s="66">
        <f>257</f>
        <v>257</v>
      </c>
      <c r="L201" s="67" t="s">
        <v>840</v>
      </c>
      <c r="M201" s="66">
        <f>295</f>
        <v>295</v>
      </c>
      <c r="N201" s="67" t="s">
        <v>175</v>
      </c>
      <c r="O201" s="66">
        <f>246</f>
        <v>246</v>
      </c>
      <c r="P201" s="67" t="s">
        <v>833</v>
      </c>
      <c r="Q201" s="66">
        <f>287</f>
        <v>287</v>
      </c>
      <c r="R201" s="67" t="s">
        <v>50</v>
      </c>
      <c r="S201" s="68">
        <f>274.64</f>
        <v>274.64</v>
      </c>
      <c r="T201" s="65">
        <f>213119073</f>
        <v>213119073</v>
      </c>
      <c r="U201" s="65">
        <f>1535913</f>
        <v>1535913</v>
      </c>
      <c r="V201" s="65">
        <f>58955418142</f>
        <v>58955418142</v>
      </c>
      <c r="W201" s="65">
        <f>429155766</f>
        <v>429155766</v>
      </c>
      <c r="X201" s="69">
        <f>22</f>
        <v>22</v>
      </c>
    </row>
    <row r="202" spans="1:24">
      <c r="A202" s="60" t="s">
        <v>934</v>
      </c>
      <c r="B202" s="60" t="s">
        <v>599</v>
      </c>
      <c r="C202" s="60" t="s">
        <v>862</v>
      </c>
      <c r="D202" s="60" t="s">
        <v>863</v>
      </c>
      <c r="E202" s="61" t="s">
        <v>46</v>
      </c>
      <c r="F202" s="62" t="s">
        <v>46</v>
      </c>
      <c r="G202" s="63" t="s">
        <v>46</v>
      </c>
      <c r="H202" s="64"/>
      <c r="I202" s="64" t="s">
        <v>577</v>
      </c>
      <c r="J202" s="65">
        <v>1</v>
      </c>
      <c r="K202" s="66">
        <f>5610</f>
        <v>5610</v>
      </c>
      <c r="L202" s="67" t="s">
        <v>840</v>
      </c>
      <c r="M202" s="66">
        <f>5750</f>
        <v>5750</v>
      </c>
      <c r="N202" s="67" t="s">
        <v>833</v>
      </c>
      <c r="O202" s="66">
        <f>5210</f>
        <v>5210</v>
      </c>
      <c r="P202" s="67" t="s">
        <v>175</v>
      </c>
      <c r="Q202" s="66">
        <f>5240</f>
        <v>5240</v>
      </c>
      <c r="R202" s="67" t="s">
        <v>50</v>
      </c>
      <c r="S202" s="68">
        <f>5430</f>
        <v>5430</v>
      </c>
      <c r="T202" s="65">
        <f>179165</f>
        <v>179165</v>
      </c>
      <c r="U202" s="65" t="str">
        <f>"－"</f>
        <v>－</v>
      </c>
      <c r="V202" s="65">
        <f>973898150</f>
        <v>973898150</v>
      </c>
      <c r="W202" s="65" t="str">
        <f>"－"</f>
        <v>－</v>
      </c>
      <c r="X202" s="69">
        <f>22</f>
        <v>22</v>
      </c>
    </row>
    <row r="203" spans="1:24">
      <c r="A203" s="60" t="s">
        <v>934</v>
      </c>
      <c r="B203" s="60" t="s">
        <v>602</v>
      </c>
      <c r="C203" s="60" t="s">
        <v>603</v>
      </c>
      <c r="D203" s="60" t="s">
        <v>604</v>
      </c>
      <c r="E203" s="61" t="s">
        <v>46</v>
      </c>
      <c r="F203" s="62" t="s">
        <v>46</v>
      </c>
      <c r="G203" s="63" t="s">
        <v>46</v>
      </c>
      <c r="H203" s="64"/>
      <c r="I203" s="64" t="s">
        <v>577</v>
      </c>
      <c r="J203" s="65">
        <v>1</v>
      </c>
      <c r="K203" s="66">
        <f>23230</f>
        <v>23230</v>
      </c>
      <c r="L203" s="67" t="s">
        <v>840</v>
      </c>
      <c r="M203" s="66">
        <f>24490</f>
        <v>24490</v>
      </c>
      <c r="N203" s="67" t="s">
        <v>245</v>
      </c>
      <c r="O203" s="66">
        <f>23060</f>
        <v>23060</v>
      </c>
      <c r="P203" s="67" t="s">
        <v>833</v>
      </c>
      <c r="Q203" s="66">
        <f>24210</f>
        <v>24210</v>
      </c>
      <c r="R203" s="67" t="s">
        <v>50</v>
      </c>
      <c r="S203" s="68">
        <f>23707.73</f>
        <v>23707.73</v>
      </c>
      <c r="T203" s="65">
        <f>210591</f>
        <v>210591</v>
      </c>
      <c r="U203" s="65">
        <f>4605</f>
        <v>4605</v>
      </c>
      <c r="V203" s="65">
        <f>4999984870</f>
        <v>4999984870</v>
      </c>
      <c r="W203" s="65">
        <f>109003150</f>
        <v>109003150</v>
      </c>
      <c r="X203" s="69">
        <f>22</f>
        <v>22</v>
      </c>
    </row>
    <row r="204" spans="1:24">
      <c r="A204" s="60" t="s">
        <v>934</v>
      </c>
      <c r="B204" s="60" t="s">
        <v>605</v>
      </c>
      <c r="C204" s="60" t="s">
        <v>606</v>
      </c>
      <c r="D204" s="60" t="s">
        <v>607</v>
      </c>
      <c r="E204" s="61" t="s">
        <v>46</v>
      </c>
      <c r="F204" s="62" t="s">
        <v>46</v>
      </c>
      <c r="G204" s="63" t="s">
        <v>46</v>
      </c>
      <c r="H204" s="64"/>
      <c r="I204" s="64" t="s">
        <v>577</v>
      </c>
      <c r="J204" s="65">
        <v>1</v>
      </c>
      <c r="K204" s="66">
        <f>3545</f>
        <v>3545</v>
      </c>
      <c r="L204" s="67" t="s">
        <v>840</v>
      </c>
      <c r="M204" s="66">
        <f>3560</f>
        <v>3560</v>
      </c>
      <c r="N204" s="67" t="s">
        <v>833</v>
      </c>
      <c r="O204" s="66">
        <f>3430</f>
        <v>3430</v>
      </c>
      <c r="P204" s="67" t="s">
        <v>245</v>
      </c>
      <c r="Q204" s="66">
        <f>3455</f>
        <v>3455</v>
      </c>
      <c r="R204" s="67" t="s">
        <v>50</v>
      </c>
      <c r="S204" s="68">
        <f>3507.95</f>
        <v>3507.95</v>
      </c>
      <c r="T204" s="65">
        <f>420696</f>
        <v>420696</v>
      </c>
      <c r="U204" s="65">
        <f>8</f>
        <v>8</v>
      </c>
      <c r="V204" s="65">
        <f>1473725315</f>
        <v>1473725315</v>
      </c>
      <c r="W204" s="65">
        <f>28170</f>
        <v>28170</v>
      </c>
      <c r="X204" s="69">
        <f>22</f>
        <v>22</v>
      </c>
    </row>
    <row r="205" spans="1:24">
      <c r="A205" s="60" t="s">
        <v>934</v>
      </c>
      <c r="B205" s="60" t="s">
        <v>608</v>
      </c>
      <c r="C205" s="60" t="s">
        <v>609</v>
      </c>
      <c r="D205" s="60" t="s">
        <v>610</v>
      </c>
      <c r="E205" s="61" t="s">
        <v>46</v>
      </c>
      <c r="F205" s="62" t="s">
        <v>46</v>
      </c>
      <c r="G205" s="63" t="s">
        <v>46</v>
      </c>
      <c r="H205" s="64"/>
      <c r="I205" s="64" t="s">
        <v>577</v>
      </c>
      <c r="J205" s="65">
        <v>1</v>
      </c>
      <c r="K205" s="66">
        <f>13420</f>
        <v>13420</v>
      </c>
      <c r="L205" s="67" t="s">
        <v>840</v>
      </c>
      <c r="M205" s="66">
        <f>13810</f>
        <v>13810</v>
      </c>
      <c r="N205" s="67" t="s">
        <v>833</v>
      </c>
      <c r="O205" s="66">
        <f>12150</f>
        <v>12150</v>
      </c>
      <c r="P205" s="67" t="s">
        <v>309</v>
      </c>
      <c r="Q205" s="66">
        <f>12980</f>
        <v>12980</v>
      </c>
      <c r="R205" s="67" t="s">
        <v>50</v>
      </c>
      <c r="S205" s="68">
        <f>12775</f>
        <v>12775</v>
      </c>
      <c r="T205" s="65">
        <f>140192</f>
        <v>140192</v>
      </c>
      <c r="U205" s="65">
        <f>7100</f>
        <v>7100</v>
      </c>
      <c r="V205" s="65">
        <f>1798690290</f>
        <v>1798690290</v>
      </c>
      <c r="W205" s="65">
        <f>89738000</f>
        <v>89738000</v>
      </c>
      <c r="X205" s="69">
        <f>22</f>
        <v>22</v>
      </c>
    </row>
    <row r="206" spans="1:24">
      <c r="A206" s="60" t="s">
        <v>934</v>
      </c>
      <c r="B206" s="60" t="s">
        <v>611</v>
      </c>
      <c r="C206" s="60" t="s">
        <v>612</v>
      </c>
      <c r="D206" s="60" t="s">
        <v>613</v>
      </c>
      <c r="E206" s="61" t="s">
        <v>46</v>
      </c>
      <c r="F206" s="62" t="s">
        <v>46</v>
      </c>
      <c r="G206" s="63" t="s">
        <v>46</v>
      </c>
      <c r="H206" s="64"/>
      <c r="I206" s="64" t="s">
        <v>577</v>
      </c>
      <c r="J206" s="65">
        <v>1</v>
      </c>
      <c r="K206" s="66">
        <f>11460</f>
        <v>11460</v>
      </c>
      <c r="L206" s="67" t="s">
        <v>840</v>
      </c>
      <c r="M206" s="66">
        <f>12070</f>
        <v>12070</v>
      </c>
      <c r="N206" s="67" t="s">
        <v>100</v>
      </c>
      <c r="O206" s="66">
        <f>11420</f>
        <v>11420</v>
      </c>
      <c r="P206" s="67" t="s">
        <v>840</v>
      </c>
      <c r="Q206" s="66">
        <f>11750</f>
        <v>11750</v>
      </c>
      <c r="R206" s="67" t="s">
        <v>50</v>
      </c>
      <c r="S206" s="68">
        <f>11818.33</f>
        <v>11818.33</v>
      </c>
      <c r="T206" s="65">
        <f>858</f>
        <v>858</v>
      </c>
      <c r="U206" s="65">
        <f>1</f>
        <v>1</v>
      </c>
      <c r="V206" s="65">
        <f>10206950</f>
        <v>10206950</v>
      </c>
      <c r="W206" s="65">
        <f>11720</f>
        <v>11720</v>
      </c>
      <c r="X206" s="69">
        <f>18</f>
        <v>18</v>
      </c>
    </row>
    <row r="207" spans="1:24">
      <c r="A207" s="60" t="s">
        <v>934</v>
      </c>
      <c r="B207" s="60" t="s">
        <v>614</v>
      </c>
      <c r="C207" s="60" t="s">
        <v>615</v>
      </c>
      <c r="D207" s="60" t="s">
        <v>616</v>
      </c>
      <c r="E207" s="61" t="s">
        <v>46</v>
      </c>
      <c r="F207" s="62" t="s">
        <v>46</v>
      </c>
      <c r="G207" s="63" t="s">
        <v>46</v>
      </c>
      <c r="H207" s="64"/>
      <c r="I207" s="64" t="s">
        <v>577</v>
      </c>
      <c r="J207" s="65">
        <v>1</v>
      </c>
      <c r="K207" s="66">
        <f>15320</f>
        <v>15320</v>
      </c>
      <c r="L207" s="67" t="s">
        <v>840</v>
      </c>
      <c r="M207" s="66">
        <f>15440</f>
        <v>15440</v>
      </c>
      <c r="N207" s="67" t="s">
        <v>100</v>
      </c>
      <c r="O207" s="66">
        <f>14910</f>
        <v>14910</v>
      </c>
      <c r="P207" s="67" t="s">
        <v>99</v>
      </c>
      <c r="Q207" s="66">
        <f>15240</f>
        <v>15240</v>
      </c>
      <c r="R207" s="67" t="s">
        <v>50</v>
      </c>
      <c r="S207" s="68">
        <f>15226.36</f>
        <v>15226.36</v>
      </c>
      <c r="T207" s="65">
        <f>20870</f>
        <v>20870</v>
      </c>
      <c r="U207" s="65" t="str">
        <f t="shared" ref="U207:U220" si="12">"－"</f>
        <v>－</v>
      </c>
      <c r="V207" s="65">
        <f>317357290</f>
        <v>317357290</v>
      </c>
      <c r="W207" s="65" t="str">
        <f t="shared" ref="W207:W220" si="13">"－"</f>
        <v>－</v>
      </c>
      <c r="X207" s="69">
        <f>22</f>
        <v>22</v>
      </c>
    </row>
    <row r="208" spans="1:24">
      <c r="A208" s="60" t="s">
        <v>934</v>
      </c>
      <c r="B208" s="60" t="s">
        <v>617</v>
      </c>
      <c r="C208" s="60" t="s">
        <v>618</v>
      </c>
      <c r="D208" s="60" t="s">
        <v>619</v>
      </c>
      <c r="E208" s="61" t="s">
        <v>46</v>
      </c>
      <c r="F208" s="62" t="s">
        <v>46</v>
      </c>
      <c r="G208" s="63" t="s">
        <v>46</v>
      </c>
      <c r="H208" s="64"/>
      <c r="I208" s="64" t="s">
        <v>577</v>
      </c>
      <c r="J208" s="65">
        <v>1</v>
      </c>
      <c r="K208" s="66">
        <f>12380</f>
        <v>12380</v>
      </c>
      <c r="L208" s="67" t="s">
        <v>840</v>
      </c>
      <c r="M208" s="66">
        <f>12700</f>
        <v>12700</v>
      </c>
      <c r="N208" s="67" t="s">
        <v>50</v>
      </c>
      <c r="O208" s="66">
        <f>12100</f>
        <v>12100</v>
      </c>
      <c r="P208" s="67" t="s">
        <v>65</v>
      </c>
      <c r="Q208" s="66">
        <f>12450</f>
        <v>12450</v>
      </c>
      <c r="R208" s="67" t="s">
        <v>50</v>
      </c>
      <c r="S208" s="68">
        <f>12355.88</f>
        <v>12355.88</v>
      </c>
      <c r="T208" s="65">
        <f>1054</f>
        <v>1054</v>
      </c>
      <c r="U208" s="65" t="str">
        <f t="shared" si="12"/>
        <v>－</v>
      </c>
      <c r="V208" s="65">
        <f>13132140</f>
        <v>13132140</v>
      </c>
      <c r="W208" s="65" t="str">
        <f t="shared" si="13"/>
        <v>－</v>
      </c>
      <c r="X208" s="69">
        <f>17</f>
        <v>17</v>
      </c>
    </row>
    <row r="209" spans="1:24">
      <c r="A209" s="60" t="s">
        <v>934</v>
      </c>
      <c r="B209" s="60" t="s">
        <v>620</v>
      </c>
      <c r="C209" s="60" t="s">
        <v>621</v>
      </c>
      <c r="D209" s="60" t="s">
        <v>622</v>
      </c>
      <c r="E209" s="61" t="s">
        <v>46</v>
      </c>
      <c r="F209" s="62" t="s">
        <v>46</v>
      </c>
      <c r="G209" s="63" t="s">
        <v>46</v>
      </c>
      <c r="H209" s="64"/>
      <c r="I209" s="64" t="s">
        <v>577</v>
      </c>
      <c r="J209" s="65">
        <v>1</v>
      </c>
      <c r="K209" s="66">
        <f>9670</f>
        <v>9670</v>
      </c>
      <c r="L209" s="67" t="s">
        <v>840</v>
      </c>
      <c r="M209" s="66">
        <f>11300</f>
        <v>11300</v>
      </c>
      <c r="N209" s="67" t="s">
        <v>50</v>
      </c>
      <c r="O209" s="66">
        <f>9560</f>
        <v>9560</v>
      </c>
      <c r="P209" s="67" t="s">
        <v>840</v>
      </c>
      <c r="Q209" s="66">
        <f>11250</f>
        <v>11250</v>
      </c>
      <c r="R209" s="67" t="s">
        <v>50</v>
      </c>
      <c r="S209" s="68">
        <f>10576.36</f>
        <v>10576.36</v>
      </c>
      <c r="T209" s="65">
        <f>78203</f>
        <v>78203</v>
      </c>
      <c r="U209" s="65" t="str">
        <f t="shared" si="12"/>
        <v>－</v>
      </c>
      <c r="V209" s="65">
        <f>831747340</f>
        <v>831747340</v>
      </c>
      <c r="W209" s="65" t="str">
        <f t="shared" si="13"/>
        <v>－</v>
      </c>
      <c r="X209" s="69">
        <f>22</f>
        <v>22</v>
      </c>
    </row>
    <row r="210" spans="1:24">
      <c r="A210" s="60" t="s">
        <v>934</v>
      </c>
      <c r="B210" s="60" t="s">
        <v>623</v>
      </c>
      <c r="C210" s="60" t="s">
        <v>624</v>
      </c>
      <c r="D210" s="60" t="s">
        <v>625</v>
      </c>
      <c r="E210" s="61" t="s">
        <v>46</v>
      </c>
      <c r="F210" s="62" t="s">
        <v>46</v>
      </c>
      <c r="G210" s="63" t="s">
        <v>46</v>
      </c>
      <c r="H210" s="64"/>
      <c r="I210" s="64" t="s">
        <v>577</v>
      </c>
      <c r="J210" s="65">
        <v>1</v>
      </c>
      <c r="K210" s="66">
        <f>5120</f>
        <v>5120</v>
      </c>
      <c r="L210" s="67" t="s">
        <v>840</v>
      </c>
      <c r="M210" s="66">
        <f>5120</f>
        <v>5120</v>
      </c>
      <c r="N210" s="67" t="s">
        <v>840</v>
      </c>
      <c r="O210" s="66">
        <f>4640</f>
        <v>4640</v>
      </c>
      <c r="P210" s="67" t="s">
        <v>50</v>
      </c>
      <c r="Q210" s="66">
        <f>4640</f>
        <v>4640</v>
      </c>
      <c r="R210" s="67" t="s">
        <v>50</v>
      </c>
      <c r="S210" s="68">
        <f>4846.14</f>
        <v>4846.1400000000003</v>
      </c>
      <c r="T210" s="65">
        <f>4184</f>
        <v>4184</v>
      </c>
      <c r="U210" s="65" t="str">
        <f t="shared" si="12"/>
        <v>－</v>
      </c>
      <c r="V210" s="65">
        <f>20216005</f>
        <v>20216005</v>
      </c>
      <c r="W210" s="65" t="str">
        <f t="shared" si="13"/>
        <v>－</v>
      </c>
      <c r="X210" s="69">
        <f>22</f>
        <v>22</v>
      </c>
    </row>
    <row r="211" spans="1:24">
      <c r="A211" s="60" t="s">
        <v>934</v>
      </c>
      <c r="B211" s="60" t="s">
        <v>626</v>
      </c>
      <c r="C211" s="60" t="s">
        <v>627</v>
      </c>
      <c r="D211" s="60" t="s">
        <v>628</v>
      </c>
      <c r="E211" s="61" t="s">
        <v>46</v>
      </c>
      <c r="F211" s="62" t="s">
        <v>46</v>
      </c>
      <c r="G211" s="63" t="s">
        <v>46</v>
      </c>
      <c r="H211" s="64"/>
      <c r="I211" s="64" t="s">
        <v>577</v>
      </c>
      <c r="J211" s="65">
        <v>1</v>
      </c>
      <c r="K211" s="66">
        <f>8900</f>
        <v>8900</v>
      </c>
      <c r="L211" s="67" t="s">
        <v>833</v>
      </c>
      <c r="M211" s="66">
        <f>8970</f>
        <v>8970</v>
      </c>
      <c r="N211" s="67" t="s">
        <v>245</v>
      </c>
      <c r="O211" s="66">
        <f>8610</f>
        <v>8610</v>
      </c>
      <c r="P211" s="67" t="s">
        <v>99</v>
      </c>
      <c r="Q211" s="66">
        <f>8940</f>
        <v>8940</v>
      </c>
      <c r="R211" s="67" t="s">
        <v>50</v>
      </c>
      <c r="S211" s="68">
        <f>8832.11</f>
        <v>8832.11</v>
      </c>
      <c r="T211" s="65">
        <f>9056</f>
        <v>9056</v>
      </c>
      <c r="U211" s="65" t="str">
        <f t="shared" si="12"/>
        <v>－</v>
      </c>
      <c r="V211" s="65">
        <f>79788700</f>
        <v>79788700</v>
      </c>
      <c r="W211" s="65" t="str">
        <f t="shared" si="13"/>
        <v>－</v>
      </c>
      <c r="X211" s="69">
        <f>19</f>
        <v>19</v>
      </c>
    </row>
    <row r="212" spans="1:24">
      <c r="A212" s="60" t="s">
        <v>934</v>
      </c>
      <c r="B212" s="60" t="s">
        <v>629</v>
      </c>
      <c r="C212" s="60" t="s">
        <v>630</v>
      </c>
      <c r="D212" s="60" t="s">
        <v>631</v>
      </c>
      <c r="E212" s="61" t="s">
        <v>46</v>
      </c>
      <c r="F212" s="62" t="s">
        <v>46</v>
      </c>
      <c r="G212" s="63" t="s">
        <v>46</v>
      </c>
      <c r="H212" s="64"/>
      <c r="I212" s="64" t="s">
        <v>577</v>
      </c>
      <c r="J212" s="65">
        <v>1</v>
      </c>
      <c r="K212" s="66">
        <f>10500</f>
        <v>10500</v>
      </c>
      <c r="L212" s="67" t="s">
        <v>840</v>
      </c>
      <c r="M212" s="66">
        <f>11000</f>
        <v>11000</v>
      </c>
      <c r="N212" s="67" t="s">
        <v>150</v>
      </c>
      <c r="O212" s="66">
        <f>10500</f>
        <v>10500</v>
      </c>
      <c r="P212" s="67" t="s">
        <v>840</v>
      </c>
      <c r="Q212" s="66">
        <f>11000</f>
        <v>11000</v>
      </c>
      <c r="R212" s="67" t="s">
        <v>245</v>
      </c>
      <c r="S212" s="68">
        <f>10761.67</f>
        <v>10761.67</v>
      </c>
      <c r="T212" s="65">
        <f>367</f>
        <v>367</v>
      </c>
      <c r="U212" s="65" t="str">
        <f t="shared" si="12"/>
        <v>－</v>
      </c>
      <c r="V212" s="65">
        <f>3955060</f>
        <v>3955060</v>
      </c>
      <c r="W212" s="65" t="str">
        <f t="shared" si="13"/>
        <v>－</v>
      </c>
      <c r="X212" s="69">
        <f>6</f>
        <v>6</v>
      </c>
    </row>
    <row r="213" spans="1:24">
      <c r="A213" s="60" t="s">
        <v>934</v>
      </c>
      <c r="B213" s="60" t="s">
        <v>632</v>
      </c>
      <c r="C213" s="60" t="s">
        <v>633</v>
      </c>
      <c r="D213" s="60" t="s">
        <v>634</v>
      </c>
      <c r="E213" s="61" t="s">
        <v>46</v>
      </c>
      <c r="F213" s="62" t="s">
        <v>46</v>
      </c>
      <c r="G213" s="63" t="s">
        <v>46</v>
      </c>
      <c r="H213" s="64"/>
      <c r="I213" s="64" t="s">
        <v>577</v>
      </c>
      <c r="J213" s="65">
        <v>1</v>
      </c>
      <c r="K213" s="66">
        <f>10770</f>
        <v>10770</v>
      </c>
      <c r="L213" s="67" t="s">
        <v>818</v>
      </c>
      <c r="M213" s="66">
        <f>10780</f>
        <v>10780</v>
      </c>
      <c r="N213" s="67" t="s">
        <v>72</v>
      </c>
      <c r="O213" s="66">
        <f>10720</f>
        <v>10720</v>
      </c>
      <c r="P213" s="67" t="s">
        <v>822</v>
      </c>
      <c r="Q213" s="66">
        <f>10730</f>
        <v>10730</v>
      </c>
      <c r="R213" s="67" t="s">
        <v>150</v>
      </c>
      <c r="S213" s="68">
        <f>10750</f>
        <v>10750</v>
      </c>
      <c r="T213" s="65">
        <f>2505</f>
        <v>2505</v>
      </c>
      <c r="U213" s="65" t="str">
        <f t="shared" si="12"/>
        <v>－</v>
      </c>
      <c r="V213" s="65">
        <f>26993700</f>
        <v>26993700</v>
      </c>
      <c r="W213" s="65" t="str">
        <f t="shared" si="13"/>
        <v>－</v>
      </c>
      <c r="X213" s="69">
        <f>4</f>
        <v>4</v>
      </c>
    </row>
    <row r="214" spans="1:24">
      <c r="A214" s="60" t="s">
        <v>934</v>
      </c>
      <c r="B214" s="60" t="s">
        <v>635</v>
      </c>
      <c r="C214" s="60" t="s">
        <v>636</v>
      </c>
      <c r="D214" s="60" t="s">
        <v>637</v>
      </c>
      <c r="E214" s="61" t="s">
        <v>46</v>
      </c>
      <c r="F214" s="62" t="s">
        <v>46</v>
      </c>
      <c r="G214" s="63" t="s">
        <v>46</v>
      </c>
      <c r="H214" s="64"/>
      <c r="I214" s="64" t="s">
        <v>577</v>
      </c>
      <c r="J214" s="65">
        <v>1</v>
      </c>
      <c r="K214" s="66">
        <f>10540</f>
        <v>10540</v>
      </c>
      <c r="L214" s="67" t="s">
        <v>840</v>
      </c>
      <c r="M214" s="66">
        <f>11080</f>
        <v>11080</v>
      </c>
      <c r="N214" s="67" t="s">
        <v>50</v>
      </c>
      <c r="O214" s="66">
        <f>10510</f>
        <v>10510</v>
      </c>
      <c r="P214" s="67" t="s">
        <v>833</v>
      </c>
      <c r="Q214" s="66">
        <f>11080</f>
        <v>11080</v>
      </c>
      <c r="R214" s="67" t="s">
        <v>50</v>
      </c>
      <c r="S214" s="68">
        <f>10671.25</f>
        <v>10671.25</v>
      </c>
      <c r="T214" s="65">
        <f>132</f>
        <v>132</v>
      </c>
      <c r="U214" s="65" t="str">
        <f t="shared" si="12"/>
        <v>－</v>
      </c>
      <c r="V214" s="65">
        <f>1402470</f>
        <v>1402470</v>
      </c>
      <c r="W214" s="65" t="str">
        <f t="shared" si="13"/>
        <v>－</v>
      </c>
      <c r="X214" s="69">
        <f>8</f>
        <v>8</v>
      </c>
    </row>
    <row r="215" spans="1:24">
      <c r="A215" s="60" t="s">
        <v>934</v>
      </c>
      <c r="B215" s="60" t="s">
        <v>638</v>
      </c>
      <c r="C215" s="60" t="s">
        <v>639</v>
      </c>
      <c r="D215" s="60" t="s">
        <v>640</v>
      </c>
      <c r="E215" s="61" t="s">
        <v>46</v>
      </c>
      <c r="F215" s="62" t="s">
        <v>46</v>
      </c>
      <c r="G215" s="63" t="s">
        <v>46</v>
      </c>
      <c r="H215" s="64"/>
      <c r="I215" s="64" t="s">
        <v>577</v>
      </c>
      <c r="J215" s="65">
        <v>1</v>
      </c>
      <c r="K215" s="66">
        <f>10520</f>
        <v>10520</v>
      </c>
      <c r="L215" s="67" t="s">
        <v>840</v>
      </c>
      <c r="M215" s="66">
        <f>10970</f>
        <v>10970</v>
      </c>
      <c r="N215" s="67" t="s">
        <v>50</v>
      </c>
      <c r="O215" s="66">
        <f>10510</f>
        <v>10510</v>
      </c>
      <c r="P215" s="67" t="s">
        <v>840</v>
      </c>
      <c r="Q215" s="66">
        <f>10970</f>
        <v>10970</v>
      </c>
      <c r="R215" s="67" t="s">
        <v>50</v>
      </c>
      <c r="S215" s="68">
        <f>10743.33</f>
        <v>10743.33</v>
      </c>
      <c r="T215" s="65">
        <f>11187</f>
        <v>11187</v>
      </c>
      <c r="U215" s="65" t="str">
        <f t="shared" si="12"/>
        <v>－</v>
      </c>
      <c r="V215" s="65">
        <f>119883020</f>
        <v>119883020</v>
      </c>
      <c r="W215" s="65" t="str">
        <f t="shared" si="13"/>
        <v>－</v>
      </c>
      <c r="X215" s="69">
        <f>21</f>
        <v>21</v>
      </c>
    </row>
    <row r="216" spans="1:24">
      <c r="A216" s="60" t="s">
        <v>934</v>
      </c>
      <c r="B216" s="60" t="s">
        <v>641</v>
      </c>
      <c r="C216" s="60" t="s">
        <v>642</v>
      </c>
      <c r="D216" s="60" t="s">
        <v>643</v>
      </c>
      <c r="E216" s="61" t="s">
        <v>46</v>
      </c>
      <c r="F216" s="62" t="s">
        <v>46</v>
      </c>
      <c r="G216" s="63" t="s">
        <v>46</v>
      </c>
      <c r="H216" s="64"/>
      <c r="I216" s="64" t="s">
        <v>577</v>
      </c>
      <c r="J216" s="65">
        <v>1</v>
      </c>
      <c r="K216" s="66">
        <f>11880</f>
        <v>11880</v>
      </c>
      <c r="L216" s="67" t="s">
        <v>840</v>
      </c>
      <c r="M216" s="66">
        <f>12000</f>
        <v>12000</v>
      </c>
      <c r="N216" s="67" t="s">
        <v>50</v>
      </c>
      <c r="O216" s="66">
        <f>11750</f>
        <v>11750</v>
      </c>
      <c r="P216" s="67" t="s">
        <v>86</v>
      </c>
      <c r="Q216" s="66">
        <f>12000</f>
        <v>12000</v>
      </c>
      <c r="R216" s="67" t="s">
        <v>50</v>
      </c>
      <c r="S216" s="68">
        <f>11881.67</f>
        <v>11881.67</v>
      </c>
      <c r="T216" s="65">
        <f>1116</f>
        <v>1116</v>
      </c>
      <c r="U216" s="65" t="str">
        <f t="shared" si="12"/>
        <v>－</v>
      </c>
      <c r="V216" s="65">
        <f>13313080</f>
        <v>13313080</v>
      </c>
      <c r="W216" s="65" t="str">
        <f t="shared" si="13"/>
        <v>－</v>
      </c>
      <c r="X216" s="69">
        <f>6</f>
        <v>6</v>
      </c>
    </row>
    <row r="217" spans="1:24">
      <c r="A217" s="60" t="s">
        <v>934</v>
      </c>
      <c r="B217" s="60" t="s">
        <v>644</v>
      </c>
      <c r="C217" s="60" t="s">
        <v>645</v>
      </c>
      <c r="D217" s="60" t="s">
        <v>646</v>
      </c>
      <c r="E217" s="61" t="s">
        <v>46</v>
      </c>
      <c r="F217" s="62" t="s">
        <v>46</v>
      </c>
      <c r="G217" s="63" t="s">
        <v>46</v>
      </c>
      <c r="H217" s="64"/>
      <c r="I217" s="64" t="s">
        <v>577</v>
      </c>
      <c r="J217" s="65">
        <v>1</v>
      </c>
      <c r="K217" s="66">
        <f>11490</f>
        <v>11490</v>
      </c>
      <c r="L217" s="67" t="s">
        <v>814</v>
      </c>
      <c r="M217" s="66">
        <f>11490</f>
        <v>11490</v>
      </c>
      <c r="N217" s="67" t="s">
        <v>814</v>
      </c>
      <c r="O217" s="66">
        <f>11460</f>
        <v>11460</v>
      </c>
      <c r="P217" s="67" t="s">
        <v>95</v>
      </c>
      <c r="Q217" s="66">
        <f>11460</f>
        <v>11460</v>
      </c>
      <c r="R217" s="67" t="s">
        <v>95</v>
      </c>
      <c r="S217" s="68">
        <f>11475</f>
        <v>11475</v>
      </c>
      <c r="T217" s="65">
        <f>10</f>
        <v>10</v>
      </c>
      <c r="U217" s="65" t="str">
        <f t="shared" si="12"/>
        <v>－</v>
      </c>
      <c r="V217" s="65">
        <f>114750</f>
        <v>114750</v>
      </c>
      <c r="W217" s="65" t="str">
        <f t="shared" si="13"/>
        <v>－</v>
      </c>
      <c r="X217" s="69">
        <f>2</f>
        <v>2</v>
      </c>
    </row>
    <row r="218" spans="1:24">
      <c r="A218" s="60" t="s">
        <v>934</v>
      </c>
      <c r="B218" s="60" t="s">
        <v>917</v>
      </c>
      <c r="C218" s="60" t="s">
        <v>918</v>
      </c>
      <c r="D218" s="60" t="s">
        <v>919</v>
      </c>
      <c r="E218" s="61" t="s">
        <v>46</v>
      </c>
      <c r="F218" s="62" t="s">
        <v>46</v>
      </c>
      <c r="G218" s="63" t="s">
        <v>46</v>
      </c>
      <c r="H218" s="64"/>
      <c r="I218" s="64" t="s">
        <v>577</v>
      </c>
      <c r="J218" s="65">
        <v>1</v>
      </c>
      <c r="K218" s="66">
        <f>9990</f>
        <v>9990</v>
      </c>
      <c r="L218" s="67" t="s">
        <v>840</v>
      </c>
      <c r="M218" s="66">
        <f>10370</f>
        <v>10370</v>
      </c>
      <c r="N218" s="67" t="s">
        <v>50</v>
      </c>
      <c r="O218" s="66">
        <f>9900</f>
        <v>9900</v>
      </c>
      <c r="P218" s="67" t="s">
        <v>65</v>
      </c>
      <c r="Q218" s="66">
        <f>10300</f>
        <v>10300</v>
      </c>
      <c r="R218" s="67" t="s">
        <v>50</v>
      </c>
      <c r="S218" s="68">
        <f>10066.36</f>
        <v>10066.36</v>
      </c>
      <c r="T218" s="65">
        <f>33157</f>
        <v>33157</v>
      </c>
      <c r="U218" s="65" t="str">
        <f t="shared" si="12"/>
        <v>－</v>
      </c>
      <c r="V218" s="65">
        <f>334238010</f>
        <v>334238010</v>
      </c>
      <c r="W218" s="65" t="str">
        <f t="shared" si="13"/>
        <v>－</v>
      </c>
      <c r="X218" s="69">
        <f>22</f>
        <v>22</v>
      </c>
    </row>
    <row r="219" spans="1:24">
      <c r="A219" s="60" t="s">
        <v>934</v>
      </c>
      <c r="B219" s="60" t="s">
        <v>921</v>
      </c>
      <c r="C219" s="60" t="s">
        <v>922</v>
      </c>
      <c r="D219" s="60" t="s">
        <v>923</v>
      </c>
      <c r="E219" s="61" t="s">
        <v>46</v>
      </c>
      <c r="F219" s="62" t="s">
        <v>46</v>
      </c>
      <c r="G219" s="63" t="s">
        <v>46</v>
      </c>
      <c r="H219" s="64"/>
      <c r="I219" s="64" t="s">
        <v>577</v>
      </c>
      <c r="J219" s="65">
        <v>1</v>
      </c>
      <c r="K219" s="66">
        <f>10180</f>
        <v>10180</v>
      </c>
      <c r="L219" s="67" t="s">
        <v>840</v>
      </c>
      <c r="M219" s="66">
        <f>10450</f>
        <v>10450</v>
      </c>
      <c r="N219" s="67" t="s">
        <v>245</v>
      </c>
      <c r="O219" s="66">
        <f>9920</f>
        <v>9920</v>
      </c>
      <c r="P219" s="67" t="s">
        <v>309</v>
      </c>
      <c r="Q219" s="66">
        <f>10390</f>
        <v>10390</v>
      </c>
      <c r="R219" s="67" t="s">
        <v>50</v>
      </c>
      <c r="S219" s="68">
        <f>10146.82</f>
        <v>10146.82</v>
      </c>
      <c r="T219" s="65">
        <f>218844</f>
        <v>218844</v>
      </c>
      <c r="U219" s="65" t="str">
        <f t="shared" si="12"/>
        <v>－</v>
      </c>
      <c r="V219" s="65">
        <f>2218149300</f>
        <v>2218149300</v>
      </c>
      <c r="W219" s="65" t="str">
        <f t="shared" si="13"/>
        <v>－</v>
      </c>
      <c r="X219" s="69">
        <f>22</f>
        <v>22</v>
      </c>
    </row>
    <row r="220" spans="1:24">
      <c r="A220" s="60" t="s">
        <v>934</v>
      </c>
      <c r="B220" s="60" t="s">
        <v>924</v>
      </c>
      <c r="C220" s="60" t="s">
        <v>925</v>
      </c>
      <c r="D220" s="60" t="s">
        <v>926</v>
      </c>
      <c r="E220" s="61" t="s">
        <v>46</v>
      </c>
      <c r="F220" s="62" t="s">
        <v>46</v>
      </c>
      <c r="G220" s="63" t="s">
        <v>46</v>
      </c>
      <c r="H220" s="64"/>
      <c r="I220" s="64" t="s">
        <v>577</v>
      </c>
      <c r="J220" s="65">
        <v>1</v>
      </c>
      <c r="K220" s="66">
        <f>10110</f>
        <v>10110</v>
      </c>
      <c r="L220" s="67" t="s">
        <v>840</v>
      </c>
      <c r="M220" s="66">
        <f>10190</f>
        <v>10190</v>
      </c>
      <c r="N220" s="67" t="s">
        <v>833</v>
      </c>
      <c r="O220" s="66">
        <f>9850</f>
        <v>9850</v>
      </c>
      <c r="P220" s="67" t="s">
        <v>309</v>
      </c>
      <c r="Q220" s="66">
        <f>10140</f>
        <v>10140</v>
      </c>
      <c r="R220" s="67" t="s">
        <v>50</v>
      </c>
      <c r="S220" s="68">
        <f>10025.45</f>
        <v>10025.450000000001</v>
      </c>
      <c r="T220" s="65">
        <f>76377</f>
        <v>76377</v>
      </c>
      <c r="U220" s="65" t="str">
        <f t="shared" si="12"/>
        <v>－</v>
      </c>
      <c r="V220" s="65">
        <f>768486910</f>
        <v>768486910</v>
      </c>
      <c r="W220" s="65" t="str">
        <f t="shared" si="13"/>
        <v>－</v>
      </c>
      <c r="X220" s="69">
        <f>22</f>
        <v>22</v>
      </c>
    </row>
    <row r="221" spans="1:24">
      <c r="A221" s="60" t="s">
        <v>934</v>
      </c>
      <c r="B221" s="60" t="s">
        <v>647</v>
      </c>
      <c r="C221" s="60" t="s">
        <v>648</v>
      </c>
      <c r="D221" s="60" t="s">
        <v>649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f>996</f>
        <v>996</v>
      </c>
      <c r="L221" s="67" t="s">
        <v>840</v>
      </c>
      <c r="M221" s="66">
        <f>1002</f>
        <v>1002</v>
      </c>
      <c r="N221" s="67" t="s">
        <v>834</v>
      </c>
      <c r="O221" s="66">
        <f>996</f>
        <v>996</v>
      </c>
      <c r="P221" s="67" t="s">
        <v>840</v>
      </c>
      <c r="Q221" s="66">
        <f>999</f>
        <v>999</v>
      </c>
      <c r="R221" s="67" t="s">
        <v>50</v>
      </c>
      <c r="S221" s="68">
        <f>999.32</f>
        <v>999.32</v>
      </c>
      <c r="T221" s="65">
        <f>537590</f>
        <v>537590</v>
      </c>
      <c r="U221" s="65">
        <f>18470</f>
        <v>18470</v>
      </c>
      <c r="V221" s="65">
        <f>537573010</f>
        <v>537573010</v>
      </c>
      <c r="W221" s="65">
        <f>18451530</f>
        <v>18451530</v>
      </c>
      <c r="X221" s="69">
        <f>22</f>
        <v>22</v>
      </c>
    </row>
    <row r="222" spans="1:24">
      <c r="A222" s="60" t="s">
        <v>934</v>
      </c>
      <c r="B222" s="60" t="s">
        <v>650</v>
      </c>
      <c r="C222" s="60" t="s">
        <v>651</v>
      </c>
      <c r="D222" s="60" t="s">
        <v>652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1001</f>
        <v>1001</v>
      </c>
      <c r="L222" s="67" t="s">
        <v>840</v>
      </c>
      <c r="M222" s="66">
        <f>1030</f>
        <v>1030</v>
      </c>
      <c r="N222" s="67" t="s">
        <v>50</v>
      </c>
      <c r="O222" s="66">
        <f>1000</f>
        <v>1000</v>
      </c>
      <c r="P222" s="67" t="s">
        <v>840</v>
      </c>
      <c r="Q222" s="66">
        <f>1020</f>
        <v>1020</v>
      </c>
      <c r="R222" s="67" t="s">
        <v>50</v>
      </c>
      <c r="S222" s="68">
        <f>1005.77</f>
        <v>1005.77</v>
      </c>
      <c r="T222" s="65">
        <f>901060</f>
        <v>901060</v>
      </c>
      <c r="U222" s="65">
        <f>99710</f>
        <v>99710</v>
      </c>
      <c r="V222" s="65">
        <f>905341874</f>
        <v>905341874</v>
      </c>
      <c r="W222" s="65">
        <f>99989314</f>
        <v>99989314</v>
      </c>
      <c r="X222" s="69">
        <f>22</f>
        <v>22</v>
      </c>
    </row>
    <row r="223" spans="1:24">
      <c r="A223" s="60" t="s">
        <v>934</v>
      </c>
      <c r="B223" s="60" t="s">
        <v>653</v>
      </c>
      <c r="C223" s="60" t="s">
        <v>654</v>
      </c>
      <c r="D223" s="60" t="s">
        <v>655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1060</f>
        <v>1060</v>
      </c>
      <c r="L223" s="67" t="s">
        <v>840</v>
      </c>
      <c r="M223" s="66">
        <f>1085</f>
        <v>1085</v>
      </c>
      <c r="N223" s="67" t="s">
        <v>95</v>
      </c>
      <c r="O223" s="66">
        <f>1054</f>
        <v>1054</v>
      </c>
      <c r="P223" s="67" t="s">
        <v>833</v>
      </c>
      <c r="Q223" s="66">
        <f>1058</f>
        <v>1058</v>
      </c>
      <c r="R223" s="67" t="s">
        <v>50</v>
      </c>
      <c r="S223" s="68">
        <f>1057.77</f>
        <v>1057.77</v>
      </c>
      <c r="T223" s="65">
        <f>1377590</f>
        <v>1377590</v>
      </c>
      <c r="U223" s="65">
        <f>562770</f>
        <v>562770</v>
      </c>
      <c r="V223" s="65">
        <f>1458215828</f>
        <v>1458215828</v>
      </c>
      <c r="W223" s="65">
        <f>595644628</f>
        <v>595644628</v>
      </c>
      <c r="X223" s="69">
        <f>22</f>
        <v>22</v>
      </c>
    </row>
    <row r="224" spans="1:24">
      <c r="A224" s="60" t="s">
        <v>934</v>
      </c>
      <c r="B224" s="60" t="s">
        <v>656</v>
      </c>
      <c r="C224" s="60" t="s">
        <v>657</v>
      </c>
      <c r="D224" s="60" t="s">
        <v>658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1205</f>
        <v>1205</v>
      </c>
      <c r="L224" s="67" t="s">
        <v>840</v>
      </c>
      <c r="M224" s="66">
        <f>1247</f>
        <v>1247</v>
      </c>
      <c r="N224" s="67" t="s">
        <v>245</v>
      </c>
      <c r="O224" s="66">
        <f>1205</f>
        <v>1205</v>
      </c>
      <c r="P224" s="67" t="s">
        <v>840</v>
      </c>
      <c r="Q224" s="66">
        <f>1239</f>
        <v>1239</v>
      </c>
      <c r="R224" s="67" t="s">
        <v>50</v>
      </c>
      <c r="S224" s="68">
        <f>1224.18</f>
        <v>1224.18</v>
      </c>
      <c r="T224" s="65">
        <f>356300</f>
        <v>356300</v>
      </c>
      <c r="U224" s="65">
        <f>6700</f>
        <v>6700</v>
      </c>
      <c r="V224" s="65">
        <f>436254080</f>
        <v>436254080</v>
      </c>
      <c r="W224" s="65">
        <f>8127100</f>
        <v>8127100</v>
      </c>
      <c r="X224" s="69">
        <f>22</f>
        <v>22</v>
      </c>
    </row>
    <row r="225" spans="1:24">
      <c r="A225" s="60" t="s">
        <v>934</v>
      </c>
      <c r="B225" s="60" t="s">
        <v>659</v>
      </c>
      <c r="C225" s="60" t="s">
        <v>660</v>
      </c>
      <c r="D225" s="60" t="s">
        <v>661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1263</f>
        <v>1263</v>
      </c>
      <c r="L225" s="67" t="s">
        <v>840</v>
      </c>
      <c r="M225" s="66">
        <f>1312</f>
        <v>1312</v>
      </c>
      <c r="N225" s="67" t="s">
        <v>95</v>
      </c>
      <c r="O225" s="66">
        <f>1262</f>
        <v>1262</v>
      </c>
      <c r="P225" s="67" t="s">
        <v>840</v>
      </c>
      <c r="Q225" s="66">
        <f>1300</f>
        <v>1300</v>
      </c>
      <c r="R225" s="67" t="s">
        <v>50</v>
      </c>
      <c r="S225" s="68">
        <f>1280.95</f>
        <v>1280.95</v>
      </c>
      <c r="T225" s="65">
        <f>97660</f>
        <v>97660</v>
      </c>
      <c r="U225" s="65" t="str">
        <f>"－"</f>
        <v>－</v>
      </c>
      <c r="V225" s="65">
        <f>124997240</f>
        <v>124997240</v>
      </c>
      <c r="W225" s="65" t="str">
        <f>"－"</f>
        <v>－</v>
      </c>
      <c r="X225" s="69">
        <f>21</f>
        <v>21</v>
      </c>
    </row>
    <row r="226" spans="1:24">
      <c r="A226" s="60" t="s">
        <v>934</v>
      </c>
      <c r="B226" s="60" t="s">
        <v>662</v>
      </c>
      <c r="C226" s="60" t="s">
        <v>663</v>
      </c>
      <c r="D226" s="60" t="s">
        <v>664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10</v>
      </c>
      <c r="K226" s="66">
        <f>896</f>
        <v>896</v>
      </c>
      <c r="L226" s="67" t="s">
        <v>840</v>
      </c>
      <c r="M226" s="66">
        <f>915</f>
        <v>915</v>
      </c>
      <c r="N226" s="67" t="s">
        <v>100</v>
      </c>
      <c r="O226" s="66">
        <f>875</f>
        <v>875</v>
      </c>
      <c r="P226" s="67" t="s">
        <v>309</v>
      </c>
      <c r="Q226" s="66">
        <f>902</f>
        <v>902</v>
      </c>
      <c r="R226" s="67" t="s">
        <v>50</v>
      </c>
      <c r="S226" s="68">
        <f>899.14</f>
        <v>899.14</v>
      </c>
      <c r="T226" s="65">
        <f>546950</f>
        <v>546950</v>
      </c>
      <c r="U226" s="65" t="str">
        <f>"－"</f>
        <v>－</v>
      </c>
      <c r="V226" s="65">
        <f>490302410</f>
        <v>490302410</v>
      </c>
      <c r="W226" s="65" t="str">
        <f>"－"</f>
        <v>－</v>
      </c>
      <c r="X226" s="69">
        <f>22</f>
        <v>22</v>
      </c>
    </row>
    <row r="227" spans="1:24">
      <c r="A227" s="60" t="s">
        <v>934</v>
      </c>
      <c r="B227" s="60" t="s">
        <v>665</v>
      </c>
      <c r="C227" s="60" t="s">
        <v>666</v>
      </c>
      <c r="D227" s="60" t="s">
        <v>667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961</f>
        <v>961</v>
      </c>
      <c r="L227" s="67" t="s">
        <v>840</v>
      </c>
      <c r="M227" s="66">
        <f>1007</f>
        <v>1007</v>
      </c>
      <c r="N227" s="67" t="s">
        <v>833</v>
      </c>
      <c r="O227" s="66">
        <f>861</f>
        <v>861</v>
      </c>
      <c r="P227" s="67" t="s">
        <v>99</v>
      </c>
      <c r="Q227" s="66">
        <f>911</f>
        <v>911</v>
      </c>
      <c r="R227" s="67" t="s">
        <v>50</v>
      </c>
      <c r="S227" s="68">
        <f>908.91</f>
        <v>908.91</v>
      </c>
      <c r="T227" s="65">
        <f>29977250</f>
        <v>29977250</v>
      </c>
      <c r="U227" s="65">
        <f>52980</f>
        <v>52980</v>
      </c>
      <c r="V227" s="65">
        <f>27702422780</f>
        <v>27702422780</v>
      </c>
      <c r="W227" s="65">
        <f>48604020</f>
        <v>48604020</v>
      </c>
      <c r="X227" s="69">
        <f>22</f>
        <v>22</v>
      </c>
    </row>
    <row r="228" spans="1:24">
      <c r="A228" s="60" t="s">
        <v>934</v>
      </c>
      <c r="B228" s="60" t="s">
        <v>668</v>
      </c>
      <c r="C228" s="60" t="s">
        <v>669</v>
      </c>
      <c r="D228" s="60" t="s">
        <v>670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10</v>
      </c>
      <c r="K228" s="66">
        <f>992</f>
        <v>992</v>
      </c>
      <c r="L228" s="67" t="s">
        <v>840</v>
      </c>
      <c r="M228" s="66">
        <f>1047</f>
        <v>1047</v>
      </c>
      <c r="N228" s="67" t="s">
        <v>50</v>
      </c>
      <c r="O228" s="66">
        <f>991</f>
        <v>991</v>
      </c>
      <c r="P228" s="67" t="s">
        <v>814</v>
      </c>
      <c r="Q228" s="66">
        <f>1046</f>
        <v>1046</v>
      </c>
      <c r="R228" s="67" t="s">
        <v>50</v>
      </c>
      <c r="S228" s="68">
        <f>1009</f>
        <v>1009</v>
      </c>
      <c r="T228" s="65">
        <f>10206490</f>
        <v>10206490</v>
      </c>
      <c r="U228" s="65">
        <f>9935230</f>
        <v>9935230</v>
      </c>
      <c r="V228" s="65">
        <f>10211661077</f>
        <v>10211661077</v>
      </c>
      <c r="W228" s="65">
        <f>9940306657</f>
        <v>9940306657</v>
      </c>
      <c r="X228" s="69">
        <f>22</f>
        <v>22</v>
      </c>
    </row>
    <row r="229" spans="1:24">
      <c r="A229" s="60" t="s">
        <v>934</v>
      </c>
      <c r="B229" s="60" t="s">
        <v>671</v>
      </c>
      <c r="C229" s="60" t="s">
        <v>672</v>
      </c>
      <c r="D229" s="60" t="s">
        <v>673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</v>
      </c>
      <c r="K229" s="66">
        <f>1044</f>
        <v>1044</v>
      </c>
      <c r="L229" s="67" t="s">
        <v>840</v>
      </c>
      <c r="M229" s="66">
        <f>1068</f>
        <v>1068</v>
      </c>
      <c r="N229" s="67" t="s">
        <v>245</v>
      </c>
      <c r="O229" s="66">
        <f>1019</f>
        <v>1019</v>
      </c>
      <c r="P229" s="67" t="s">
        <v>309</v>
      </c>
      <c r="Q229" s="66">
        <f>1063</f>
        <v>1063</v>
      </c>
      <c r="R229" s="67" t="s">
        <v>50</v>
      </c>
      <c r="S229" s="68">
        <f>1040</f>
        <v>1040</v>
      </c>
      <c r="T229" s="65">
        <f>366601</f>
        <v>366601</v>
      </c>
      <c r="U229" s="65">
        <f>1</f>
        <v>1</v>
      </c>
      <c r="V229" s="65">
        <f>379816832</f>
        <v>379816832</v>
      </c>
      <c r="W229" s="65">
        <f>1045</f>
        <v>1045</v>
      </c>
      <c r="X229" s="69">
        <f>22</f>
        <v>22</v>
      </c>
    </row>
    <row r="230" spans="1:24">
      <c r="A230" s="60" t="s">
        <v>934</v>
      </c>
      <c r="B230" s="60" t="s">
        <v>674</v>
      </c>
      <c r="C230" s="60" t="s">
        <v>675</v>
      </c>
      <c r="D230" s="60" t="s">
        <v>676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10</v>
      </c>
      <c r="K230" s="66">
        <f>1031</f>
        <v>1031</v>
      </c>
      <c r="L230" s="67" t="s">
        <v>840</v>
      </c>
      <c r="M230" s="66">
        <f>1035</f>
        <v>1035</v>
      </c>
      <c r="N230" s="67" t="s">
        <v>119</v>
      </c>
      <c r="O230" s="66">
        <f>1024</f>
        <v>1024</v>
      </c>
      <c r="P230" s="67" t="s">
        <v>833</v>
      </c>
      <c r="Q230" s="66">
        <f>1034</f>
        <v>1034</v>
      </c>
      <c r="R230" s="67" t="s">
        <v>50</v>
      </c>
      <c r="S230" s="68">
        <f>1029.82</f>
        <v>1029.82</v>
      </c>
      <c r="T230" s="65">
        <f>106530</f>
        <v>106530</v>
      </c>
      <c r="U230" s="65">
        <f>1070</f>
        <v>1070</v>
      </c>
      <c r="V230" s="65">
        <f>109824690</f>
        <v>109824690</v>
      </c>
      <c r="W230" s="65">
        <f>1116700</f>
        <v>1116700</v>
      </c>
      <c r="X230" s="69">
        <f>22</f>
        <v>22</v>
      </c>
    </row>
    <row r="231" spans="1:24">
      <c r="A231" s="60" t="s">
        <v>934</v>
      </c>
      <c r="B231" s="60" t="s">
        <v>677</v>
      </c>
      <c r="C231" s="60" t="s">
        <v>678</v>
      </c>
      <c r="D231" s="60" t="s">
        <v>679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1094</f>
        <v>1094</v>
      </c>
      <c r="L231" s="67" t="s">
        <v>840</v>
      </c>
      <c r="M231" s="66">
        <f>1143</f>
        <v>1143</v>
      </c>
      <c r="N231" s="67" t="s">
        <v>50</v>
      </c>
      <c r="O231" s="66">
        <f>1076</f>
        <v>1076</v>
      </c>
      <c r="P231" s="67" t="s">
        <v>840</v>
      </c>
      <c r="Q231" s="66">
        <f>1140</f>
        <v>1140</v>
      </c>
      <c r="R231" s="67" t="s">
        <v>50</v>
      </c>
      <c r="S231" s="68">
        <f>1117.5</f>
        <v>1117.5</v>
      </c>
      <c r="T231" s="65">
        <f>77700</f>
        <v>77700</v>
      </c>
      <c r="U231" s="65" t="str">
        <f>"－"</f>
        <v>－</v>
      </c>
      <c r="V231" s="65">
        <f>86811120</f>
        <v>86811120</v>
      </c>
      <c r="W231" s="65" t="str">
        <f>"－"</f>
        <v>－</v>
      </c>
      <c r="X231" s="69">
        <f>22</f>
        <v>22</v>
      </c>
    </row>
    <row r="232" spans="1:24">
      <c r="A232" s="60" t="s">
        <v>934</v>
      </c>
      <c r="B232" s="60" t="s">
        <v>680</v>
      </c>
      <c r="C232" s="60" t="s">
        <v>681</v>
      </c>
      <c r="D232" s="60" t="s">
        <v>682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10</v>
      </c>
      <c r="K232" s="66">
        <f>1278</f>
        <v>1278</v>
      </c>
      <c r="L232" s="67" t="s">
        <v>840</v>
      </c>
      <c r="M232" s="66">
        <f>1318</f>
        <v>1318</v>
      </c>
      <c r="N232" s="67" t="s">
        <v>245</v>
      </c>
      <c r="O232" s="66">
        <f>1276</f>
        <v>1276</v>
      </c>
      <c r="P232" s="67" t="s">
        <v>840</v>
      </c>
      <c r="Q232" s="66">
        <f>1311</f>
        <v>1311</v>
      </c>
      <c r="R232" s="67" t="s">
        <v>50</v>
      </c>
      <c r="S232" s="68">
        <f>1295.5</f>
        <v>1295.5</v>
      </c>
      <c r="T232" s="65">
        <f>7712000</f>
        <v>7712000</v>
      </c>
      <c r="U232" s="65">
        <f>3180370</f>
        <v>3180370</v>
      </c>
      <c r="V232" s="65">
        <f>9989650828</f>
        <v>9989650828</v>
      </c>
      <c r="W232" s="65">
        <f>4128003658</f>
        <v>4128003658</v>
      </c>
      <c r="X232" s="69">
        <f>22</f>
        <v>22</v>
      </c>
    </row>
    <row r="233" spans="1:24">
      <c r="A233" s="60" t="s">
        <v>934</v>
      </c>
      <c r="B233" s="60" t="s">
        <v>683</v>
      </c>
      <c r="C233" s="60" t="s">
        <v>684</v>
      </c>
      <c r="D233" s="60" t="s">
        <v>685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</v>
      </c>
      <c r="K233" s="66">
        <f>3130</f>
        <v>3130</v>
      </c>
      <c r="L233" s="67" t="s">
        <v>840</v>
      </c>
      <c r="M233" s="66">
        <f>3340</f>
        <v>3340</v>
      </c>
      <c r="N233" s="67" t="s">
        <v>816</v>
      </c>
      <c r="O233" s="66">
        <f>3125</f>
        <v>3125</v>
      </c>
      <c r="P233" s="67" t="s">
        <v>818</v>
      </c>
      <c r="Q233" s="66">
        <f>3280</f>
        <v>3280</v>
      </c>
      <c r="R233" s="67" t="s">
        <v>50</v>
      </c>
      <c r="S233" s="68">
        <f>3208.18</f>
        <v>3208.18</v>
      </c>
      <c r="T233" s="65">
        <f>68578</f>
        <v>68578</v>
      </c>
      <c r="U233" s="65" t="str">
        <f>"－"</f>
        <v>－</v>
      </c>
      <c r="V233" s="65">
        <f>221072645</f>
        <v>221072645</v>
      </c>
      <c r="W233" s="65" t="str">
        <f>"－"</f>
        <v>－</v>
      </c>
      <c r="X233" s="69">
        <f>22</f>
        <v>22</v>
      </c>
    </row>
    <row r="234" spans="1:24">
      <c r="A234" s="60" t="s">
        <v>934</v>
      </c>
      <c r="B234" s="60" t="s">
        <v>686</v>
      </c>
      <c r="C234" s="60" t="s">
        <v>687</v>
      </c>
      <c r="D234" s="60" t="s">
        <v>688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10</v>
      </c>
      <c r="K234" s="66">
        <f>1820</f>
        <v>1820</v>
      </c>
      <c r="L234" s="67" t="s">
        <v>840</v>
      </c>
      <c r="M234" s="66">
        <f>1820</f>
        <v>1820</v>
      </c>
      <c r="N234" s="67" t="s">
        <v>840</v>
      </c>
      <c r="O234" s="66">
        <f>1603</f>
        <v>1603</v>
      </c>
      <c r="P234" s="67" t="s">
        <v>309</v>
      </c>
      <c r="Q234" s="66">
        <f>1686</f>
        <v>1686</v>
      </c>
      <c r="R234" s="67" t="s">
        <v>50</v>
      </c>
      <c r="S234" s="68">
        <f>1675.5</f>
        <v>1675.5</v>
      </c>
      <c r="T234" s="65">
        <f>3706170</f>
        <v>3706170</v>
      </c>
      <c r="U234" s="65">
        <f>3698510</f>
        <v>3698510</v>
      </c>
      <c r="V234" s="65">
        <f>6004924641</f>
        <v>6004924641</v>
      </c>
      <c r="W234" s="65">
        <f>5992009621</f>
        <v>5992009621</v>
      </c>
      <c r="X234" s="69">
        <f>20</f>
        <v>20</v>
      </c>
    </row>
    <row r="235" spans="1:24">
      <c r="A235" s="60" t="s">
        <v>934</v>
      </c>
      <c r="B235" s="60" t="s">
        <v>689</v>
      </c>
      <c r="C235" s="60" t="s">
        <v>690</v>
      </c>
      <c r="D235" s="60" t="s">
        <v>691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10</v>
      </c>
      <c r="K235" s="66">
        <f>1800</f>
        <v>1800</v>
      </c>
      <c r="L235" s="67" t="s">
        <v>840</v>
      </c>
      <c r="M235" s="66">
        <f>1844</f>
        <v>1844</v>
      </c>
      <c r="N235" s="67" t="s">
        <v>50</v>
      </c>
      <c r="O235" s="66">
        <f>1759</f>
        <v>1759</v>
      </c>
      <c r="P235" s="67" t="s">
        <v>833</v>
      </c>
      <c r="Q235" s="66">
        <f>1844</f>
        <v>1844</v>
      </c>
      <c r="R235" s="67" t="s">
        <v>50</v>
      </c>
      <c r="S235" s="68">
        <f>1811.67</f>
        <v>1811.67</v>
      </c>
      <c r="T235" s="65">
        <f>697740</f>
        <v>697740</v>
      </c>
      <c r="U235" s="65">
        <f>200010</f>
        <v>200010</v>
      </c>
      <c r="V235" s="65">
        <f>1260515630</f>
        <v>1260515630</v>
      </c>
      <c r="W235" s="65">
        <f>358677990</f>
        <v>358677990</v>
      </c>
      <c r="X235" s="69">
        <f>15</f>
        <v>15</v>
      </c>
    </row>
    <row r="236" spans="1:24">
      <c r="A236" s="60" t="s">
        <v>934</v>
      </c>
      <c r="B236" s="60" t="s">
        <v>692</v>
      </c>
      <c r="C236" s="60" t="s">
        <v>693</v>
      </c>
      <c r="D236" s="60" t="s">
        <v>694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</v>
      </c>
      <c r="K236" s="66">
        <f>27100</f>
        <v>27100</v>
      </c>
      <c r="L236" s="67" t="s">
        <v>833</v>
      </c>
      <c r="M236" s="66">
        <f>27810</f>
        <v>27810</v>
      </c>
      <c r="N236" s="67" t="s">
        <v>50</v>
      </c>
      <c r="O236" s="66">
        <f>26790</f>
        <v>26790</v>
      </c>
      <c r="P236" s="67" t="s">
        <v>99</v>
      </c>
      <c r="Q236" s="66">
        <f>27810</f>
        <v>27810</v>
      </c>
      <c r="R236" s="67" t="s">
        <v>50</v>
      </c>
      <c r="S236" s="68">
        <f>27093</f>
        <v>27093</v>
      </c>
      <c r="T236" s="65">
        <f>58334</f>
        <v>58334</v>
      </c>
      <c r="U236" s="65">
        <f>55500</f>
        <v>55500</v>
      </c>
      <c r="V236" s="65">
        <f>1625058005</f>
        <v>1625058005</v>
      </c>
      <c r="W236" s="65">
        <f>1547911095</f>
        <v>1547911095</v>
      </c>
      <c r="X236" s="69">
        <f>10</f>
        <v>10</v>
      </c>
    </row>
    <row r="237" spans="1:24">
      <c r="A237" s="60" t="s">
        <v>934</v>
      </c>
      <c r="B237" s="60" t="s">
        <v>695</v>
      </c>
      <c r="C237" s="60" t="s">
        <v>696</v>
      </c>
      <c r="D237" s="60" t="s">
        <v>697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</v>
      </c>
      <c r="K237" s="66">
        <f>16280</f>
        <v>16280</v>
      </c>
      <c r="L237" s="67" t="s">
        <v>840</v>
      </c>
      <c r="M237" s="66">
        <f>16640</f>
        <v>16640</v>
      </c>
      <c r="N237" s="67" t="s">
        <v>50</v>
      </c>
      <c r="O237" s="66">
        <f>16120</f>
        <v>16120</v>
      </c>
      <c r="P237" s="67" t="s">
        <v>99</v>
      </c>
      <c r="Q237" s="66">
        <f>16590</f>
        <v>16590</v>
      </c>
      <c r="R237" s="67" t="s">
        <v>50</v>
      </c>
      <c r="S237" s="68">
        <f>16328.42</f>
        <v>16328.42</v>
      </c>
      <c r="T237" s="65">
        <f>93394</f>
        <v>93394</v>
      </c>
      <c r="U237" s="65" t="str">
        <f>"－"</f>
        <v>－</v>
      </c>
      <c r="V237" s="65">
        <f>1526422350</f>
        <v>1526422350</v>
      </c>
      <c r="W237" s="65" t="str">
        <f>"－"</f>
        <v>－</v>
      </c>
      <c r="X237" s="69">
        <f>19</f>
        <v>19</v>
      </c>
    </row>
    <row r="238" spans="1:24">
      <c r="A238" s="60" t="s">
        <v>934</v>
      </c>
      <c r="B238" s="60" t="s">
        <v>698</v>
      </c>
      <c r="C238" s="60" t="s">
        <v>699</v>
      </c>
      <c r="D238" s="60" t="s">
        <v>700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10</v>
      </c>
      <c r="K238" s="66">
        <f>1005</f>
        <v>1005</v>
      </c>
      <c r="L238" s="67" t="s">
        <v>840</v>
      </c>
      <c r="M238" s="66">
        <f>1099</f>
        <v>1099</v>
      </c>
      <c r="N238" s="67" t="s">
        <v>95</v>
      </c>
      <c r="O238" s="66">
        <f>1005</f>
        <v>1005</v>
      </c>
      <c r="P238" s="67" t="s">
        <v>840</v>
      </c>
      <c r="Q238" s="66">
        <f>1063</f>
        <v>1063</v>
      </c>
      <c r="R238" s="67" t="s">
        <v>50</v>
      </c>
      <c r="S238" s="68">
        <f>1024.33</f>
        <v>1024.33</v>
      </c>
      <c r="T238" s="65">
        <f>185660</f>
        <v>185660</v>
      </c>
      <c r="U238" s="65">
        <f>96000</f>
        <v>96000</v>
      </c>
      <c r="V238" s="65">
        <f>191556300</f>
        <v>191556300</v>
      </c>
      <c r="W238" s="65">
        <f>99661440</f>
        <v>99661440</v>
      </c>
      <c r="X238" s="69">
        <f>21</f>
        <v>21</v>
      </c>
    </row>
    <row r="239" spans="1:24">
      <c r="A239" s="60" t="s">
        <v>934</v>
      </c>
      <c r="B239" s="60" t="s">
        <v>701</v>
      </c>
      <c r="C239" s="60" t="s">
        <v>702</v>
      </c>
      <c r="D239" s="60" t="s">
        <v>703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10</v>
      </c>
      <c r="K239" s="66">
        <f>996</f>
        <v>996</v>
      </c>
      <c r="L239" s="67" t="s">
        <v>840</v>
      </c>
      <c r="M239" s="66">
        <f>1044</f>
        <v>1044</v>
      </c>
      <c r="N239" s="67" t="s">
        <v>50</v>
      </c>
      <c r="O239" s="66">
        <f>993</f>
        <v>993</v>
      </c>
      <c r="P239" s="67" t="s">
        <v>814</v>
      </c>
      <c r="Q239" s="66">
        <f>1043</f>
        <v>1043</v>
      </c>
      <c r="R239" s="67" t="s">
        <v>50</v>
      </c>
      <c r="S239" s="68">
        <f>1007.73</f>
        <v>1007.73</v>
      </c>
      <c r="T239" s="65">
        <f>18740</f>
        <v>18740</v>
      </c>
      <c r="U239" s="65" t="str">
        <f t="shared" ref="U239:U245" si="14">"－"</f>
        <v>－</v>
      </c>
      <c r="V239" s="65">
        <f>18897680</f>
        <v>18897680</v>
      </c>
      <c r="W239" s="65" t="str">
        <f t="shared" ref="W239:W245" si="15">"－"</f>
        <v>－</v>
      </c>
      <c r="X239" s="69">
        <f>22</f>
        <v>22</v>
      </c>
    </row>
    <row r="240" spans="1:24">
      <c r="A240" s="60" t="s">
        <v>934</v>
      </c>
      <c r="B240" s="60" t="s">
        <v>704</v>
      </c>
      <c r="C240" s="60" t="s">
        <v>705</v>
      </c>
      <c r="D240" s="60" t="s">
        <v>706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</v>
      </c>
      <c r="K240" s="66">
        <f>931</f>
        <v>931</v>
      </c>
      <c r="L240" s="67" t="s">
        <v>840</v>
      </c>
      <c r="M240" s="66">
        <f>965</f>
        <v>965</v>
      </c>
      <c r="N240" s="67" t="s">
        <v>90</v>
      </c>
      <c r="O240" s="66">
        <f>929</f>
        <v>929</v>
      </c>
      <c r="P240" s="67" t="s">
        <v>840</v>
      </c>
      <c r="Q240" s="66">
        <f>957</f>
        <v>957</v>
      </c>
      <c r="R240" s="67" t="s">
        <v>50</v>
      </c>
      <c r="S240" s="68">
        <f>948.77</f>
        <v>948.77</v>
      </c>
      <c r="T240" s="65">
        <f>31416</f>
        <v>31416</v>
      </c>
      <c r="U240" s="65" t="str">
        <f t="shared" si="14"/>
        <v>－</v>
      </c>
      <c r="V240" s="65">
        <f>29708761</f>
        <v>29708761</v>
      </c>
      <c r="W240" s="65" t="str">
        <f t="shared" si="15"/>
        <v>－</v>
      </c>
      <c r="X240" s="69">
        <f>22</f>
        <v>22</v>
      </c>
    </row>
    <row r="241" spans="1:24">
      <c r="A241" s="60" t="s">
        <v>934</v>
      </c>
      <c r="B241" s="60" t="s">
        <v>707</v>
      </c>
      <c r="C241" s="60" t="s">
        <v>708</v>
      </c>
      <c r="D241" s="60" t="s">
        <v>709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</v>
      </c>
      <c r="K241" s="66">
        <f>12800</f>
        <v>12800</v>
      </c>
      <c r="L241" s="67" t="s">
        <v>840</v>
      </c>
      <c r="M241" s="66">
        <f>13300</f>
        <v>13300</v>
      </c>
      <c r="N241" s="67" t="s">
        <v>833</v>
      </c>
      <c r="O241" s="66">
        <f>12300</f>
        <v>12300</v>
      </c>
      <c r="P241" s="67" t="s">
        <v>72</v>
      </c>
      <c r="Q241" s="66">
        <f>12770</f>
        <v>12770</v>
      </c>
      <c r="R241" s="67" t="s">
        <v>50</v>
      </c>
      <c r="S241" s="68">
        <f>12761.36</f>
        <v>12761.36</v>
      </c>
      <c r="T241" s="65">
        <f>3432</f>
        <v>3432</v>
      </c>
      <c r="U241" s="65" t="str">
        <f t="shared" si="14"/>
        <v>－</v>
      </c>
      <c r="V241" s="65">
        <f>43961290</f>
        <v>43961290</v>
      </c>
      <c r="W241" s="65" t="str">
        <f t="shared" si="15"/>
        <v>－</v>
      </c>
      <c r="X241" s="69">
        <f>22</f>
        <v>22</v>
      </c>
    </row>
    <row r="242" spans="1:24">
      <c r="A242" s="60" t="s">
        <v>934</v>
      </c>
      <c r="B242" s="60" t="s">
        <v>710</v>
      </c>
      <c r="C242" s="60" t="s">
        <v>711</v>
      </c>
      <c r="D242" s="60" t="s">
        <v>712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</v>
      </c>
      <c r="K242" s="66">
        <f>1798</f>
        <v>1798</v>
      </c>
      <c r="L242" s="67" t="s">
        <v>840</v>
      </c>
      <c r="M242" s="66">
        <f>1899</f>
        <v>1899</v>
      </c>
      <c r="N242" s="67" t="s">
        <v>50</v>
      </c>
      <c r="O242" s="66">
        <f>1795</f>
        <v>1795</v>
      </c>
      <c r="P242" s="67" t="s">
        <v>100</v>
      </c>
      <c r="Q242" s="66">
        <f>1894</f>
        <v>1894</v>
      </c>
      <c r="R242" s="67" t="s">
        <v>50</v>
      </c>
      <c r="S242" s="68">
        <f>1825.55</f>
        <v>1825.55</v>
      </c>
      <c r="T242" s="65">
        <f>23036</f>
        <v>23036</v>
      </c>
      <c r="U242" s="65" t="str">
        <f t="shared" si="14"/>
        <v>－</v>
      </c>
      <c r="V242" s="65">
        <f>42046926</f>
        <v>42046926</v>
      </c>
      <c r="W242" s="65" t="str">
        <f t="shared" si="15"/>
        <v>－</v>
      </c>
      <c r="X242" s="69">
        <f>22</f>
        <v>22</v>
      </c>
    </row>
    <row r="243" spans="1:24">
      <c r="A243" s="60" t="s">
        <v>934</v>
      </c>
      <c r="B243" s="60" t="s">
        <v>713</v>
      </c>
      <c r="C243" s="60" t="s">
        <v>714</v>
      </c>
      <c r="D243" s="60" t="s">
        <v>715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f>1750</f>
        <v>1750</v>
      </c>
      <c r="L243" s="67" t="s">
        <v>840</v>
      </c>
      <c r="M243" s="66">
        <f>1853</f>
        <v>1853</v>
      </c>
      <c r="N243" s="67" t="s">
        <v>833</v>
      </c>
      <c r="O243" s="66">
        <f>1280</f>
        <v>1280</v>
      </c>
      <c r="P243" s="67" t="s">
        <v>309</v>
      </c>
      <c r="Q243" s="66">
        <f>1340</f>
        <v>1340</v>
      </c>
      <c r="R243" s="67" t="s">
        <v>50</v>
      </c>
      <c r="S243" s="68">
        <f>1427.27</f>
        <v>1427.27</v>
      </c>
      <c r="T243" s="65">
        <f>19110</f>
        <v>19110</v>
      </c>
      <c r="U243" s="65" t="str">
        <f t="shared" si="14"/>
        <v>－</v>
      </c>
      <c r="V243" s="65">
        <f>27135130</f>
        <v>27135130</v>
      </c>
      <c r="W243" s="65" t="str">
        <f t="shared" si="15"/>
        <v>－</v>
      </c>
      <c r="X243" s="69">
        <f>22</f>
        <v>22</v>
      </c>
    </row>
    <row r="244" spans="1:24">
      <c r="A244" s="60" t="s">
        <v>934</v>
      </c>
      <c r="B244" s="60" t="s">
        <v>716</v>
      </c>
      <c r="C244" s="60" t="s">
        <v>717</v>
      </c>
      <c r="D244" s="60" t="s">
        <v>718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1034</f>
        <v>1034</v>
      </c>
      <c r="L244" s="67" t="s">
        <v>840</v>
      </c>
      <c r="M244" s="66">
        <f>1035</f>
        <v>1035</v>
      </c>
      <c r="N244" s="67" t="s">
        <v>816</v>
      </c>
      <c r="O244" s="66">
        <f>1025</f>
        <v>1025</v>
      </c>
      <c r="P244" s="67" t="s">
        <v>79</v>
      </c>
      <c r="Q244" s="66">
        <f>1029</f>
        <v>1029</v>
      </c>
      <c r="R244" s="67" t="s">
        <v>50</v>
      </c>
      <c r="S244" s="68">
        <f>1028.55</f>
        <v>1028.55</v>
      </c>
      <c r="T244" s="65">
        <f>301240</f>
        <v>301240</v>
      </c>
      <c r="U244" s="65" t="str">
        <f t="shared" si="14"/>
        <v>－</v>
      </c>
      <c r="V244" s="65">
        <f>309847350</f>
        <v>309847350</v>
      </c>
      <c r="W244" s="65" t="str">
        <f t="shared" si="15"/>
        <v>－</v>
      </c>
      <c r="X244" s="69">
        <f>22</f>
        <v>22</v>
      </c>
    </row>
    <row r="245" spans="1:24">
      <c r="A245" s="60" t="s">
        <v>934</v>
      </c>
      <c r="B245" s="60" t="s">
        <v>719</v>
      </c>
      <c r="C245" s="60" t="s">
        <v>720</v>
      </c>
      <c r="D245" s="60" t="s">
        <v>721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10</v>
      </c>
      <c r="K245" s="66">
        <f>1724</f>
        <v>1724</v>
      </c>
      <c r="L245" s="67" t="s">
        <v>840</v>
      </c>
      <c r="M245" s="66">
        <f>1820</f>
        <v>1820</v>
      </c>
      <c r="N245" s="67" t="s">
        <v>50</v>
      </c>
      <c r="O245" s="66">
        <f>1713</f>
        <v>1713</v>
      </c>
      <c r="P245" s="67" t="s">
        <v>814</v>
      </c>
      <c r="Q245" s="66">
        <f>1819</f>
        <v>1819</v>
      </c>
      <c r="R245" s="67" t="s">
        <v>50</v>
      </c>
      <c r="S245" s="68">
        <f>1751.95</f>
        <v>1751.95</v>
      </c>
      <c r="T245" s="65">
        <f>25900</f>
        <v>25900</v>
      </c>
      <c r="U245" s="65" t="str">
        <f t="shared" si="14"/>
        <v>－</v>
      </c>
      <c r="V245" s="65">
        <f>45668380</f>
        <v>45668380</v>
      </c>
      <c r="W245" s="65" t="str">
        <f t="shared" si="15"/>
        <v>－</v>
      </c>
      <c r="X245" s="69">
        <f>22</f>
        <v>22</v>
      </c>
    </row>
    <row r="246" spans="1:24">
      <c r="A246" s="60" t="s">
        <v>934</v>
      </c>
      <c r="B246" s="60" t="s">
        <v>722</v>
      </c>
      <c r="C246" s="60" t="s">
        <v>723</v>
      </c>
      <c r="D246" s="60" t="s">
        <v>724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10</v>
      </c>
      <c r="K246" s="66">
        <f>1718</f>
        <v>1718</v>
      </c>
      <c r="L246" s="67" t="s">
        <v>840</v>
      </c>
      <c r="M246" s="66">
        <f>1850</f>
        <v>1850</v>
      </c>
      <c r="N246" s="67" t="s">
        <v>50</v>
      </c>
      <c r="O246" s="66">
        <f>1712</f>
        <v>1712</v>
      </c>
      <c r="P246" s="67" t="s">
        <v>814</v>
      </c>
      <c r="Q246" s="66">
        <f>1835</f>
        <v>1835</v>
      </c>
      <c r="R246" s="67" t="s">
        <v>50</v>
      </c>
      <c r="S246" s="68">
        <f>1748.59</f>
        <v>1748.59</v>
      </c>
      <c r="T246" s="65">
        <f>630200</f>
        <v>630200</v>
      </c>
      <c r="U246" s="65">
        <f>479900</f>
        <v>479900</v>
      </c>
      <c r="V246" s="65">
        <f>1105245531</f>
        <v>1105245531</v>
      </c>
      <c r="W246" s="65">
        <f>841715101</f>
        <v>841715101</v>
      </c>
      <c r="X246" s="69">
        <f>22</f>
        <v>22</v>
      </c>
    </row>
    <row r="247" spans="1:24">
      <c r="A247" s="60" t="s">
        <v>934</v>
      </c>
      <c r="B247" s="60" t="s">
        <v>725</v>
      </c>
      <c r="C247" s="60" t="s">
        <v>726</v>
      </c>
      <c r="D247" s="60" t="s">
        <v>727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10</v>
      </c>
      <c r="K247" s="66">
        <f>1784</f>
        <v>1784</v>
      </c>
      <c r="L247" s="67" t="s">
        <v>833</v>
      </c>
      <c r="M247" s="66">
        <f>1817</f>
        <v>1817</v>
      </c>
      <c r="N247" s="67" t="s">
        <v>50</v>
      </c>
      <c r="O247" s="66">
        <f>1766</f>
        <v>1766</v>
      </c>
      <c r="P247" s="67" t="s">
        <v>119</v>
      </c>
      <c r="Q247" s="66">
        <f>1817</f>
        <v>1817</v>
      </c>
      <c r="R247" s="67" t="s">
        <v>50</v>
      </c>
      <c r="S247" s="68">
        <f>1793.17</f>
        <v>1793.17</v>
      </c>
      <c r="T247" s="65">
        <f>202820</f>
        <v>202820</v>
      </c>
      <c r="U247" s="65">
        <f>121230</f>
        <v>121230</v>
      </c>
      <c r="V247" s="65">
        <f>360603350</f>
        <v>360603350</v>
      </c>
      <c r="W247" s="65">
        <f>215561250</f>
        <v>215561250</v>
      </c>
      <c r="X247" s="69">
        <f>6</f>
        <v>6</v>
      </c>
    </row>
    <row r="248" spans="1:24">
      <c r="A248" s="60" t="s">
        <v>934</v>
      </c>
      <c r="B248" s="60" t="s">
        <v>728</v>
      </c>
      <c r="C248" s="60" t="s">
        <v>729</v>
      </c>
      <c r="D248" s="60" t="s">
        <v>730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</v>
      </c>
      <c r="K248" s="66">
        <f>10890</f>
        <v>10890</v>
      </c>
      <c r="L248" s="67" t="s">
        <v>840</v>
      </c>
      <c r="M248" s="66">
        <f>11120</f>
        <v>11120</v>
      </c>
      <c r="N248" s="67" t="s">
        <v>245</v>
      </c>
      <c r="O248" s="66">
        <f>10820</f>
        <v>10820</v>
      </c>
      <c r="P248" s="67" t="s">
        <v>86</v>
      </c>
      <c r="Q248" s="66">
        <f>11040</f>
        <v>11040</v>
      </c>
      <c r="R248" s="67" t="s">
        <v>50</v>
      </c>
      <c r="S248" s="68">
        <f>10946.36</f>
        <v>10946.36</v>
      </c>
      <c r="T248" s="65">
        <f>190247</f>
        <v>190247</v>
      </c>
      <c r="U248" s="65">
        <f>27208</f>
        <v>27208</v>
      </c>
      <c r="V248" s="65">
        <f>2085907262</f>
        <v>2085907262</v>
      </c>
      <c r="W248" s="65">
        <f>299802522</f>
        <v>299802522</v>
      </c>
      <c r="X248" s="69">
        <f>22</f>
        <v>22</v>
      </c>
    </row>
    <row r="249" spans="1:24">
      <c r="A249" s="60" t="s">
        <v>934</v>
      </c>
      <c r="B249" s="60" t="s">
        <v>734</v>
      </c>
      <c r="C249" s="60" t="s">
        <v>735</v>
      </c>
      <c r="D249" s="60" t="s">
        <v>736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</v>
      </c>
      <c r="K249" s="66">
        <f>10640</f>
        <v>10640</v>
      </c>
      <c r="L249" s="67" t="s">
        <v>840</v>
      </c>
      <c r="M249" s="66">
        <f>11010</f>
        <v>11010</v>
      </c>
      <c r="N249" s="67" t="s">
        <v>245</v>
      </c>
      <c r="O249" s="66">
        <f>10630</f>
        <v>10630</v>
      </c>
      <c r="P249" s="67" t="s">
        <v>86</v>
      </c>
      <c r="Q249" s="66">
        <f>10980</f>
        <v>10980</v>
      </c>
      <c r="R249" s="67" t="s">
        <v>50</v>
      </c>
      <c r="S249" s="68">
        <f>10788.64</f>
        <v>10788.64</v>
      </c>
      <c r="T249" s="65">
        <f>93117</f>
        <v>93117</v>
      </c>
      <c r="U249" s="65">
        <f>10407</f>
        <v>10407</v>
      </c>
      <c r="V249" s="65">
        <f>1003565401</f>
        <v>1003565401</v>
      </c>
      <c r="W249" s="65">
        <f>111239321</f>
        <v>111239321</v>
      </c>
      <c r="X249" s="69">
        <f>22</f>
        <v>22</v>
      </c>
    </row>
    <row r="250" spans="1:24">
      <c r="A250" s="60" t="s">
        <v>934</v>
      </c>
      <c r="B250" s="60" t="s">
        <v>824</v>
      </c>
      <c r="C250" s="60" t="s">
        <v>825</v>
      </c>
      <c r="D250" s="60" t="s">
        <v>826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23560</f>
        <v>23560</v>
      </c>
      <c r="L250" s="67" t="s">
        <v>840</v>
      </c>
      <c r="M250" s="66">
        <f>24200</f>
        <v>24200</v>
      </c>
      <c r="N250" s="67" t="s">
        <v>245</v>
      </c>
      <c r="O250" s="66">
        <f>23370</f>
        <v>23370</v>
      </c>
      <c r="P250" s="67" t="s">
        <v>65</v>
      </c>
      <c r="Q250" s="66">
        <f>24150</f>
        <v>24150</v>
      </c>
      <c r="R250" s="67" t="s">
        <v>50</v>
      </c>
      <c r="S250" s="68">
        <f>23728.67</f>
        <v>23728.67</v>
      </c>
      <c r="T250" s="65">
        <f>225</f>
        <v>225</v>
      </c>
      <c r="U250" s="65" t="str">
        <f>"－"</f>
        <v>－</v>
      </c>
      <c r="V250" s="65">
        <f>5354510</f>
        <v>5354510</v>
      </c>
      <c r="W250" s="65" t="str">
        <f>"－"</f>
        <v>－</v>
      </c>
      <c r="X250" s="69">
        <f>15</f>
        <v>15</v>
      </c>
    </row>
    <row r="251" spans="1:24">
      <c r="A251" s="60" t="s">
        <v>934</v>
      </c>
      <c r="B251" s="60" t="s">
        <v>828</v>
      </c>
      <c r="C251" s="60" t="s">
        <v>829</v>
      </c>
      <c r="D251" s="60" t="s">
        <v>830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</v>
      </c>
      <c r="K251" s="66">
        <f>2732</f>
        <v>2732</v>
      </c>
      <c r="L251" s="67" t="s">
        <v>840</v>
      </c>
      <c r="M251" s="66">
        <f>2742</f>
        <v>2742</v>
      </c>
      <c r="N251" s="67" t="s">
        <v>816</v>
      </c>
      <c r="O251" s="66">
        <f>2727</f>
        <v>2727</v>
      </c>
      <c r="P251" s="67" t="s">
        <v>100</v>
      </c>
      <c r="Q251" s="66">
        <f>2734</f>
        <v>2734</v>
      </c>
      <c r="R251" s="67" t="s">
        <v>50</v>
      </c>
      <c r="S251" s="68">
        <f>2734.77</f>
        <v>2734.77</v>
      </c>
      <c r="T251" s="65">
        <f>1075299</f>
        <v>1075299</v>
      </c>
      <c r="U251" s="65">
        <f>805605</f>
        <v>805605</v>
      </c>
      <c r="V251" s="65">
        <f>2942275040</f>
        <v>2942275040</v>
      </c>
      <c r="W251" s="65">
        <f>2204363840</f>
        <v>2204363840</v>
      </c>
      <c r="X251" s="69">
        <f>22</f>
        <v>22</v>
      </c>
    </row>
    <row r="252" spans="1:24">
      <c r="A252" s="60" t="s">
        <v>934</v>
      </c>
      <c r="B252" s="60" t="s">
        <v>835</v>
      </c>
      <c r="C252" s="60" t="s">
        <v>836</v>
      </c>
      <c r="D252" s="60" t="s">
        <v>837</v>
      </c>
      <c r="E252" s="61" t="s">
        <v>46</v>
      </c>
      <c r="F252" s="62" t="s">
        <v>46</v>
      </c>
      <c r="G252" s="63" t="s">
        <v>46</v>
      </c>
      <c r="H252" s="64"/>
      <c r="I252" s="64" t="s">
        <v>47</v>
      </c>
      <c r="J252" s="65">
        <v>10</v>
      </c>
      <c r="K252" s="66">
        <f>2572</f>
        <v>2572</v>
      </c>
      <c r="L252" s="67" t="s">
        <v>840</v>
      </c>
      <c r="M252" s="66">
        <f>2648</f>
        <v>2648</v>
      </c>
      <c r="N252" s="67" t="s">
        <v>245</v>
      </c>
      <c r="O252" s="66">
        <f>2566</f>
        <v>2566</v>
      </c>
      <c r="P252" s="67" t="s">
        <v>833</v>
      </c>
      <c r="Q252" s="66">
        <f>2633</f>
        <v>2633</v>
      </c>
      <c r="R252" s="67" t="s">
        <v>50</v>
      </c>
      <c r="S252" s="68">
        <f>2606.55</f>
        <v>2606.5500000000002</v>
      </c>
      <c r="T252" s="65">
        <f>2320760</f>
        <v>2320760</v>
      </c>
      <c r="U252" s="65">
        <f>272000</f>
        <v>272000</v>
      </c>
      <c r="V252" s="65">
        <f>6059833170</f>
        <v>6059833170</v>
      </c>
      <c r="W252" s="65">
        <f>712352200</f>
        <v>712352200</v>
      </c>
      <c r="X252" s="69">
        <f>22</f>
        <v>22</v>
      </c>
    </row>
    <row r="253" spans="1:24">
      <c r="A253" s="60" t="s">
        <v>934</v>
      </c>
      <c r="B253" s="60" t="s">
        <v>849</v>
      </c>
      <c r="C253" s="60" t="s">
        <v>850</v>
      </c>
      <c r="D253" s="60" t="s">
        <v>851</v>
      </c>
      <c r="E253" s="61" t="s">
        <v>46</v>
      </c>
      <c r="F253" s="62" t="s">
        <v>46</v>
      </c>
      <c r="G253" s="63" t="s">
        <v>46</v>
      </c>
      <c r="H253" s="64"/>
      <c r="I253" s="64" t="s">
        <v>47</v>
      </c>
      <c r="J253" s="65">
        <v>1</v>
      </c>
      <c r="K253" s="66">
        <f>2361</f>
        <v>2361</v>
      </c>
      <c r="L253" s="67" t="s">
        <v>840</v>
      </c>
      <c r="M253" s="66">
        <f>2434</f>
        <v>2434</v>
      </c>
      <c r="N253" s="67" t="s">
        <v>245</v>
      </c>
      <c r="O253" s="66">
        <f>2360</f>
        <v>2360</v>
      </c>
      <c r="P253" s="67" t="s">
        <v>840</v>
      </c>
      <c r="Q253" s="66">
        <f>2424</f>
        <v>2424</v>
      </c>
      <c r="R253" s="67" t="s">
        <v>50</v>
      </c>
      <c r="S253" s="68">
        <f>2393.95</f>
        <v>2393.9499999999998</v>
      </c>
      <c r="T253" s="65">
        <f>2229474</f>
        <v>2229474</v>
      </c>
      <c r="U253" s="65">
        <f>1600906</f>
        <v>1600906</v>
      </c>
      <c r="V253" s="65">
        <f>5347069764</f>
        <v>5347069764</v>
      </c>
      <c r="W253" s="65">
        <f>3838046104</f>
        <v>3838046104</v>
      </c>
      <c r="X253" s="69">
        <f>22</f>
        <v>22</v>
      </c>
    </row>
    <row r="254" spans="1:24">
      <c r="A254" s="60" t="s">
        <v>934</v>
      </c>
      <c r="B254" s="60" t="s">
        <v>865</v>
      </c>
      <c r="C254" s="60" t="s">
        <v>866</v>
      </c>
      <c r="D254" s="60" t="s">
        <v>867</v>
      </c>
      <c r="E254" s="61" t="s">
        <v>46</v>
      </c>
      <c r="F254" s="62" t="s">
        <v>46</v>
      </c>
      <c r="G254" s="63" t="s">
        <v>46</v>
      </c>
      <c r="H254" s="64"/>
      <c r="I254" s="64" t="s">
        <v>47</v>
      </c>
      <c r="J254" s="65">
        <v>1</v>
      </c>
      <c r="K254" s="66">
        <f>1573</f>
        <v>1573</v>
      </c>
      <c r="L254" s="67" t="s">
        <v>840</v>
      </c>
      <c r="M254" s="66">
        <f>1623</f>
        <v>1623</v>
      </c>
      <c r="N254" s="67" t="s">
        <v>150</v>
      </c>
      <c r="O254" s="66">
        <f>1573</f>
        <v>1573</v>
      </c>
      <c r="P254" s="67" t="s">
        <v>840</v>
      </c>
      <c r="Q254" s="66">
        <f>1620</f>
        <v>1620</v>
      </c>
      <c r="R254" s="67" t="s">
        <v>50</v>
      </c>
      <c r="S254" s="68">
        <f>1598.41</f>
        <v>1598.41</v>
      </c>
      <c r="T254" s="65">
        <f>17935</f>
        <v>17935</v>
      </c>
      <c r="U254" s="65" t="str">
        <f>"－"</f>
        <v>－</v>
      </c>
      <c r="V254" s="65">
        <f>28328351</f>
        <v>28328351</v>
      </c>
      <c r="W254" s="65" t="str">
        <f>"－"</f>
        <v>－</v>
      </c>
      <c r="X254" s="69">
        <f>22</f>
        <v>22</v>
      </c>
    </row>
    <row r="255" spans="1:24">
      <c r="A255" s="60" t="s">
        <v>934</v>
      </c>
      <c r="B255" s="60" t="s">
        <v>869</v>
      </c>
      <c r="C255" s="60" t="s">
        <v>870</v>
      </c>
      <c r="D255" s="60" t="s">
        <v>871</v>
      </c>
      <c r="E255" s="61" t="s">
        <v>46</v>
      </c>
      <c r="F255" s="62" t="s">
        <v>46</v>
      </c>
      <c r="G255" s="63" t="s">
        <v>46</v>
      </c>
      <c r="H255" s="64"/>
      <c r="I255" s="64" t="s">
        <v>47</v>
      </c>
      <c r="J255" s="65">
        <v>1</v>
      </c>
      <c r="K255" s="66">
        <f>1002</f>
        <v>1002</v>
      </c>
      <c r="L255" s="67" t="s">
        <v>840</v>
      </c>
      <c r="M255" s="66">
        <f>1038</f>
        <v>1038</v>
      </c>
      <c r="N255" s="67" t="s">
        <v>50</v>
      </c>
      <c r="O255" s="66">
        <f>978</f>
        <v>978</v>
      </c>
      <c r="P255" s="67" t="s">
        <v>61</v>
      </c>
      <c r="Q255" s="66">
        <f>1037</f>
        <v>1037</v>
      </c>
      <c r="R255" s="67" t="s">
        <v>50</v>
      </c>
      <c r="S255" s="68">
        <f>1002.32</f>
        <v>1002.32</v>
      </c>
      <c r="T255" s="65">
        <f>142061</f>
        <v>142061</v>
      </c>
      <c r="U255" s="65" t="str">
        <f>"－"</f>
        <v>－</v>
      </c>
      <c r="V255" s="65">
        <f>141580839</f>
        <v>141580839</v>
      </c>
      <c r="W255" s="65" t="str">
        <f>"－"</f>
        <v>－</v>
      </c>
      <c r="X255" s="69">
        <f>22</f>
        <v>22</v>
      </c>
    </row>
    <row r="256" spans="1:24">
      <c r="A256" s="60" t="s">
        <v>934</v>
      </c>
      <c r="B256" s="60" t="s">
        <v>887</v>
      </c>
      <c r="C256" s="60" t="s">
        <v>888</v>
      </c>
      <c r="D256" s="60" t="s">
        <v>889</v>
      </c>
      <c r="E256" s="61" t="s">
        <v>46</v>
      </c>
      <c r="F256" s="62" t="s">
        <v>46</v>
      </c>
      <c r="G256" s="63" t="s">
        <v>46</v>
      </c>
      <c r="H256" s="64"/>
      <c r="I256" s="64" t="s">
        <v>47</v>
      </c>
      <c r="J256" s="65">
        <v>10</v>
      </c>
      <c r="K256" s="66">
        <f>952</f>
        <v>952</v>
      </c>
      <c r="L256" s="67" t="s">
        <v>840</v>
      </c>
      <c r="M256" s="66">
        <f>1004</f>
        <v>1004</v>
      </c>
      <c r="N256" s="67" t="s">
        <v>50</v>
      </c>
      <c r="O256" s="66">
        <f>948</f>
        <v>948</v>
      </c>
      <c r="P256" s="67" t="s">
        <v>814</v>
      </c>
      <c r="Q256" s="66">
        <f>1004</f>
        <v>1004</v>
      </c>
      <c r="R256" s="67" t="s">
        <v>50</v>
      </c>
      <c r="S256" s="68">
        <f>965.77</f>
        <v>965.77</v>
      </c>
      <c r="T256" s="65">
        <f>207080</f>
        <v>207080</v>
      </c>
      <c r="U256" s="65" t="str">
        <f>"－"</f>
        <v>－</v>
      </c>
      <c r="V256" s="65">
        <f>200272120</f>
        <v>200272120</v>
      </c>
      <c r="W256" s="65" t="str">
        <f>"－"</f>
        <v>－</v>
      </c>
      <c r="X256" s="69">
        <f>22</f>
        <v>22</v>
      </c>
    </row>
    <row r="257" spans="1:24">
      <c r="A257" s="60" t="s">
        <v>934</v>
      </c>
      <c r="B257" s="60" t="s">
        <v>891</v>
      </c>
      <c r="C257" s="60" t="s">
        <v>892</v>
      </c>
      <c r="D257" s="60" t="s">
        <v>893</v>
      </c>
      <c r="E257" s="61" t="s">
        <v>46</v>
      </c>
      <c r="F257" s="62" t="s">
        <v>46</v>
      </c>
      <c r="G257" s="63" t="s">
        <v>46</v>
      </c>
      <c r="H257" s="64"/>
      <c r="I257" s="64" t="s">
        <v>47</v>
      </c>
      <c r="J257" s="65">
        <v>10</v>
      </c>
      <c r="K257" s="66">
        <f>225</f>
        <v>225</v>
      </c>
      <c r="L257" s="67" t="s">
        <v>840</v>
      </c>
      <c r="M257" s="66">
        <f>369</f>
        <v>369</v>
      </c>
      <c r="N257" s="67" t="s">
        <v>95</v>
      </c>
      <c r="O257" s="66">
        <f>224</f>
        <v>224</v>
      </c>
      <c r="P257" s="67" t="s">
        <v>100</v>
      </c>
      <c r="Q257" s="66">
        <f>255</f>
        <v>255</v>
      </c>
      <c r="R257" s="67" t="s">
        <v>50</v>
      </c>
      <c r="S257" s="68">
        <f>248.18</f>
        <v>248.18</v>
      </c>
      <c r="T257" s="65">
        <f>634630</f>
        <v>634630</v>
      </c>
      <c r="U257" s="65" t="str">
        <f>"－"</f>
        <v>－</v>
      </c>
      <c r="V257" s="65">
        <f>181924740</f>
        <v>181924740</v>
      </c>
      <c r="W257" s="65" t="str">
        <f>"－"</f>
        <v>－</v>
      </c>
      <c r="X257" s="69">
        <f>22</f>
        <v>22</v>
      </c>
    </row>
    <row r="258" spans="1:24">
      <c r="A258" s="60" t="s">
        <v>934</v>
      </c>
      <c r="B258" s="60" t="s">
        <v>895</v>
      </c>
      <c r="C258" s="60" t="s">
        <v>896</v>
      </c>
      <c r="D258" s="60" t="s">
        <v>897</v>
      </c>
      <c r="E258" s="61" t="s">
        <v>46</v>
      </c>
      <c r="F258" s="62" t="s">
        <v>46</v>
      </c>
      <c r="G258" s="63" t="s">
        <v>46</v>
      </c>
      <c r="H258" s="64"/>
      <c r="I258" s="64" t="s">
        <v>47</v>
      </c>
      <c r="J258" s="65">
        <v>10</v>
      </c>
      <c r="K258" s="66">
        <f>2218</f>
        <v>2218</v>
      </c>
      <c r="L258" s="67" t="s">
        <v>840</v>
      </c>
      <c r="M258" s="66">
        <f>2405</f>
        <v>2405</v>
      </c>
      <c r="N258" s="67" t="s">
        <v>50</v>
      </c>
      <c r="O258" s="66">
        <f>2213</f>
        <v>2213</v>
      </c>
      <c r="P258" s="67" t="s">
        <v>834</v>
      </c>
      <c r="Q258" s="66">
        <f>2300</f>
        <v>2300</v>
      </c>
      <c r="R258" s="67" t="s">
        <v>50</v>
      </c>
      <c r="S258" s="68">
        <f>2253.95</f>
        <v>2253.9499999999998</v>
      </c>
      <c r="T258" s="65">
        <f>597400</f>
        <v>597400</v>
      </c>
      <c r="U258" s="65" t="str">
        <f>"－"</f>
        <v>－</v>
      </c>
      <c r="V258" s="65">
        <f>1348999430</f>
        <v>1348999430</v>
      </c>
      <c r="W258" s="65" t="str">
        <f>"－"</f>
        <v>－</v>
      </c>
      <c r="X258" s="69">
        <f>22</f>
        <v>22</v>
      </c>
    </row>
    <row r="259" spans="1:24">
      <c r="A259" s="60" t="s">
        <v>934</v>
      </c>
      <c r="B259" s="60" t="s">
        <v>899</v>
      </c>
      <c r="C259" s="60" t="s">
        <v>900</v>
      </c>
      <c r="D259" s="60" t="s">
        <v>901</v>
      </c>
      <c r="E259" s="61" t="s">
        <v>46</v>
      </c>
      <c r="F259" s="62" t="s">
        <v>46</v>
      </c>
      <c r="G259" s="63" t="s">
        <v>46</v>
      </c>
      <c r="H259" s="64"/>
      <c r="I259" s="64" t="s">
        <v>47</v>
      </c>
      <c r="J259" s="65">
        <v>10</v>
      </c>
      <c r="K259" s="66">
        <f>2226</f>
        <v>2226</v>
      </c>
      <c r="L259" s="67" t="s">
        <v>840</v>
      </c>
      <c r="M259" s="66">
        <f>2361</f>
        <v>2361</v>
      </c>
      <c r="N259" s="67" t="s">
        <v>245</v>
      </c>
      <c r="O259" s="66">
        <f>2222</f>
        <v>2222</v>
      </c>
      <c r="P259" s="67" t="s">
        <v>61</v>
      </c>
      <c r="Q259" s="66">
        <f>2321</f>
        <v>2321</v>
      </c>
      <c r="R259" s="67" t="s">
        <v>50</v>
      </c>
      <c r="S259" s="68">
        <f>2273.59</f>
        <v>2273.59</v>
      </c>
      <c r="T259" s="65">
        <f>2436120</f>
        <v>2436120</v>
      </c>
      <c r="U259" s="65">
        <f>1285130</f>
        <v>1285130</v>
      </c>
      <c r="V259" s="65">
        <f>5563508708</f>
        <v>5563508708</v>
      </c>
      <c r="W259" s="65">
        <f>2947055618</f>
        <v>2947055618</v>
      </c>
      <c r="X259" s="69">
        <f>22</f>
        <v>22</v>
      </c>
    </row>
    <row r="260" spans="1:24">
      <c r="A260" s="60" t="s">
        <v>934</v>
      </c>
      <c r="B260" s="60" t="s">
        <v>903</v>
      </c>
      <c r="C260" s="60" t="s">
        <v>904</v>
      </c>
      <c r="D260" s="60" t="s">
        <v>905</v>
      </c>
      <c r="E260" s="61" t="s">
        <v>46</v>
      </c>
      <c r="F260" s="62" t="s">
        <v>46</v>
      </c>
      <c r="G260" s="63" t="s">
        <v>46</v>
      </c>
      <c r="H260" s="64"/>
      <c r="I260" s="64" t="s">
        <v>47</v>
      </c>
      <c r="J260" s="65">
        <v>1</v>
      </c>
      <c r="K260" s="66">
        <f>2485</f>
        <v>2485</v>
      </c>
      <c r="L260" s="67" t="s">
        <v>840</v>
      </c>
      <c r="M260" s="66">
        <f>2506</f>
        <v>2506</v>
      </c>
      <c r="N260" s="67" t="s">
        <v>833</v>
      </c>
      <c r="O260" s="66">
        <f>2435</f>
        <v>2435</v>
      </c>
      <c r="P260" s="67" t="s">
        <v>150</v>
      </c>
      <c r="Q260" s="66">
        <f>2452</f>
        <v>2452</v>
      </c>
      <c r="R260" s="67" t="s">
        <v>50</v>
      </c>
      <c r="S260" s="68">
        <f>2467.36</f>
        <v>2467.36</v>
      </c>
      <c r="T260" s="65">
        <f>208286</f>
        <v>208286</v>
      </c>
      <c r="U260" s="65">
        <f>203000</f>
        <v>203000</v>
      </c>
      <c r="V260" s="65">
        <f>512518039</f>
        <v>512518039</v>
      </c>
      <c r="W260" s="65">
        <f>499522100</f>
        <v>499522100</v>
      </c>
      <c r="X260" s="69">
        <f>22</f>
        <v>22</v>
      </c>
    </row>
    <row r="261" spans="1:24">
      <c r="A261" s="60" t="s">
        <v>934</v>
      </c>
      <c r="B261" s="60" t="s">
        <v>907</v>
      </c>
      <c r="C261" s="60" t="s">
        <v>908</v>
      </c>
      <c r="D261" s="60" t="s">
        <v>909</v>
      </c>
      <c r="E261" s="61" t="s">
        <v>46</v>
      </c>
      <c r="F261" s="62" t="s">
        <v>46</v>
      </c>
      <c r="G261" s="63" t="s">
        <v>46</v>
      </c>
      <c r="H261" s="64"/>
      <c r="I261" s="64" t="s">
        <v>47</v>
      </c>
      <c r="J261" s="65">
        <v>1</v>
      </c>
      <c r="K261" s="66">
        <f>2486</f>
        <v>2486</v>
      </c>
      <c r="L261" s="67" t="s">
        <v>840</v>
      </c>
      <c r="M261" s="66">
        <f>2486</f>
        <v>2486</v>
      </c>
      <c r="N261" s="67" t="s">
        <v>840</v>
      </c>
      <c r="O261" s="66">
        <f>2403</f>
        <v>2403</v>
      </c>
      <c r="P261" s="67" t="s">
        <v>818</v>
      </c>
      <c r="Q261" s="66">
        <f>2445</f>
        <v>2445</v>
      </c>
      <c r="R261" s="67" t="s">
        <v>50</v>
      </c>
      <c r="S261" s="68">
        <f>2437.68</f>
        <v>2437.6799999999998</v>
      </c>
      <c r="T261" s="65">
        <f>27560</f>
        <v>27560</v>
      </c>
      <c r="U261" s="65" t="str">
        <f>"－"</f>
        <v>－</v>
      </c>
      <c r="V261" s="65">
        <f>67067715</f>
        <v>67067715</v>
      </c>
      <c r="W261" s="65" t="str">
        <f>"－"</f>
        <v>－</v>
      </c>
      <c r="X261" s="69">
        <f>22</f>
        <v>22</v>
      </c>
    </row>
    <row r="262" spans="1:24">
      <c r="A262" s="60" t="s">
        <v>934</v>
      </c>
      <c r="B262" s="60" t="s">
        <v>910</v>
      </c>
      <c r="C262" s="60" t="s">
        <v>911</v>
      </c>
      <c r="D262" s="60" t="s">
        <v>912</v>
      </c>
      <c r="E262" s="61" t="s">
        <v>46</v>
      </c>
      <c r="F262" s="62" t="s">
        <v>46</v>
      </c>
      <c r="G262" s="63" t="s">
        <v>46</v>
      </c>
      <c r="H262" s="64"/>
      <c r="I262" s="64" t="s">
        <v>47</v>
      </c>
      <c r="J262" s="65">
        <v>1</v>
      </c>
      <c r="K262" s="66">
        <f>2569</f>
        <v>2569</v>
      </c>
      <c r="L262" s="67" t="s">
        <v>840</v>
      </c>
      <c r="M262" s="66">
        <f>3000</f>
        <v>3000</v>
      </c>
      <c r="N262" s="67" t="s">
        <v>72</v>
      </c>
      <c r="O262" s="66">
        <f>2549</f>
        <v>2549</v>
      </c>
      <c r="P262" s="67" t="s">
        <v>840</v>
      </c>
      <c r="Q262" s="66">
        <f>2621</f>
        <v>2621</v>
      </c>
      <c r="R262" s="67" t="s">
        <v>50</v>
      </c>
      <c r="S262" s="68">
        <f>2603.1</f>
        <v>2603.1</v>
      </c>
      <c r="T262" s="65">
        <f>141229</f>
        <v>141229</v>
      </c>
      <c r="U262" s="65">
        <f>140000</f>
        <v>140000</v>
      </c>
      <c r="V262" s="65">
        <f>364942175</f>
        <v>364942175</v>
      </c>
      <c r="W262" s="65">
        <f>361738650</f>
        <v>361738650</v>
      </c>
      <c r="X262" s="69">
        <f>21</f>
        <v>21</v>
      </c>
    </row>
    <row r="263" spans="1:24">
      <c r="A263" s="60" t="s">
        <v>934</v>
      </c>
      <c r="B263" s="60" t="s">
        <v>913</v>
      </c>
      <c r="C263" s="60" t="s">
        <v>914</v>
      </c>
      <c r="D263" s="60" t="s">
        <v>915</v>
      </c>
      <c r="E263" s="61" t="s">
        <v>46</v>
      </c>
      <c r="F263" s="62" t="s">
        <v>46</v>
      </c>
      <c r="G263" s="63" t="s">
        <v>46</v>
      </c>
      <c r="H263" s="64"/>
      <c r="I263" s="64" t="s">
        <v>47</v>
      </c>
      <c r="J263" s="65">
        <v>1</v>
      </c>
      <c r="K263" s="66">
        <f>2522</f>
        <v>2522</v>
      </c>
      <c r="L263" s="67" t="s">
        <v>840</v>
      </c>
      <c r="M263" s="66">
        <f>2559</f>
        <v>2559</v>
      </c>
      <c r="N263" s="67" t="s">
        <v>818</v>
      </c>
      <c r="O263" s="66">
        <f>2522</f>
        <v>2522</v>
      </c>
      <c r="P263" s="67" t="s">
        <v>840</v>
      </c>
      <c r="Q263" s="66">
        <f>2537</f>
        <v>2537</v>
      </c>
      <c r="R263" s="67" t="s">
        <v>50</v>
      </c>
      <c r="S263" s="68">
        <f>2539</f>
        <v>2539</v>
      </c>
      <c r="T263" s="65">
        <f>1684</f>
        <v>1684</v>
      </c>
      <c r="U263" s="65" t="str">
        <f>"－"</f>
        <v>－</v>
      </c>
      <c r="V263" s="65">
        <f>4285967</f>
        <v>4285967</v>
      </c>
      <c r="W263" s="65" t="str">
        <f>"－"</f>
        <v>－</v>
      </c>
      <c r="X263" s="69">
        <f>20</f>
        <v>20</v>
      </c>
    </row>
    <row r="264" spans="1:24">
      <c r="A264" s="60" t="s">
        <v>934</v>
      </c>
      <c r="B264" s="60" t="s">
        <v>927</v>
      </c>
      <c r="C264" s="60" t="s">
        <v>928</v>
      </c>
      <c r="D264" s="60" t="s">
        <v>929</v>
      </c>
      <c r="E264" s="61" t="s">
        <v>46</v>
      </c>
      <c r="F264" s="62" t="s">
        <v>46</v>
      </c>
      <c r="G264" s="63" t="s">
        <v>46</v>
      </c>
      <c r="H264" s="64"/>
      <c r="I264" s="64" t="s">
        <v>47</v>
      </c>
      <c r="J264" s="65">
        <v>1</v>
      </c>
      <c r="K264" s="66">
        <f>2664</f>
        <v>2664</v>
      </c>
      <c r="L264" s="67" t="s">
        <v>840</v>
      </c>
      <c r="M264" s="66">
        <f>2762</f>
        <v>2762</v>
      </c>
      <c r="N264" s="67" t="s">
        <v>50</v>
      </c>
      <c r="O264" s="66">
        <f>2638</f>
        <v>2638</v>
      </c>
      <c r="P264" s="67" t="s">
        <v>309</v>
      </c>
      <c r="Q264" s="66">
        <f>2750</f>
        <v>2750</v>
      </c>
      <c r="R264" s="67" t="s">
        <v>50</v>
      </c>
      <c r="S264" s="68">
        <f>2677.45</f>
        <v>2677.45</v>
      </c>
      <c r="T264" s="65">
        <f>107804</f>
        <v>107804</v>
      </c>
      <c r="U264" s="65" t="str">
        <f>"－"</f>
        <v>－</v>
      </c>
      <c r="V264" s="65">
        <f>292776320</f>
        <v>292776320</v>
      </c>
      <c r="W264" s="65" t="str">
        <f>"－"</f>
        <v>－</v>
      </c>
      <c r="X264" s="69">
        <f>22</f>
        <v>22</v>
      </c>
    </row>
    <row r="265" spans="1:24">
      <c r="A265" s="60" t="s">
        <v>934</v>
      </c>
      <c r="B265" s="60" t="s">
        <v>931</v>
      </c>
      <c r="C265" s="60" t="s">
        <v>932</v>
      </c>
      <c r="D265" s="60" t="s">
        <v>933</v>
      </c>
      <c r="E265" s="61" t="s">
        <v>46</v>
      </c>
      <c r="F265" s="62" t="s">
        <v>46</v>
      </c>
      <c r="G265" s="63" t="s">
        <v>46</v>
      </c>
      <c r="H265" s="64"/>
      <c r="I265" s="64" t="s">
        <v>47</v>
      </c>
      <c r="J265" s="65">
        <v>1</v>
      </c>
      <c r="K265" s="66">
        <f>1767</f>
        <v>1767</v>
      </c>
      <c r="L265" s="67" t="s">
        <v>840</v>
      </c>
      <c r="M265" s="66">
        <f>1970</f>
        <v>1970</v>
      </c>
      <c r="N265" s="67" t="s">
        <v>245</v>
      </c>
      <c r="O265" s="66">
        <f>1753</f>
        <v>1753</v>
      </c>
      <c r="P265" s="67" t="s">
        <v>65</v>
      </c>
      <c r="Q265" s="66">
        <f>1808</f>
        <v>1808</v>
      </c>
      <c r="R265" s="67" t="s">
        <v>50</v>
      </c>
      <c r="S265" s="68">
        <f>1784.18</f>
        <v>1784.18</v>
      </c>
      <c r="T265" s="65">
        <f>242566</f>
        <v>242566</v>
      </c>
      <c r="U265" s="65" t="str">
        <f>"－"</f>
        <v>－</v>
      </c>
      <c r="V265" s="65">
        <f>450597071</f>
        <v>450597071</v>
      </c>
      <c r="W265" s="65" t="str">
        <f>"－"</f>
        <v>－</v>
      </c>
      <c r="X265" s="69">
        <f>22</f>
        <v>22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49C10-B40C-4965-A51E-3FE05AD6553E}">
  <sheetPr>
    <pageSetUpPr fitToPage="1"/>
  </sheetPr>
  <dimension ref="A1:X251"/>
  <sheetViews>
    <sheetView showGridLines="0" view="pageBreakPreview" zoomScaleNormal="70" zoomScaleSheetLayoutView="100" workbookViewId="0"/>
  </sheetViews>
  <sheetFormatPr defaultRowHeight="13.5"/>
  <cols>
    <col min="1" max="1" width="13.125" style="1" bestFit="1" customWidth="1"/>
    <col min="2" max="2" width="10.75" style="1" bestFit="1" customWidth="1"/>
    <col min="3" max="4" width="27.625" style="1" customWidth="1"/>
    <col min="5" max="5" width="13.75" style="1" bestFit="1" customWidth="1"/>
    <col min="6" max="6" width="20.75" style="1" bestFit="1" customWidth="1"/>
    <col min="7" max="7" width="11.25" style="1" customWidth="1"/>
    <col min="8" max="8" width="8.75" style="1" bestFit="1" customWidth="1"/>
    <col min="9" max="9" width="11.75" style="1" bestFit="1" customWidth="1"/>
    <col min="10" max="10" width="12.625" style="1" bestFit="1" customWidth="1"/>
    <col min="11" max="11" width="16.25" style="1" customWidth="1"/>
    <col min="12" max="12" width="5.625" style="1" bestFit="1" customWidth="1"/>
    <col min="13" max="13" width="16.25" style="1" customWidth="1"/>
    <col min="14" max="14" width="5.625" style="1" bestFit="1" customWidth="1"/>
    <col min="15" max="15" width="16.25" style="1" customWidth="1"/>
    <col min="16" max="16" width="5.625" style="1" bestFit="1" customWidth="1"/>
    <col min="17" max="17" width="16.25" style="1" customWidth="1"/>
    <col min="18" max="18" width="5.625" style="1" bestFit="1" customWidth="1"/>
    <col min="19" max="19" width="23.875" style="1" bestFit="1" customWidth="1"/>
    <col min="20" max="20" width="16.25" style="1" customWidth="1"/>
    <col min="21" max="21" width="24.125" style="1" customWidth="1"/>
    <col min="22" max="22" width="19.875" style="1" bestFit="1" customWidth="1"/>
    <col min="23" max="23" width="25" style="1" bestFit="1" customWidth="1"/>
    <col min="24" max="24" width="13.12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832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1561</f>
        <v>1561</v>
      </c>
      <c r="L7" s="67" t="s">
        <v>833</v>
      </c>
      <c r="M7" s="66">
        <f>1632</f>
        <v>1632</v>
      </c>
      <c r="N7" s="67" t="s">
        <v>814</v>
      </c>
      <c r="O7" s="66">
        <f>1261</f>
        <v>1261</v>
      </c>
      <c r="P7" s="67" t="s">
        <v>79</v>
      </c>
      <c r="Q7" s="66">
        <f>1490</f>
        <v>1490</v>
      </c>
      <c r="R7" s="67" t="s">
        <v>51</v>
      </c>
      <c r="S7" s="68">
        <f>1459.1</f>
        <v>1459.1</v>
      </c>
      <c r="T7" s="65">
        <f>17696820</f>
        <v>17696820</v>
      </c>
      <c r="U7" s="65">
        <f>10466780</f>
        <v>10466780</v>
      </c>
      <c r="V7" s="65">
        <f>25772981373</f>
        <v>25772981373</v>
      </c>
      <c r="W7" s="65">
        <f>15266483473</f>
        <v>15266483473</v>
      </c>
      <c r="X7" s="69">
        <f>21</f>
        <v>21</v>
      </c>
    </row>
    <row r="8" spans="1:24">
      <c r="A8" s="60" t="s">
        <v>832</v>
      </c>
      <c r="B8" s="60" t="s">
        <v>52</v>
      </c>
      <c r="C8" s="60" t="s">
        <v>53</v>
      </c>
      <c r="D8" s="60" t="s">
        <v>54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1541</f>
        <v>1541</v>
      </c>
      <c r="L8" s="67" t="s">
        <v>833</v>
      </c>
      <c r="M8" s="66">
        <f>1611</f>
        <v>1611</v>
      </c>
      <c r="N8" s="67" t="s">
        <v>814</v>
      </c>
      <c r="O8" s="66">
        <f>1244</f>
        <v>1244</v>
      </c>
      <c r="P8" s="67" t="s">
        <v>79</v>
      </c>
      <c r="Q8" s="66">
        <f>1473</f>
        <v>1473</v>
      </c>
      <c r="R8" s="67" t="s">
        <v>51</v>
      </c>
      <c r="S8" s="68">
        <f>1439.67</f>
        <v>1439.67</v>
      </c>
      <c r="T8" s="65">
        <f>158564560</f>
        <v>158564560</v>
      </c>
      <c r="U8" s="65">
        <f>26666980</f>
        <v>26666980</v>
      </c>
      <c r="V8" s="65">
        <f>225024098209</f>
        <v>225024098209</v>
      </c>
      <c r="W8" s="65">
        <f>39250814019</f>
        <v>39250814019</v>
      </c>
      <c r="X8" s="69">
        <f>21</f>
        <v>21</v>
      </c>
    </row>
    <row r="9" spans="1:24">
      <c r="A9" s="60" t="s">
        <v>832</v>
      </c>
      <c r="B9" s="60" t="s">
        <v>55</v>
      </c>
      <c r="C9" s="60" t="s">
        <v>56</v>
      </c>
      <c r="D9" s="60" t="s">
        <v>57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1525</f>
        <v>1525</v>
      </c>
      <c r="L9" s="67" t="s">
        <v>833</v>
      </c>
      <c r="M9" s="66">
        <f>1593</f>
        <v>1593</v>
      </c>
      <c r="N9" s="67" t="s">
        <v>814</v>
      </c>
      <c r="O9" s="66">
        <f>1231</f>
        <v>1231</v>
      </c>
      <c r="P9" s="67" t="s">
        <v>79</v>
      </c>
      <c r="Q9" s="66">
        <f>1456</f>
        <v>1456</v>
      </c>
      <c r="R9" s="67" t="s">
        <v>51</v>
      </c>
      <c r="S9" s="68">
        <f>1423.62</f>
        <v>1423.62</v>
      </c>
      <c r="T9" s="65">
        <f>10693600</f>
        <v>10693600</v>
      </c>
      <c r="U9" s="65">
        <f>1333900</f>
        <v>1333900</v>
      </c>
      <c r="V9" s="65">
        <f>14995833279</f>
        <v>14995833279</v>
      </c>
      <c r="W9" s="65">
        <f>1860205479</f>
        <v>1860205479</v>
      </c>
      <c r="X9" s="69">
        <f>21</f>
        <v>21</v>
      </c>
    </row>
    <row r="10" spans="1:24">
      <c r="A10" s="60" t="s">
        <v>832</v>
      </c>
      <c r="B10" s="60" t="s">
        <v>58</v>
      </c>
      <c r="C10" s="60" t="s">
        <v>59</v>
      </c>
      <c r="D10" s="60" t="s">
        <v>60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31700</f>
        <v>31700</v>
      </c>
      <c r="L10" s="67" t="s">
        <v>833</v>
      </c>
      <c r="M10" s="66">
        <f>34850</f>
        <v>34850</v>
      </c>
      <c r="N10" s="67" t="s">
        <v>48</v>
      </c>
      <c r="O10" s="66">
        <f>29230</f>
        <v>29230</v>
      </c>
      <c r="P10" s="67" t="s">
        <v>99</v>
      </c>
      <c r="Q10" s="66">
        <f>31800</f>
        <v>31800</v>
      </c>
      <c r="R10" s="67" t="s">
        <v>51</v>
      </c>
      <c r="S10" s="68">
        <f>31992.38</f>
        <v>31992.38</v>
      </c>
      <c r="T10" s="65">
        <f>20685</f>
        <v>20685</v>
      </c>
      <c r="U10" s="65">
        <f>18</f>
        <v>18</v>
      </c>
      <c r="V10" s="65">
        <f>662738419</f>
        <v>662738419</v>
      </c>
      <c r="W10" s="65">
        <f>548489</f>
        <v>548489</v>
      </c>
      <c r="X10" s="69">
        <f>21</f>
        <v>21</v>
      </c>
    </row>
    <row r="11" spans="1:24">
      <c r="A11" s="60" t="s">
        <v>832</v>
      </c>
      <c r="B11" s="60" t="s">
        <v>62</v>
      </c>
      <c r="C11" s="60" t="s">
        <v>63</v>
      </c>
      <c r="D11" s="60" t="s">
        <v>64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704</f>
        <v>704</v>
      </c>
      <c r="L11" s="67" t="s">
        <v>833</v>
      </c>
      <c r="M11" s="66">
        <f>737</f>
        <v>737</v>
      </c>
      <c r="N11" s="67" t="s">
        <v>814</v>
      </c>
      <c r="O11" s="66">
        <f>566</f>
        <v>566</v>
      </c>
      <c r="P11" s="67" t="s">
        <v>819</v>
      </c>
      <c r="Q11" s="66">
        <f>611</f>
        <v>611</v>
      </c>
      <c r="R11" s="67" t="s">
        <v>51</v>
      </c>
      <c r="S11" s="68">
        <f>647.81</f>
        <v>647.80999999999995</v>
      </c>
      <c r="T11" s="65">
        <f>403030</f>
        <v>403030</v>
      </c>
      <c r="U11" s="65">
        <f>520</f>
        <v>520</v>
      </c>
      <c r="V11" s="65">
        <f>257480720</f>
        <v>257480720</v>
      </c>
      <c r="W11" s="65">
        <f>327320</f>
        <v>327320</v>
      </c>
      <c r="X11" s="69">
        <f>21</f>
        <v>21</v>
      </c>
    </row>
    <row r="12" spans="1:24">
      <c r="A12" s="60" t="s">
        <v>832</v>
      </c>
      <c r="B12" s="60" t="s">
        <v>66</v>
      </c>
      <c r="C12" s="60" t="s">
        <v>67</v>
      </c>
      <c r="D12" s="60" t="s">
        <v>68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17300</f>
        <v>17300</v>
      </c>
      <c r="L12" s="67" t="s">
        <v>833</v>
      </c>
      <c r="M12" s="66">
        <f>18020</f>
        <v>18020</v>
      </c>
      <c r="N12" s="67" t="s">
        <v>814</v>
      </c>
      <c r="O12" s="66">
        <f>13510</f>
        <v>13510</v>
      </c>
      <c r="P12" s="67" t="s">
        <v>72</v>
      </c>
      <c r="Q12" s="66">
        <f>16740</f>
        <v>16740</v>
      </c>
      <c r="R12" s="67" t="s">
        <v>51</v>
      </c>
      <c r="S12" s="68">
        <f>15675</f>
        <v>15675</v>
      </c>
      <c r="T12" s="65">
        <f>2876</f>
        <v>2876</v>
      </c>
      <c r="U12" s="65" t="str">
        <f>"－"</f>
        <v>－</v>
      </c>
      <c r="V12" s="65">
        <f>45189890</f>
        <v>45189890</v>
      </c>
      <c r="W12" s="65" t="str">
        <f>"－"</f>
        <v>－</v>
      </c>
      <c r="X12" s="69">
        <f>20</f>
        <v>20</v>
      </c>
    </row>
    <row r="13" spans="1:24">
      <c r="A13" s="60" t="s">
        <v>832</v>
      </c>
      <c r="B13" s="60" t="s">
        <v>69</v>
      </c>
      <c r="C13" s="60" t="s">
        <v>70</v>
      </c>
      <c r="D13" s="60" t="s">
        <v>71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2590</f>
        <v>2590</v>
      </c>
      <c r="L13" s="67" t="s">
        <v>833</v>
      </c>
      <c r="M13" s="66">
        <f>2600</f>
        <v>2600</v>
      </c>
      <c r="N13" s="67" t="s">
        <v>814</v>
      </c>
      <c r="O13" s="66">
        <f>1715</f>
        <v>1715</v>
      </c>
      <c r="P13" s="67" t="s">
        <v>819</v>
      </c>
      <c r="Q13" s="66">
        <f>2180</f>
        <v>2180</v>
      </c>
      <c r="R13" s="67" t="s">
        <v>51</v>
      </c>
      <c r="S13" s="68">
        <f>2216.63</f>
        <v>2216.63</v>
      </c>
      <c r="T13" s="65">
        <f>11530</f>
        <v>11530</v>
      </c>
      <c r="U13" s="65" t="str">
        <f>"－"</f>
        <v>－</v>
      </c>
      <c r="V13" s="65">
        <f>24418900</f>
        <v>24418900</v>
      </c>
      <c r="W13" s="65" t="str">
        <f>"－"</f>
        <v>－</v>
      </c>
      <c r="X13" s="69">
        <f>19</f>
        <v>19</v>
      </c>
    </row>
    <row r="14" spans="1:24">
      <c r="A14" s="60" t="s">
        <v>832</v>
      </c>
      <c r="B14" s="60" t="s">
        <v>73</v>
      </c>
      <c r="C14" s="60" t="s">
        <v>74</v>
      </c>
      <c r="D14" s="60" t="s">
        <v>75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301</f>
        <v>301</v>
      </c>
      <c r="L14" s="67" t="s">
        <v>833</v>
      </c>
      <c r="M14" s="66">
        <f>349</f>
        <v>349</v>
      </c>
      <c r="N14" s="67" t="s">
        <v>818</v>
      </c>
      <c r="O14" s="66">
        <f>270</f>
        <v>270</v>
      </c>
      <c r="P14" s="67" t="s">
        <v>79</v>
      </c>
      <c r="Q14" s="66">
        <f>300</f>
        <v>300</v>
      </c>
      <c r="R14" s="67" t="s">
        <v>51</v>
      </c>
      <c r="S14" s="68">
        <f>304.76</f>
        <v>304.76</v>
      </c>
      <c r="T14" s="65">
        <f>178000</f>
        <v>178000</v>
      </c>
      <c r="U14" s="65" t="str">
        <f>"－"</f>
        <v>－</v>
      </c>
      <c r="V14" s="65">
        <f>54953000</f>
        <v>54953000</v>
      </c>
      <c r="W14" s="65" t="str">
        <f>"－"</f>
        <v>－</v>
      </c>
      <c r="X14" s="69">
        <f>17</f>
        <v>17</v>
      </c>
    </row>
    <row r="15" spans="1:24">
      <c r="A15" s="60" t="s">
        <v>832</v>
      </c>
      <c r="B15" s="60" t="s">
        <v>76</v>
      </c>
      <c r="C15" s="60" t="s">
        <v>77</v>
      </c>
      <c r="D15" s="60" t="s">
        <v>78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21450</f>
        <v>21450</v>
      </c>
      <c r="L15" s="67" t="s">
        <v>833</v>
      </c>
      <c r="M15" s="66">
        <f>22360</f>
        <v>22360</v>
      </c>
      <c r="N15" s="67" t="s">
        <v>814</v>
      </c>
      <c r="O15" s="66">
        <f>16830</f>
        <v>16830</v>
      </c>
      <c r="P15" s="67" t="s">
        <v>819</v>
      </c>
      <c r="Q15" s="66">
        <f>19620</f>
        <v>19620</v>
      </c>
      <c r="R15" s="67" t="s">
        <v>51</v>
      </c>
      <c r="S15" s="68">
        <f>19607.62</f>
        <v>19607.62</v>
      </c>
      <c r="T15" s="65">
        <f>3769350</f>
        <v>3769350</v>
      </c>
      <c r="U15" s="65">
        <f>137485</f>
        <v>137485</v>
      </c>
      <c r="V15" s="65">
        <f>73173981770</f>
        <v>73173981770</v>
      </c>
      <c r="W15" s="65">
        <f>2928919620</f>
        <v>2928919620</v>
      </c>
      <c r="X15" s="69">
        <f>21</f>
        <v>21</v>
      </c>
    </row>
    <row r="16" spans="1:24">
      <c r="A16" s="60" t="s">
        <v>832</v>
      </c>
      <c r="B16" s="60" t="s">
        <v>80</v>
      </c>
      <c r="C16" s="60" t="s">
        <v>81</v>
      </c>
      <c r="D16" s="60" t="s">
        <v>82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21490</f>
        <v>21490</v>
      </c>
      <c r="L16" s="67" t="s">
        <v>833</v>
      </c>
      <c r="M16" s="66">
        <f>22420</f>
        <v>22420</v>
      </c>
      <c r="N16" s="67" t="s">
        <v>814</v>
      </c>
      <c r="O16" s="66">
        <f>16900</f>
        <v>16900</v>
      </c>
      <c r="P16" s="67" t="s">
        <v>819</v>
      </c>
      <c r="Q16" s="66">
        <f>19700</f>
        <v>19700</v>
      </c>
      <c r="R16" s="67" t="s">
        <v>51</v>
      </c>
      <c r="S16" s="68">
        <f>19592.38</f>
        <v>19592.38</v>
      </c>
      <c r="T16" s="65">
        <f>19155812</f>
        <v>19155812</v>
      </c>
      <c r="U16" s="65">
        <f>623423</f>
        <v>623423</v>
      </c>
      <c r="V16" s="65">
        <f>366686082797</f>
        <v>366686082797</v>
      </c>
      <c r="W16" s="65">
        <f>13221501097</f>
        <v>13221501097</v>
      </c>
      <c r="X16" s="69">
        <f>21</f>
        <v>21</v>
      </c>
    </row>
    <row r="17" spans="1:24">
      <c r="A17" s="60" t="s">
        <v>832</v>
      </c>
      <c r="B17" s="60" t="s">
        <v>83</v>
      </c>
      <c r="C17" s="60" t="s">
        <v>84</v>
      </c>
      <c r="D17" s="60" t="s">
        <v>85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5640</f>
        <v>5640</v>
      </c>
      <c r="L17" s="67" t="s">
        <v>833</v>
      </c>
      <c r="M17" s="66">
        <f>6120</f>
        <v>6120</v>
      </c>
      <c r="N17" s="67" t="s">
        <v>814</v>
      </c>
      <c r="O17" s="66">
        <f>4810</f>
        <v>4810</v>
      </c>
      <c r="P17" s="67" t="s">
        <v>79</v>
      </c>
      <c r="Q17" s="66">
        <f>5540</f>
        <v>5540</v>
      </c>
      <c r="R17" s="67" t="s">
        <v>51</v>
      </c>
      <c r="S17" s="68">
        <f>5471.43</f>
        <v>5471.43</v>
      </c>
      <c r="T17" s="65">
        <f>16170</f>
        <v>16170</v>
      </c>
      <c r="U17" s="65">
        <f>470</f>
        <v>470</v>
      </c>
      <c r="V17" s="65">
        <f>88240500</f>
        <v>88240500</v>
      </c>
      <c r="W17" s="65">
        <f>2433900</f>
        <v>2433900</v>
      </c>
      <c r="X17" s="69">
        <f>21</f>
        <v>21</v>
      </c>
    </row>
    <row r="18" spans="1:24">
      <c r="A18" s="60" t="s">
        <v>832</v>
      </c>
      <c r="B18" s="60" t="s">
        <v>87</v>
      </c>
      <c r="C18" s="60" t="s">
        <v>88</v>
      </c>
      <c r="D18" s="60" t="s">
        <v>89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362</f>
        <v>362</v>
      </c>
      <c r="L18" s="67" t="s">
        <v>833</v>
      </c>
      <c r="M18" s="66">
        <f>366</f>
        <v>366</v>
      </c>
      <c r="N18" s="67" t="s">
        <v>833</v>
      </c>
      <c r="O18" s="66">
        <f>231</f>
        <v>231</v>
      </c>
      <c r="P18" s="67" t="s">
        <v>99</v>
      </c>
      <c r="Q18" s="66">
        <f>276</f>
        <v>276</v>
      </c>
      <c r="R18" s="67" t="s">
        <v>51</v>
      </c>
      <c r="S18" s="68">
        <f>288.37</f>
        <v>288.37</v>
      </c>
      <c r="T18" s="65">
        <f>133100</f>
        <v>133100</v>
      </c>
      <c r="U18" s="65">
        <f>18800</f>
        <v>18800</v>
      </c>
      <c r="V18" s="65">
        <f>39463100</f>
        <v>39463100</v>
      </c>
      <c r="W18" s="65">
        <f>5879600</f>
        <v>5879600</v>
      </c>
      <c r="X18" s="69">
        <f>19</f>
        <v>19</v>
      </c>
    </row>
    <row r="19" spans="1:24">
      <c r="A19" s="60" t="s">
        <v>832</v>
      </c>
      <c r="B19" s="60" t="s">
        <v>92</v>
      </c>
      <c r="C19" s="60" t="s">
        <v>93</v>
      </c>
      <c r="D19" s="60" t="s">
        <v>94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134</f>
        <v>134</v>
      </c>
      <c r="L19" s="67" t="s">
        <v>833</v>
      </c>
      <c r="M19" s="66">
        <f>147</f>
        <v>147</v>
      </c>
      <c r="N19" s="67" t="s">
        <v>818</v>
      </c>
      <c r="O19" s="66">
        <f>107</f>
        <v>107</v>
      </c>
      <c r="P19" s="67" t="s">
        <v>99</v>
      </c>
      <c r="Q19" s="66">
        <f>123</f>
        <v>123</v>
      </c>
      <c r="R19" s="67" t="s">
        <v>51</v>
      </c>
      <c r="S19" s="68">
        <f>126.38</f>
        <v>126.38</v>
      </c>
      <c r="T19" s="65">
        <f>1522900</f>
        <v>1522900</v>
      </c>
      <c r="U19" s="65">
        <f>17000</f>
        <v>17000</v>
      </c>
      <c r="V19" s="65">
        <f>192143467</f>
        <v>192143467</v>
      </c>
      <c r="W19" s="65">
        <f>2176967</f>
        <v>2176967</v>
      </c>
      <c r="X19" s="69">
        <f>21</f>
        <v>21</v>
      </c>
    </row>
    <row r="20" spans="1:24">
      <c r="A20" s="60" t="s">
        <v>832</v>
      </c>
      <c r="B20" s="60" t="s">
        <v>96</v>
      </c>
      <c r="C20" s="60" t="s">
        <v>97</v>
      </c>
      <c r="D20" s="60" t="s">
        <v>98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176</f>
        <v>176</v>
      </c>
      <c r="L20" s="67" t="s">
        <v>833</v>
      </c>
      <c r="M20" s="66">
        <f>190</f>
        <v>190</v>
      </c>
      <c r="N20" s="67" t="s">
        <v>814</v>
      </c>
      <c r="O20" s="66">
        <f>108</f>
        <v>108</v>
      </c>
      <c r="P20" s="67" t="s">
        <v>819</v>
      </c>
      <c r="Q20" s="66">
        <f>120</f>
        <v>120</v>
      </c>
      <c r="R20" s="67" t="s">
        <v>51</v>
      </c>
      <c r="S20" s="68">
        <f>141.9</f>
        <v>141.9</v>
      </c>
      <c r="T20" s="65">
        <f>1556500</f>
        <v>1556500</v>
      </c>
      <c r="U20" s="65">
        <f>6500</f>
        <v>6500</v>
      </c>
      <c r="V20" s="65">
        <f>214202400</f>
        <v>214202400</v>
      </c>
      <c r="W20" s="65">
        <f>791800</f>
        <v>791800</v>
      </c>
      <c r="X20" s="69">
        <f>21</f>
        <v>21</v>
      </c>
    </row>
    <row r="21" spans="1:24">
      <c r="A21" s="60" t="s">
        <v>832</v>
      </c>
      <c r="B21" s="60" t="s">
        <v>101</v>
      </c>
      <c r="C21" s="60" t="s">
        <v>102</v>
      </c>
      <c r="D21" s="60" t="s">
        <v>103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16040</f>
        <v>16040</v>
      </c>
      <c r="L21" s="67" t="s">
        <v>833</v>
      </c>
      <c r="M21" s="66">
        <f>17160</f>
        <v>17160</v>
      </c>
      <c r="N21" s="67" t="s">
        <v>816</v>
      </c>
      <c r="O21" s="66">
        <f>14910</f>
        <v>14910</v>
      </c>
      <c r="P21" s="67" t="s">
        <v>79</v>
      </c>
      <c r="Q21" s="66">
        <f>16460</f>
        <v>16460</v>
      </c>
      <c r="R21" s="67" t="s">
        <v>51</v>
      </c>
      <c r="S21" s="68">
        <f>16130</f>
        <v>16130</v>
      </c>
      <c r="T21" s="65">
        <f>480722</f>
        <v>480722</v>
      </c>
      <c r="U21" s="65" t="str">
        <f>"－"</f>
        <v>－</v>
      </c>
      <c r="V21" s="65">
        <f>7769581240</f>
        <v>7769581240</v>
      </c>
      <c r="W21" s="65" t="str">
        <f>"－"</f>
        <v>－</v>
      </c>
      <c r="X21" s="69">
        <f>21</f>
        <v>21</v>
      </c>
    </row>
    <row r="22" spans="1:24">
      <c r="A22" s="60" t="s">
        <v>832</v>
      </c>
      <c r="B22" s="60" t="s">
        <v>104</v>
      </c>
      <c r="C22" s="60" t="s">
        <v>105</v>
      </c>
      <c r="D22" s="60" t="s">
        <v>106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3005</f>
        <v>3005</v>
      </c>
      <c r="L22" s="67" t="s">
        <v>833</v>
      </c>
      <c r="M22" s="66">
        <f>3100</f>
        <v>3100</v>
      </c>
      <c r="N22" s="67" t="s">
        <v>817</v>
      </c>
      <c r="O22" s="66">
        <f>2499</f>
        <v>2499</v>
      </c>
      <c r="P22" s="67" t="s">
        <v>99</v>
      </c>
      <c r="Q22" s="66">
        <f>2601</f>
        <v>2601</v>
      </c>
      <c r="R22" s="67" t="s">
        <v>51</v>
      </c>
      <c r="S22" s="68">
        <f>2864.05</f>
        <v>2864.05</v>
      </c>
      <c r="T22" s="65">
        <f>2049</f>
        <v>2049</v>
      </c>
      <c r="U22" s="65" t="str">
        <f>"－"</f>
        <v>－</v>
      </c>
      <c r="V22" s="65">
        <f>5762634</f>
        <v>5762634</v>
      </c>
      <c r="W22" s="65" t="str">
        <f>"－"</f>
        <v>－</v>
      </c>
      <c r="X22" s="69">
        <f>21</f>
        <v>21</v>
      </c>
    </row>
    <row r="23" spans="1:24">
      <c r="A23" s="60" t="s">
        <v>832</v>
      </c>
      <c r="B23" s="60" t="s">
        <v>107</v>
      </c>
      <c r="C23" s="60" t="s">
        <v>108</v>
      </c>
      <c r="D23" s="60" t="s">
        <v>109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4645</f>
        <v>4645</v>
      </c>
      <c r="L23" s="67" t="s">
        <v>833</v>
      </c>
      <c r="M23" s="66">
        <f>4830</f>
        <v>4830</v>
      </c>
      <c r="N23" s="67" t="s">
        <v>816</v>
      </c>
      <c r="O23" s="66">
        <f>4005</f>
        <v>4005</v>
      </c>
      <c r="P23" s="67" t="s">
        <v>820</v>
      </c>
      <c r="Q23" s="66">
        <f>4605</f>
        <v>4605</v>
      </c>
      <c r="R23" s="67" t="s">
        <v>51</v>
      </c>
      <c r="S23" s="68">
        <f>4505.24</f>
        <v>4505.24</v>
      </c>
      <c r="T23" s="65">
        <f>349910</f>
        <v>349910</v>
      </c>
      <c r="U23" s="65">
        <f>130</f>
        <v>130</v>
      </c>
      <c r="V23" s="65">
        <f>1571011300</f>
        <v>1571011300</v>
      </c>
      <c r="W23" s="65">
        <f>581950</f>
        <v>581950</v>
      </c>
      <c r="X23" s="69">
        <f>21</f>
        <v>21</v>
      </c>
    </row>
    <row r="24" spans="1:24">
      <c r="A24" s="60" t="s">
        <v>832</v>
      </c>
      <c r="B24" s="60" t="s">
        <v>110</v>
      </c>
      <c r="C24" s="60" t="s">
        <v>111</v>
      </c>
      <c r="D24" s="60" t="s">
        <v>112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21390</f>
        <v>21390</v>
      </c>
      <c r="L24" s="67" t="s">
        <v>833</v>
      </c>
      <c r="M24" s="66">
        <f>22320</f>
        <v>22320</v>
      </c>
      <c r="N24" s="67" t="s">
        <v>814</v>
      </c>
      <c r="O24" s="66">
        <f>16780</f>
        <v>16780</v>
      </c>
      <c r="P24" s="67" t="s">
        <v>819</v>
      </c>
      <c r="Q24" s="66">
        <f>19550</f>
        <v>19550</v>
      </c>
      <c r="R24" s="67" t="s">
        <v>51</v>
      </c>
      <c r="S24" s="68">
        <f>19460</f>
        <v>19460</v>
      </c>
      <c r="T24" s="65">
        <f>3434918</f>
        <v>3434918</v>
      </c>
      <c r="U24" s="65">
        <f>2008673</f>
        <v>2008673</v>
      </c>
      <c r="V24" s="65">
        <f>62385720230</f>
        <v>62385720230</v>
      </c>
      <c r="W24" s="65">
        <f>34979423270</f>
        <v>34979423270</v>
      </c>
      <c r="X24" s="69">
        <f>21</f>
        <v>21</v>
      </c>
    </row>
    <row r="25" spans="1:24">
      <c r="A25" s="60" t="s">
        <v>832</v>
      </c>
      <c r="B25" s="60" t="s">
        <v>113</v>
      </c>
      <c r="C25" s="60" t="s">
        <v>114</v>
      </c>
      <c r="D25" s="60" t="s">
        <v>115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21560</f>
        <v>21560</v>
      </c>
      <c r="L25" s="67" t="s">
        <v>833</v>
      </c>
      <c r="M25" s="66">
        <f>22470</f>
        <v>22470</v>
      </c>
      <c r="N25" s="67" t="s">
        <v>814</v>
      </c>
      <c r="O25" s="66">
        <f>16900</f>
        <v>16900</v>
      </c>
      <c r="P25" s="67" t="s">
        <v>79</v>
      </c>
      <c r="Q25" s="66">
        <f>19670</f>
        <v>19670</v>
      </c>
      <c r="R25" s="67" t="s">
        <v>51</v>
      </c>
      <c r="S25" s="68">
        <f>19609.52</f>
        <v>19609.52</v>
      </c>
      <c r="T25" s="65">
        <f>3023200</f>
        <v>3023200</v>
      </c>
      <c r="U25" s="65">
        <f>277640</f>
        <v>277640</v>
      </c>
      <c r="V25" s="65">
        <f>59153995805</f>
        <v>59153995805</v>
      </c>
      <c r="W25" s="65">
        <f>5761872905</f>
        <v>5761872905</v>
      </c>
      <c r="X25" s="69">
        <f>21</f>
        <v>21</v>
      </c>
    </row>
    <row r="26" spans="1:24">
      <c r="A26" s="60" t="s">
        <v>832</v>
      </c>
      <c r="B26" s="60" t="s">
        <v>116</v>
      </c>
      <c r="C26" s="60" t="s">
        <v>117</v>
      </c>
      <c r="D26" s="60" t="s">
        <v>118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2121</f>
        <v>2121</v>
      </c>
      <c r="L26" s="67" t="s">
        <v>833</v>
      </c>
      <c r="M26" s="66">
        <f>2259</f>
        <v>2259</v>
      </c>
      <c r="N26" s="67" t="s">
        <v>817</v>
      </c>
      <c r="O26" s="66">
        <f>1235</f>
        <v>1235</v>
      </c>
      <c r="P26" s="67" t="s">
        <v>819</v>
      </c>
      <c r="Q26" s="66">
        <f>1679</f>
        <v>1679</v>
      </c>
      <c r="R26" s="67" t="s">
        <v>51</v>
      </c>
      <c r="S26" s="68">
        <f>1834.76</f>
        <v>1834.76</v>
      </c>
      <c r="T26" s="65">
        <f>23065000</f>
        <v>23065000</v>
      </c>
      <c r="U26" s="65">
        <f>924860</f>
        <v>924860</v>
      </c>
      <c r="V26" s="65">
        <f>39885132502</f>
        <v>39885132502</v>
      </c>
      <c r="W26" s="65">
        <f>1739697932</f>
        <v>1739697932</v>
      </c>
      <c r="X26" s="69">
        <f>21</f>
        <v>21</v>
      </c>
    </row>
    <row r="27" spans="1:24">
      <c r="A27" s="60" t="s">
        <v>832</v>
      </c>
      <c r="B27" s="60" t="s">
        <v>120</v>
      </c>
      <c r="C27" s="60" t="s">
        <v>121</v>
      </c>
      <c r="D27" s="60" t="s">
        <v>122</v>
      </c>
      <c r="E27" s="61" t="s">
        <v>46</v>
      </c>
      <c r="F27" s="62" t="s">
        <v>46</v>
      </c>
      <c r="G27" s="63" t="s">
        <v>46</v>
      </c>
      <c r="H27" s="64"/>
      <c r="I27" s="64" t="s">
        <v>47</v>
      </c>
      <c r="J27" s="65">
        <v>10</v>
      </c>
      <c r="K27" s="66">
        <f>710</f>
        <v>710</v>
      </c>
      <c r="L27" s="67" t="s">
        <v>833</v>
      </c>
      <c r="M27" s="66">
        <f>718</f>
        <v>718</v>
      </c>
      <c r="N27" s="67" t="s">
        <v>814</v>
      </c>
      <c r="O27" s="66">
        <f>580</f>
        <v>580</v>
      </c>
      <c r="P27" s="67" t="s">
        <v>820</v>
      </c>
      <c r="Q27" s="66">
        <f>653</f>
        <v>653</v>
      </c>
      <c r="R27" s="67" t="s">
        <v>51</v>
      </c>
      <c r="S27" s="68">
        <f>643.24</f>
        <v>643.24</v>
      </c>
      <c r="T27" s="65">
        <f>39800</f>
        <v>39800</v>
      </c>
      <c r="U27" s="65">
        <f>400</f>
        <v>400</v>
      </c>
      <c r="V27" s="65">
        <f>26226580</f>
        <v>26226580</v>
      </c>
      <c r="W27" s="65">
        <f>264520</f>
        <v>264520</v>
      </c>
      <c r="X27" s="69">
        <f>21</f>
        <v>21</v>
      </c>
    </row>
    <row r="28" spans="1:24">
      <c r="A28" s="60" t="s">
        <v>832</v>
      </c>
      <c r="B28" s="60" t="s">
        <v>123</v>
      </c>
      <c r="C28" s="60" t="s">
        <v>124</v>
      </c>
      <c r="D28" s="60" t="s">
        <v>125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2000</f>
        <v>2000</v>
      </c>
      <c r="L28" s="67" t="s">
        <v>833</v>
      </c>
      <c r="M28" s="66">
        <f>2125</f>
        <v>2125</v>
      </c>
      <c r="N28" s="67" t="s">
        <v>817</v>
      </c>
      <c r="O28" s="66">
        <f>1225</f>
        <v>1225</v>
      </c>
      <c r="P28" s="67" t="s">
        <v>99</v>
      </c>
      <c r="Q28" s="66">
        <f>1580</f>
        <v>1580</v>
      </c>
      <c r="R28" s="67" t="s">
        <v>51</v>
      </c>
      <c r="S28" s="68">
        <f>1718.43</f>
        <v>1718.43</v>
      </c>
      <c r="T28" s="65">
        <f>5734900</f>
        <v>5734900</v>
      </c>
      <c r="U28" s="65">
        <f>534600</f>
        <v>534600</v>
      </c>
      <c r="V28" s="65">
        <f>9606728474</f>
        <v>9606728474</v>
      </c>
      <c r="W28" s="65">
        <f>973512874</f>
        <v>973512874</v>
      </c>
      <c r="X28" s="69">
        <f>21</f>
        <v>21</v>
      </c>
    </row>
    <row r="29" spans="1:24">
      <c r="A29" s="60" t="s">
        <v>832</v>
      </c>
      <c r="B29" s="60" t="s">
        <v>126</v>
      </c>
      <c r="C29" s="60" t="s">
        <v>127</v>
      </c>
      <c r="D29" s="60" t="s">
        <v>128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21420</f>
        <v>21420</v>
      </c>
      <c r="L29" s="67" t="s">
        <v>833</v>
      </c>
      <c r="M29" s="66">
        <f>22350</f>
        <v>22350</v>
      </c>
      <c r="N29" s="67" t="s">
        <v>814</v>
      </c>
      <c r="O29" s="66">
        <f>16820</f>
        <v>16820</v>
      </c>
      <c r="P29" s="67" t="s">
        <v>819</v>
      </c>
      <c r="Q29" s="66">
        <f>19570</f>
        <v>19570</v>
      </c>
      <c r="R29" s="67" t="s">
        <v>51</v>
      </c>
      <c r="S29" s="68">
        <f>19614.29</f>
        <v>19614.29</v>
      </c>
      <c r="T29" s="65">
        <f>1668602</f>
        <v>1668602</v>
      </c>
      <c r="U29" s="65">
        <f>585209</f>
        <v>585209</v>
      </c>
      <c r="V29" s="65">
        <f>33754547100</f>
        <v>33754547100</v>
      </c>
      <c r="W29" s="65">
        <f>12672517400</f>
        <v>12672517400</v>
      </c>
      <c r="X29" s="69">
        <f>21</f>
        <v>21</v>
      </c>
    </row>
    <row r="30" spans="1:24">
      <c r="A30" s="60" t="s">
        <v>832</v>
      </c>
      <c r="B30" s="60" t="s">
        <v>129</v>
      </c>
      <c r="C30" s="60" t="s">
        <v>130</v>
      </c>
      <c r="D30" s="60" t="s">
        <v>131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1528</f>
        <v>1528</v>
      </c>
      <c r="L30" s="67" t="s">
        <v>833</v>
      </c>
      <c r="M30" s="66">
        <f>1597</f>
        <v>1597</v>
      </c>
      <c r="N30" s="67" t="s">
        <v>814</v>
      </c>
      <c r="O30" s="66">
        <f>1232</f>
        <v>1232</v>
      </c>
      <c r="P30" s="67" t="s">
        <v>79</v>
      </c>
      <c r="Q30" s="66">
        <f>1463</f>
        <v>1463</v>
      </c>
      <c r="R30" s="67" t="s">
        <v>51</v>
      </c>
      <c r="S30" s="68">
        <f>1431.9</f>
        <v>1431.9</v>
      </c>
      <c r="T30" s="65">
        <f>5767830</f>
        <v>5767830</v>
      </c>
      <c r="U30" s="65">
        <f>894890</f>
        <v>894890</v>
      </c>
      <c r="V30" s="65">
        <f>8106426520</f>
        <v>8106426520</v>
      </c>
      <c r="W30" s="65">
        <f>1278217770</f>
        <v>1278217770</v>
      </c>
      <c r="X30" s="69">
        <f>21</f>
        <v>21</v>
      </c>
    </row>
    <row r="31" spans="1:24">
      <c r="A31" s="60" t="s">
        <v>832</v>
      </c>
      <c r="B31" s="60" t="s">
        <v>132</v>
      </c>
      <c r="C31" s="60" t="s">
        <v>133</v>
      </c>
      <c r="D31" s="60" t="s">
        <v>134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12870</f>
        <v>12870</v>
      </c>
      <c r="L31" s="67" t="s">
        <v>833</v>
      </c>
      <c r="M31" s="66">
        <f>12960</f>
        <v>12960</v>
      </c>
      <c r="N31" s="67" t="s">
        <v>833</v>
      </c>
      <c r="O31" s="66">
        <f>12080</f>
        <v>12080</v>
      </c>
      <c r="P31" s="67" t="s">
        <v>820</v>
      </c>
      <c r="Q31" s="66">
        <f>12320</f>
        <v>12320</v>
      </c>
      <c r="R31" s="67" t="s">
        <v>51</v>
      </c>
      <c r="S31" s="68">
        <f>12451.43</f>
        <v>12451.43</v>
      </c>
      <c r="T31" s="65">
        <f>1377</f>
        <v>1377</v>
      </c>
      <c r="U31" s="65" t="str">
        <f>"－"</f>
        <v>－</v>
      </c>
      <c r="V31" s="65">
        <f>17053050</f>
        <v>17053050</v>
      </c>
      <c r="W31" s="65" t="str">
        <f>"－"</f>
        <v>－</v>
      </c>
      <c r="X31" s="69">
        <f>21</f>
        <v>21</v>
      </c>
    </row>
    <row r="32" spans="1:24">
      <c r="A32" s="60" t="s">
        <v>832</v>
      </c>
      <c r="B32" s="60" t="s">
        <v>135</v>
      </c>
      <c r="C32" s="60" t="s">
        <v>136</v>
      </c>
      <c r="D32" s="60" t="s">
        <v>137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2590</f>
        <v>2590</v>
      </c>
      <c r="L32" s="67" t="s">
        <v>833</v>
      </c>
      <c r="M32" s="66">
        <f>3880</f>
        <v>3880</v>
      </c>
      <c r="N32" s="67" t="s">
        <v>79</v>
      </c>
      <c r="O32" s="66">
        <f>2387</f>
        <v>2387</v>
      </c>
      <c r="P32" s="67" t="s">
        <v>814</v>
      </c>
      <c r="Q32" s="66">
        <f>2719</f>
        <v>2719</v>
      </c>
      <c r="R32" s="67" t="s">
        <v>51</v>
      </c>
      <c r="S32" s="68">
        <f>2936.52</f>
        <v>2936.52</v>
      </c>
      <c r="T32" s="65">
        <f>24625120</f>
        <v>24625120</v>
      </c>
      <c r="U32" s="65">
        <f>320060</f>
        <v>320060</v>
      </c>
      <c r="V32" s="65">
        <f>74434742355</f>
        <v>74434742355</v>
      </c>
      <c r="W32" s="65">
        <f>1014270125</f>
        <v>1014270125</v>
      </c>
      <c r="X32" s="69">
        <f>21</f>
        <v>21</v>
      </c>
    </row>
    <row r="33" spans="1:24">
      <c r="A33" s="60" t="s">
        <v>832</v>
      </c>
      <c r="B33" s="60" t="s">
        <v>138</v>
      </c>
      <c r="C33" s="60" t="s">
        <v>139</v>
      </c>
      <c r="D33" s="60" t="s">
        <v>140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1110</f>
        <v>1110</v>
      </c>
      <c r="L33" s="67" t="s">
        <v>833</v>
      </c>
      <c r="M33" s="66">
        <f>1730</f>
        <v>1730</v>
      </c>
      <c r="N33" s="67" t="s">
        <v>819</v>
      </c>
      <c r="O33" s="66">
        <f>1015</f>
        <v>1015</v>
      </c>
      <c r="P33" s="67" t="s">
        <v>814</v>
      </c>
      <c r="Q33" s="66">
        <f>1212</f>
        <v>1212</v>
      </c>
      <c r="R33" s="67" t="s">
        <v>51</v>
      </c>
      <c r="S33" s="68">
        <f>1312.19</f>
        <v>1312.19</v>
      </c>
      <c r="T33" s="65">
        <f>2889154269</f>
        <v>2889154269</v>
      </c>
      <c r="U33" s="65">
        <f>7305935</f>
        <v>7305935</v>
      </c>
      <c r="V33" s="65">
        <f>3926395732508</f>
        <v>3926395732508</v>
      </c>
      <c r="W33" s="65">
        <f>9802962249</f>
        <v>9802962249</v>
      </c>
      <c r="X33" s="69">
        <f>21</f>
        <v>21</v>
      </c>
    </row>
    <row r="34" spans="1:24">
      <c r="A34" s="60" t="s">
        <v>832</v>
      </c>
      <c r="B34" s="60" t="s">
        <v>141</v>
      </c>
      <c r="C34" s="60" t="s">
        <v>142</v>
      </c>
      <c r="D34" s="60" t="s">
        <v>143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16200</f>
        <v>16200</v>
      </c>
      <c r="L34" s="67" t="s">
        <v>833</v>
      </c>
      <c r="M34" s="66">
        <f>17620</f>
        <v>17620</v>
      </c>
      <c r="N34" s="67" t="s">
        <v>814</v>
      </c>
      <c r="O34" s="66">
        <f>9700</f>
        <v>9700</v>
      </c>
      <c r="P34" s="67" t="s">
        <v>79</v>
      </c>
      <c r="Q34" s="66">
        <f>12890</f>
        <v>12890</v>
      </c>
      <c r="R34" s="67" t="s">
        <v>51</v>
      </c>
      <c r="S34" s="68">
        <f>13246.67</f>
        <v>13246.67</v>
      </c>
      <c r="T34" s="65">
        <f>1835922</f>
        <v>1835922</v>
      </c>
      <c r="U34" s="65">
        <f>1382</f>
        <v>1382</v>
      </c>
      <c r="V34" s="65">
        <f>22767706600</f>
        <v>22767706600</v>
      </c>
      <c r="W34" s="65">
        <f>18359670</f>
        <v>18359670</v>
      </c>
      <c r="X34" s="69">
        <f>21</f>
        <v>21</v>
      </c>
    </row>
    <row r="35" spans="1:24">
      <c r="A35" s="60" t="s">
        <v>832</v>
      </c>
      <c r="B35" s="60" t="s">
        <v>144</v>
      </c>
      <c r="C35" s="60" t="s">
        <v>145</v>
      </c>
      <c r="D35" s="60" t="s">
        <v>146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2658</f>
        <v>2658</v>
      </c>
      <c r="L35" s="67" t="s">
        <v>833</v>
      </c>
      <c r="M35" s="66">
        <f>4180</f>
        <v>4180</v>
      </c>
      <c r="N35" s="67" t="s">
        <v>819</v>
      </c>
      <c r="O35" s="66">
        <f>2442</f>
        <v>2442</v>
      </c>
      <c r="P35" s="67" t="s">
        <v>814</v>
      </c>
      <c r="Q35" s="66">
        <f>2915</f>
        <v>2915</v>
      </c>
      <c r="R35" s="67" t="s">
        <v>51</v>
      </c>
      <c r="S35" s="68">
        <f>3167.62</f>
        <v>3167.62</v>
      </c>
      <c r="T35" s="65">
        <f>150658730</f>
        <v>150658730</v>
      </c>
      <c r="U35" s="65">
        <f>89330</f>
        <v>89330</v>
      </c>
      <c r="V35" s="65">
        <f>474031357030</f>
        <v>474031357030</v>
      </c>
      <c r="W35" s="65">
        <f>310416660</f>
        <v>310416660</v>
      </c>
      <c r="X35" s="69">
        <f>21</f>
        <v>21</v>
      </c>
    </row>
    <row r="36" spans="1:24">
      <c r="A36" s="60" t="s">
        <v>832</v>
      </c>
      <c r="B36" s="60" t="s">
        <v>147</v>
      </c>
      <c r="C36" s="60" t="s">
        <v>148</v>
      </c>
      <c r="D36" s="60" t="s">
        <v>149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13550</f>
        <v>13550</v>
      </c>
      <c r="L36" s="67" t="s">
        <v>833</v>
      </c>
      <c r="M36" s="66">
        <f>14170</f>
        <v>14170</v>
      </c>
      <c r="N36" s="67" t="s">
        <v>814</v>
      </c>
      <c r="O36" s="66">
        <f>11000</f>
        <v>11000</v>
      </c>
      <c r="P36" s="67" t="s">
        <v>79</v>
      </c>
      <c r="Q36" s="66">
        <f>13040</f>
        <v>13040</v>
      </c>
      <c r="R36" s="67" t="s">
        <v>51</v>
      </c>
      <c r="S36" s="68">
        <f>12784.29</f>
        <v>12784.29</v>
      </c>
      <c r="T36" s="65">
        <f>29302</f>
        <v>29302</v>
      </c>
      <c r="U36" s="65" t="str">
        <f>"－"</f>
        <v>－</v>
      </c>
      <c r="V36" s="65">
        <f>368947790</f>
        <v>368947790</v>
      </c>
      <c r="W36" s="65" t="str">
        <f>"－"</f>
        <v>－</v>
      </c>
      <c r="X36" s="69">
        <f>21</f>
        <v>21</v>
      </c>
    </row>
    <row r="37" spans="1:24">
      <c r="A37" s="60" t="s">
        <v>832</v>
      </c>
      <c r="B37" s="60" t="s">
        <v>151</v>
      </c>
      <c r="C37" s="60" t="s">
        <v>152</v>
      </c>
      <c r="D37" s="60" t="s">
        <v>153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13200</f>
        <v>13200</v>
      </c>
      <c r="L37" s="67" t="s">
        <v>833</v>
      </c>
      <c r="M37" s="66">
        <f>14360</f>
        <v>14360</v>
      </c>
      <c r="N37" s="67" t="s">
        <v>814</v>
      </c>
      <c r="O37" s="66">
        <f>7940</f>
        <v>7940</v>
      </c>
      <c r="P37" s="67" t="s">
        <v>819</v>
      </c>
      <c r="Q37" s="66">
        <f>10660</f>
        <v>10660</v>
      </c>
      <c r="R37" s="67" t="s">
        <v>51</v>
      </c>
      <c r="S37" s="68">
        <f>10853.33</f>
        <v>10853.33</v>
      </c>
      <c r="T37" s="65">
        <f>3224483</f>
        <v>3224483</v>
      </c>
      <c r="U37" s="65">
        <f>38069</f>
        <v>38069</v>
      </c>
      <c r="V37" s="65">
        <f>33295014399</f>
        <v>33295014399</v>
      </c>
      <c r="W37" s="65">
        <f>387824599</f>
        <v>387824599</v>
      </c>
      <c r="X37" s="69">
        <f>21</f>
        <v>21</v>
      </c>
    </row>
    <row r="38" spans="1:24">
      <c r="A38" s="60" t="s">
        <v>832</v>
      </c>
      <c r="B38" s="60" t="s">
        <v>154</v>
      </c>
      <c r="C38" s="60" t="s">
        <v>155</v>
      </c>
      <c r="D38" s="60" t="s">
        <v>156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2873</f>
        <v>2873</v>
      </c>
      <c r="L38" s="67" t="s">
        <v>833</v>
      </c>
      <c r="M38" s="66">
        <f>4505</f>
        <v>4505</v>
      </c>
      <c r="N38" s="67" t="s">
        <v>819</v>
      </c>
      <c r="O38" s="66">
        <f>2643</f>
        <v>2643</v>
      </c>
      <c r="P38" s="67" t="s">
        <v>814</v>
      </c>
      <c r="Q38" s="66">
        <f>3140</f>
        <v>3140</v>
      </c>
      <c r="R38" s="67" t="s">
        <v>51</v>
      </c>
      <c r="S38" s="68">
        <f>3415.95</f>
        <v>3415.95</v>
      </c>
      <c r="T38" s="65">
        <f>19958204</f>
        <v>19958204</v>
      </c>
      <c r="U38" s="65">
        <f>99655</f>
        <v>99655</v>
      </c>
      <c r="V38" s="65">
        <f>71025317589</f>
        <v>71025317589</v>
      </c>
      <c r="W38" s="65">
        <f>338838423</f>
        <v>338838423</v>
      </c>
      <c r="X38" s="69">
        <f>21</f>
        <v>21</v>
      </c>
    </row>
    <row r="39" spans="1:24">
      <c r="A39" s="60" t="s">
        <v>832</v>
      </c>
      <c r="B39" s="60" t="s">
        <v>157</v>
      </c>
      <c r="C39" s="60" t="s">
        <v>158</v>
      </c>
      <c r="D39" s="60" t="s">
        <v>159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10950</f>
        <v>10950</v>
      </c>
      <c r="L39" s="67" t="s">
        <v>833</v>
      </c>
      <c r="M39" s="66">
        <f>11850</f>
        <v>11850</v>
      </c>
      <c r="N39" s="67" t="s">
        <v>814</v>
      </c>
      <c r="O39" s="66">
        <f>6990</f>
        <v>6990</v>
      </c>
      <c r="P39" s="67" t="s">
        <v>79</v>
      </c>
      <c r="Q39" s="66">
        <f>9650</f>
        <v>9650</v>
      </c>
      <c r="R39" s="67" t="s">
        <v>51</v>
      </c>
      <c r="S39" s="68">
        <f>9430</f>
        <v>9430</v>
      </c>
      <c r="T39" s="65">
        <f>729497</f>
        <v>729497</v>
      </c>
      <c r="U39" s="65">
        <f>1899</f>
        <v>1899</v>
      </c>
      <c r="V39" s="65">
        <f>6575518850</f>
        <v>6575518850</v>
      </c>
      <c r="W39" s="65">
        <f>18508110</f>
        <v>18508110</v>
      </c>
      <c r="X39" s="69">
        <f>21</f>
        <v>21</v>
      </c>
    </row>
    <row r="40" spans="1:24">
      <c r="A40" s="60" t="s">
        <v>832</v>
      </c>
      <c r="B40" s="60" t="s">
        <v>160</v>
      </c>
      <c r="C40" s="60" t="s">
        <v>161</v>
      </c>
      <c r="D40" s="60" t="s">
        <v>162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3780</f>
        <v>3780</v>
      </c>
      <c r="L40" s="67" t="s">
        <v>833</v>
      </c>
      <c r="M40" s="66">
        <f>5750</f>
        <v>5750</v>
      </c>
      <c r="N40" s="67" t="s">
        <v>79</v>
      </c>
      <c r="O40" s="66">
        <f>3475</f>
        <v>3475</v>
      </c>
      <c r="P40" s="67" t="s">
        <v>814</v>
      </c>
      <c r="Q40" s="66">
        <f>3845</f>
        <v>3845</v>
      </c>
      <c r="R40" s="67" t="s">
        <v>51</v>
      </c>
      <c r="S40" s="68">
        <f>4285.71</f>
        <v>4285.71</v>
      </c>
      <c r="T40" s="65">
        <f>4997336</f>
        <v>4997336</v>
      </c>
      <c r="U40" s="65">
        <f>46882</f>
        <v>46882</v>
      </c>
      <c r="V40" s="65">
        <f>22023671850</f>
        <v>22023671850</v>
      </c>
      <c r="W40" s="65">
        <f>172782305</f>
        <v>172782305</v>
      </c>
      <c r="X40" s="69">
        <f>21</f>
        <v>21</v>
      </c>
    </row>
    <row r="41" spans="1:24">
      <c r="A41" s="60" t="s">
        <v>832</v>
      </c>
      <c r="B41" s="60" t="s">
        <v>163</v>
      </c>
      <c r="C41" s="60" t="s">
        <v>164</v>
      </c>
      <c r="D41" s="60" t="s">
        <v>165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20800</f>
        <v>20800</v>
      </c>
      <c r="L41" s="67" t="s">
        <v>833</v>
      </c>
      <c r="M41" s="66">
        <f>21700</f>
        <v>21700</v>
      </c>
      <c r="N41" s="67" t="s">
        <v>814</v>
      </c>
      <c r="O41" s="66">
        <f>16350</f>
        <v>16350</v>
      </c>
      <c r="P41" s="67" t="s">
        <v>819</v>
      </c>
      <c r="Q41" s="66">
        <f>19020</f>
        <v>19020</v>
      </c>
      <c r="R41" s="67" t="s">
        <v>51</v>
      </c>
      <c r="S41" s="68">
        <f>18978.1</f>
        <v>18978.099999999999</v>
      </c>
      <c r="T41" s="65">
        <f>205585</f>
        <v>205585</v>
      </c>
      <c r="U41" s="65">
        <f>53560</f>
        <v>53560</v>
      </c>
      <c r="V41" s="65">
        <f>3822682480</f>
        <v>3822682480</v>
      </c>
      <c r="W41" s="65">
        <f>1029194420</f>
        <v>1029194420</v>
      </c>
      <c r="X41" s="69">
        <f>21</f>
        <v>21</v>
      </c>
    </row>
    <row r="42" spans="1:24">
      <c r="A42" s="60" t="s">
        <v>832</v>
      </c>
      <c r="B42" s="60" t="s">
        <v>166</v>
      </c>
      <c r="C42" s="60" t="s">
        <v>167</v>
      </c>
      <c r="D42" s="60" t="s">
        <v>168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4080</f>
        <v>4080</v>
      </c>
      <c r="L42" s="67" t="s">
        <v>833</v>
      </c>
      <c r="M42" s="66">
        <f>4325</f>
        <v>4325</v>
      </c>
      <c r="N42" s="67" t="s">
        <v>833</v>
      </c>
      <c r="O42" s="66">
        <f>3315</f>
        <v>3315</v>
      </c>
      <c r="P42" s="67" t="s">
        <v>79</v>
      </c>
      <c r="Q42" s="66">
        <f>3500</f>
        <v>3500</v>
      </c>
      <c r="R42" s="67" t="s">
        <v>51</v>
      </c>
      <c r="S42" s="68">
        <f>3779.05</f>
        <v>3779.05</v>
      </c>
      <c r="T42" s="65">
        <f>8389</f>
        <v>8389</v>
      </c>
      <c r="U42" s="65">
        <f>290</f>
        <v>290</v>
      </c>
      <c r="V42" s="65">
        <f>31627485</f>
        <v>31627485</v>
      </c>
      <c r="W42" s="65">
        <f>1069395</f>
        <v>1069395</v>
      </c>
      <c r="X42" s="69">
        <f>21</f>
        <v>21</v>
      </c>
    </row>
    <row r="43" spans="1:24">
      <c r="A43" s="60" t="s">
        <v>832</v>
      </c>
      <c r="B43" s="60" t="s">
        <v>169</v>
      </c>
      <c r="C43" s="60" t="s">
        <v>170</v>
      </c>
      <c r="D43" s="60" t="s">
        <v>171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8040</f>
        <v>8040</v>
      </c>
      <c r="L43" s="67" t="s">
        <v>833</v>
      </c>
      <c r="M43" s="66">
        <f>8430</f>
        <v>8430</v>
      </c>
      <c r="N43" s="67" t="s">
        <v>61</v>
      </c>
      <c r="O43" s="66">
        <f>6460</f>
        <v>6460</v>
      </c>
      <c r="P43" s="67" t="s">
        <v>50</v>
      </c>
      <c r="Q43" s="66">
        <f>6770</f>
        <v>6770</v>
      </c>
      <c r="R43" s="67" t="s">
        <v>51</v>
      </c>
      <c r="S43" s="68">
        <f>7489.44</f>
        <v>7489.44</v>
      </c>
      <c r="T43" s="65">
        <f>2004</f>
        <v>2004</v>
      </c>
      <c r="U43" s="65" t="str">
        <f>"－"</f>
        <v>－</v>
      </c>
      <c r="V43" s="65">
        <f>14846430</f>
        <v>14846430</v>
      </c>
      <c r="W43" s="65" t="str">
        <f>"－"</f>
        <v>－</v>
      </c>
      <c r="X43" s="69">
        <f>18</f>
        <v>18</v>
      </c>
    </row>
    <row r="44" spans="1:24">
      <c r="A44" s="60" t="s">
        <v>832</v>
      </c>
      <c r="B44" s="60" t="s">
        <v>172</v>
      </c>
      <c r="C44" s="60" t="s">
        <v>173</v>
      </c>
      <c r="D44" s="60" t="s">
        <v>174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15530</f>
        <v>15530</v>
      </c>
      <c r="L44" s="67" t="s">
        <v>833</v>
      </c>
      <c r="M44" s="66">
        <f>16330</f>
        <v>16330</v>
      </c>
      <c r="N44" s="67" t="s">
        <v>833</v>
      </c>
      <c r="O44" s="66">
        <f>9470</f>
        <v>9470</v>
      </c>
      <c r="P44" s="67" t="s">
        <v>79</v>
      </c>
      <c r="Q44" s="66">
        <f>12500</f>
        <v>12500</v>
      </c>
      <c r="R44" s="67" t="s">
        <v>51</v>
      </c>
      <c r="S44" s="68">
        <f>12273.89</f>
        <v>12273.89</v>
      </c>
      <c r="T44" s="65">
        <f>1030</f>
        <v>1030</v>
      </c>
      <c r="U44" s="65" t="str">
        <f>"－"</f>
        <v>－</v>
      </c>
      <c r="V44" s="65">
        <f>11456940</f>
        <v>11456940</v>
      </c>
      <c r="W44" s="65" t="str">
        <f>"－"</f>
        <v>－</v>
      </c>
      <c r="X44" s="69">
        <f>18</f>
        <v>18</v>
      </c>
    </row>
    <row r="45" spans="1:24">
      <c r="A45" s="60" t="s">
        <v>832</v>
      </c>
      <c r="B45" s="60" t="s">
        <v>176</v>
      </c>
      <c r="C45" s="60" t="s">
        <v>177</v>
      </c>
      <c r="D45" s="60" t="s">
        <v>178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12550</f>
        <v>12550</v>
      </c>
      <c r="L45" s="67" t="s">
        <v>833</v>
      </c>
      <c r="M45" s="66">
        <f>12550</f>
        <v>12550</v>
      </c>
      <c r="N45" s="67" t="s">
        <v>833</v>
      </c>
      <c r="O45" s="66">
        <f>7360</f>
        <v>7360</v>
      </c>
      <c r="P45" s="67" t="s">
        <v>819</v>
      </c>
      <c r="Q45" s="66">
        <f>8760</f>
        <v>8760</v>
      </c>
      <c r="R45" s="67" t="s">
        <v>50</v>
      </c>
      <c r="S45" s="68">
        <f>9056</f>
        <v>9056</v>
      </c>
      <c r="T45" s="65">
        <f>592</f>
        <v>592</v>
      </c>
      <c r="U45" s="65" t="str">
        <f>"－"</f>
        <v>－</v>
      </c>
      <c r="V45" s="65">
        <f>4730680</f>
        <v>4730680</v>
      </c>
      <c r="W45" s="65" t="str">
        <f>"－"</f>
        <v>－</v>
      </c>
      <c r="X45" s="69">
        <f>15</f>
        <v>15</v>
      </c>
    </row>
    <row r="46" spans="1:24">
      <c r="A46" s="60" t="s">
        <v>832</v>
      </c>
      <c r="B46" s="60" t="s">
        <v>179</v>
      </c>
      <c r="C46" s="60" t="s">
        <v>180</v>
      </c>
      <c r="D46" s="60" t="s">
        <v>181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9000</f>
        <v>9000</v>
      </c>
      <c r="L46" s="67" t="s">
        <v>833</v>
      </c>
      <c r="M46" s="66">
        <f>9720</f>
        <v>9720</v>
      </c>
      <c r="N46" s="67" t="s">
        <v>817</v>
      </c>
      <c r="O46" s="66">
        <f>7160</f>
        <v>7160</v>
      </c>
      <c r="P46" s="67" t="s">
        <v>819</v>
      </c>
      <c r="Q46" s="66">
        <f>8010</f>
        <v>8010</v>
      </c>
      <c r="R46" s="67" t="s">
        <v>51</v>
      </c>
      <c r="S46" s="68">
        <f>8362</f>
        <v>8362</v>
      </c>
      <c r="T46" s="65">
        <f>527</f>
        <v>527</v>
      </c>
      <c r="U46" s="65" t="str">
        <f>"－"</f>
        <v>－</v>
      </c>
      <c r="V46" s="65">
        <f>4465220</f>
        <v>4465220</v>
      </c>
      <c r="W46" s="65" t="str">
        <f>"－"</f>
        <v>－</v>
      </c>
      <c r="X46" s="69">
        <f>20</f>
        <v>20</v>
      </c>
    </row>
    <row r="47" spans="1:24">
      <c r="A47" s="60" t="s">
        <v>832</v>
      </c>
      <c r="B47" s="60" t="s">
        <v>182</v>
      </c>
      <c r="C47" s="60" t="s">
        <v>183</v>
      </c>
      <c r="D47" s="60" t="s">
        <v>184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4730</f>
        <v>4730</v>
      </c>
      <c r="L47" s="67" t="s">
        <v>833</v>
      </c>
      <c r="M47" s="66">
        <f>4770</f>
        <v>4770</v>
      </c>
      <c r="N47" s="67" t="s">
        <v>814</v>
      </c>
      <c r="O47" s="66">
        <f>3590</f>
        <v>3590</v>
      </c>
      <c r="P47" s="67" t="s">
        <v>175</v>
      </c>
      <c r="Q47" s="66">
        <f>3760</f>
        <v>3760</v>
      </c>
      <c r="R47" s="67" t="s">
        <v>51</v>
      </c>
      <c r="S47" s="68">
        <f>4238.5</f>
        <v>4238.5</v>
      </c>
      <c r="T47" s="65">
        <f>2369</f>
        <v>2369</v>
      </c>
      <c r="U47" s="65" t="str">
        <f>"－"</f>
        <v>－</v>
      </c>
      <c r="V47" s="65">
        <f>9714740</f>
        <v>9714740</v>
      </c>
      <c r="W47" s="65" t="str">
        <f>"－"</f>
        <v>－</v>
      </c>
      <c r="X47" s="69">
        <f>20</f>
        <v>20</v>
      </c>
    </row>
    <row r="48" spans="1:24">
      <c r="A48" s="60" t="s">
        <v>832</v>
      </c>
      <c r="B48" s="60" t="s">
        <v>185</v>
      </c>
      <c r="C48" s="60" t="s">
        <v>186</v>
      </c>
      <c r="D48" s="60" t="s">
        <v>187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2220</f>
        <v>2220</v>
      </c>
      <c r="L48" s="67" t="s">
        <v>833</v>
      </c>
      <c r="M48" s="66">
        <f>2351</f>
        <v>2351</v>
      </c>
      <c r="N48" s="67" t="s">
        <v>814</v>
      </c>
      <c r="O48" s="66">
        <f>1745</f>
        <v>1745</v>
      </c>
      <c r="P48" s="67" t="s">
        <v>820</v>
      </c>
      <c r="Q48" s="66">
        <f>2021</f>
        <v>2021</v>
      </c>
      <c r="R48" s="67" t="s">
        <v>51</v>
      </c>
      <c r="S48" s="68">
        <f>2000.67</f>
        <v>2000.67</v>
      </c>
      <c r="T48" s="65">
        <f>9972</f>
        <v>9972</v>
      </c>
      <c r="U48" s="65">
        <f>1128</f>
        <v>1128</v>
      </c>
      <c r="V48" s="65">
        <f>19985313</f>
        <v>19985313</v>
      </c>
      <c r="W48" s="65">
        <f>2332135</f>
        <v>2332135</v>
      </c>
      <c r="X48" s="69">
        <f>21</f>
        <v>21</v>
      </c>
    </row>
    <row r="49" spans="1:24">
      <c r="A49" s="60" t="s">
        <v>832</v>
      </c>
      <c r="B49" s="60" t="s">
        <v>188</v>
      </c>
      <c r="C49" s="60" t="s">
        <v>189</v>
      </c>
      <c r="D49" s="60" t="s">
        <v>190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2515</f>
        <v>2515</v>
      </c>
      <c r="L49" s="67" t="s">
        <v>833</v>
      </c>
      <c r="M49" s="66">
        <f>2610</f>
        <v>2610</v>
      </c>
      <c r="N49" s="67" t="s">
        <v>814</v>
      </c>
      <c r="O49" s="66">
        <f>1900</f>
        <v>1900</v>
      </c>
      <c r="P49" s="67" t="s">
        <v>72</v>
      </c>
      <c r="Q49" s="66">
        <f>2209</f>
        <v>2209</v>
      </c>
      <c r="R49" s="67" t="s">
        <v>51</v>
      </c>
      <c r="S49" s="68">
        <f>2272</f>
        <v>2272</v>
      </c>
      <c r="T49" s="65">
        <f>2413</f>
        <v>2413</v>
      </c>
      <c r="U49" s="65">
        <f>210</f>
        <v>210</v>
      </c>
      <c r="V49" s="65">
        <f>5236835</f>
        <v>5236835</v>
      </c>
      <c r="W49" s="65">
        <f>428604</f>
        <v>428604</v>
      </c>
      <c r="X49" s="69">
        <f>21</f>
        <v>21</v>
      </c>
    </row>
    <row r="50" spans="1:24">
      <c r="A50" s="60" t="s">
        <v>832</v>
      </c>
      <c r="B50" s="60" t="s">
        <v>191</v>
      </c>
      <c r="C50" s="60" t="s">
        <v>192</v>
      </c>
      <c r="D50" s="60" t="s">
        <v>193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31650</f>
        <v>31650</v>
      </c>
      <c r="L50" s="67" t="s">
        <v>833</v>
      </c>
      <c r="M50" s="66">
        <f>38000</f>
        <v>38000</v>
      </c>
      <c r="N50" s="67" t="s">
        <v>91</v>
      </c>
      <c r="O50" s="66">
        <f>25000</f>
        <v>25000</v>
      </c>
      <c r="P50" s="67" t="s">
        <v>820</v>
      </c>
      <c r="Q50" s="66">
        <f>28000</f>
        <v>28000</v>
      </c>
      <c r="R50" s="67" t="s">
        <v>51</v>
      </c>
      <c r="S50" s="68">
        <f>30351.9</f>
        <v>30351.9</v>
      </c>
      <c r="T50" s="65">
        <f>4542</f>
        <v>4542</v>
      </c>
      <c r="U50" s="65" t="str">
        <f>"－"</f>
        <v>－</v>
      </c>
      <c r="V50" s="65">
        <f>140176660</f>
        <v>140176660</v>
      </c>
      <c r="W50" s="65" t="str">
        <f>"－"</f>
        <v>－</v>
      </c>
      <c r="X50" s="69">
        <f>21</f>
        <v>21</v>
      </c>
    </row>
    <row r="51" spans="1:24">
      <c r="A51" s="60" t="s">
        <v>832</v>
      </c>
      <c r="B51" s="60" t="s">
        <v>194</v>
      </c>
      <c r="C51" s="60" t="s">
        <v>195</v>
      </c>
      <c r="D51" s="60" t="s">
        <v>196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24550</f>
        <v>24550</v>
      </c>
      <c r="L51" s="67" t="s">
        <v>833</v>
      </c>
      <c r="M51" s="66">
        <f>25670</f>
        <v>25670</v>
      </c>
      <c r="N51" s="67" t="s">
        <v>814</v>
      </c>
      <c r="O51" s="66">
        <f>17510</f>
        <v>17510</v>
      </c>
      <c r="P51" s="67" t="s">
        <v>819</v>
      </c>
      <c r="Q51" s="66">
        <f>19400</f>
        <v>19400</v>
      </c>
      <c r="R51" s="67" t="s">
        <v>51</v>
      </c>
      <c r="S51" s="68">
        <f>20496.84</f>
        <v>20496.84</v>
      </c>
      <c r="T51" s="65">
        <f>947</f>
        <v>947</v>
      </c>
      <c r="U51" s="65" t="str">
        <f>"－"</f>
        <v>－</v>
      </c>
      <c r="V51" s="65">
        <f>19673430</f>
        <v>19673430</v>
      </c>
      <c r="W51" s="65" t="str">
        <f>"－"</f>
        <v>－</v>
      </c>
      <c r="X51" s="69">
        <f>19</f>
        <v>19</v>
      </c>
    </row>
    <row r="52" spans="1:24">
      <c r="A52" s="60" t="s">
        <v>832</v>
      </c>
      <c r="B52" s="60" t="s">
        <v>197</v>
      </c>
      <c r="C52" s="60" t="s">
        <v>198</v>
      </c>
      <c r="D52" s="60" t="s">
        <v>199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21070</f>
        <v>21070</v>
      </c>
      <c r="L52" s="67" t="s">
        <v>833</v>
      </c>
      <c r="M52" s="66">
        <f>21940</f>
        <v>21940</v>
      </c>
      <c r="N52" s="67" t="s">
        <v>814</v>
      </c>
      <c r="O52" s="66">
        <f>16540</f>
        <v>16540</v>
      </c>
      <c r="P52" s="67" t="s">
        <v>79</v>
      </c>
      <c r="Q52" s="66">
        <f>19160</f>
        <v>19160</v>
      </c>
      <c r="R52" s="67" t="s">
        <v>51</v>
      </c>
      <c r="S52" s="68">
        <f>19164.29</f>
        <v>19164.29</v>
      </c>
      <c r="T52" s="65">
        <f>122838</f>
        <v>122838</v>
      </c>
      <c r="U52" s="65">
        <f>114761</f>
        <v>114761</v>
      </c>
      <c r="V52" s="65">
        <f>2335875692</f>
        <v>2335875692</v>
      </c>
      <c r="W52" s="65">
        <f>2181815832</f>
        <v>2181815832</v>
      </c>
      <c r="X52" s="69">
        <f>21</f>
        <v>21</v>
      </c>
    </row>
    <row r="53" spans="1:24">
      <c r="A53" s="60" t="s">
        <v>832</v>
      </c>
      <c r="B53" s="60" t="s">
        <v>200</v>
      </c>
      <c r="C53" s="60" t="s">
        <v>201</v>
      </c>
      <c r="D53" s="60" t="s">
        <v>202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2018</f>
        <v>2018</v>
      </c>
      <c r="L53" s="67" t="s">
        <v>833</v>
      </c>
      <c r="M53" s="66">
        <f>2200</f>
        <v>2200</v>
      </c>
      <c r="N53" s="67" t="s">
        <v>814</v>
      </c>
      <c r="O53" s="66">
        <f>1175</f>
        <v>1175</v>
      </c>
      <c r="P53" s="67" t="s">
        <v>819</v>
      </c>
      <c r="Q53" s="66">
        <f>1610</f>
        <v>1610</v>
      </c>
      <c r="R53" s="67" t="s">
        <v>51</v>
      </c>
      <c r="S53" s="68">
        <f>1743.86</f>
        <v>1743.86</v>
      </c>
      <c r="T53" s="65">
        <f>932670</f>
        <v>932670</v>
      </c>
      <c r="U53" s="65">
        <f>255000</f>
        <v>255000</v>
      </c>
      <c r="V53" s="65">
        <f>1720980040</f>
        <v>1720980040</v>
      </c>
      <c r="W53" s="65">
        <f>413892750</f>
        <v>413892750</v>
      </c>
      <c r="X53" s="69">
        <f>21</f>
        <v>21</v>
      </c>
    </row>
    <row r="54" spans="1:24">
      <c r="A54" s="60" t="s">
        <v>832</v>
      </c>
      <c r="B54" s="60" t="s">
        <v>203</v>
      </c>
      <c r="C54" s="60" t="s">
        <v>204</v>
      </c>
      <c r="D54" s="60" t="s">
        <v>205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1394</f>
        <v>1394</v>
      </c>
      <c r="L54" s="67" t="s">
        <v>833</v>
      </c>
      <c r="M54" s="66">
        <f>1420</f>
        <v>1420</v>
      </c>
      <c r="N54" s="67" t="s">
        <v>814</v>
      </c>
      <c r="O54" s="66">
        <f>1108</f>
        <v>1108</v>
      </c>
      <c r="P54" s="67" t="s">
        <v>79</v>
      </c>
      <c r="Q54" s="66">
        <f>1303</f>
        <v>1303</v>
      </c>
      <c r="R54" s="67" t="s">
        <v>51</v>
      </c>
      <c r="S54" s="68">
        <f>1270.67</f>
        <v>1270.67</v>
      </c>
      <c r="T54" s="65">
        <f>29400</f>
        <v>29400</v>
      </c>
      <c r="U54" s="65" t="str">
        <f>"－"</f>
        <v>－</v>
      </c>
      <c r="V54" s="65">
        <f>35104770</f>
        <v>35104770</v>
      </c>
      <c r="W54" s="65" t="str">
        <f>"－"</f>
        <v>－</v>
      </c>
      <c r="X54" s="69">
        <f>21</f>
        <v>21</v>
      </c>
    </row>
    <row r="55" spans="1:24">
      <c r="A55" s="60" t="s">
        <v>832</v>
      </c>
      <c r="B55" s="60" t="s">
        <v>206</v>
      </c>
      <c r="C55" s="60" t="s">
        <v>207</v>
      </c>
      <c r="D55" s="60" t="s">
        <v>208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6850</f>
        <v>6850</v>
      </c>
      <c r="L55" s="67" t="s">
        <v>833</v>
      </c>
      <c r="M55" s="66">
        <f>8610</f>
        <v>8610</v>
      </c>
      <c r="N55" s="67" t="s">
        <v>819</v>
      </c>
      <c r="O55" s="66">
        <f>6550</f>
        <v>6550</v>
      </c>
      <c r="P55" s="67" t="s">
        <v>814</v>
      </c>
      <c r="Q55" s="66">
        <f>7280</f>
        <v>7280</v>
      </c>
      <c r="R55" s="67" t="s">
        <v>51</v>
      </c>
      <c r="S55" s="68">
        <f>7477.62</f>
        <v>7477.62</v>
      </c>
      <c r="T55" s="65">
        <f>2079519</f>
        <v>2079519</v>
      </c>
      <c r="U55" s="65">
        <f>721000</f>
        <v>721000</v>
      </c>
      <c r="V55" s="65">
        <f>16159370490</f>
        <v>16159370490</v>
      </c>
      <c r="W55" s="65">
        <f>5637350800</f>
        <v>5637350800</v>
      </c>
      <c r="X55" s="69">
        <f>21</f>
        <v>21</v>
      </c>
    </row>
    <row r="56" spans="1:24">
      <c r="A56" s="60" t="s">
        <v>832</v>
      </c>
      <c r="B56" s="60" t="s">
        <v>209</v>
      </c>
      <c r="C56" s="60" t="s">
        <v>210</v>
      </c>
      <c r="D56" s="60" t="s">
        <v>211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7850</f>
        <v>7850</v>
      </c>
      <c r="L56" s="67" t="s">
        <v>833</v>
      </c>
      <c r="M56" s="66">
        <f>9590</f>
        <v>9590</v>
      </c>
      <c r="N56" s="67" t="s">
        <v>79</v>
      </c>
      <c r="O56" s="66">
        <f>7490</f>
        <v>7490</v>
      </c>
      <c r="P56" s="67" t="s">
        <v>814</v>
      </c>
      <c r="Q56" s="66">
        <f>7980</f>
        <v>7980</v>
      </c>
      <c r="R56" s="67" t="s">
        <v>51</v>
      </c>
      <c r="S56" s="68">
        <f>8327.62</f>
        <v>8327.6200000000008</v>
      </c>
      <c r="T56" s="65">
        <f>981542</f>
        <v>981542</v>
      </c>
      <c r="U56" s="65">
        <f>30514</f>
        <v>30514</v>
      </c>
      <c r="V56" s="65">
        <f>8411337260</f>
        <v>8411337260</v>
      </c>
      <c r="W56" s="65">
        <f>235891430</f>
        <v>235891430</v>
      </c>
      <c r="X56" s="69">
        <f>21</f>
        <v>21</v>
      </c>
    </row>
    <row r="57" spans="1:24">
      <c r="A57" s="60" t="s">
        <v>832</v>
      </c>
      <c r="B57" s="60" t="s">
        <v>212</v>
      </c>
      <c r="C57" s="60" t="s">
        <v>213</v>
      </c>
      <c r="D57" s="60" t="s">
        <v>214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9940</f>
        <v>9940</v>
      </c>
      <c r="L57" s="67" t="s">
        <v>833</v>
      </c>
      <c r="M57" s="66">
        <f>10810</f>
        <v>10810</v>
      </c>
      <c r="N57" s="67" t="s">
        <v>814</v>
      </c>
      <c r="O57" s="66">
        <f>5990</f>
        <v>5990</v>
      </c>
      <c r="P57" s="67" t="s">
        <v>819</v>
      </c>
      <c r="Q57" s="66">
        <f>8060</f>
        <v>8060</v>
      </c>
      <c r="R57" s="67" t="s">
        <v>51</v>
      </c>
      <c r="S57" s="68">
        <f>8200.95</f>
        <v>8200.9500000000007</v>
      </c>
      <c r="T57" s="65">
        <f>14185124</f>
        <v>14185124</v>
      </c>
      <c r="U57" s="65">
        <f>9805</f>
        <v>9805</v>
      </c>
      <c r="V57" s="65">
        <f>113140863059</f>
        <v>113140863059</v>
      </c>
      <c r="W57" s="65">
        <f>76191549</f>
        <v>76191549</v>
      </c>
      <c r="X57" s="69">
        <f>21</f>
        <v>21</v>
      </c>
    </row>
    <row r="58" spans="1:24">
      <c r="A58" s="60" t="s">
        <v>832</v>
      </c>
      <c r="B58" s="60" t="s">
        <v>215</v>
      </c>
      <c r="C58" s="60" t="s">
        <v>216</v>
      </c>
      <c r="D58" s="60" t="s">
        <v>217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4335</f>
        <v>4335</v>
      </c>
      <c r="L58" s="67" t="s">
        <v>833</v>
      </c>
      <c r="M58" s="66">
        <f>6830</f>
        <v>6830</v>
      </c>
      <c r="N58" s="67" t="s">
        <v>819</v>
      </c>
      <c r="O58" s="66">
        <f>3980</f>
        <v>3980</v>
      </c>
      <c r="P58" s="67" t="s">
        <v>814</v>
      </c>
      <c r="Q58" s="66">
        <f>4805</f>
        <v>4805</v>
      </c>
      <c r="R58" s="67" t="s">
        <v>51</v>
      </c>
      <c r="S58" s="68">
        <f>5170.71</f>
        <v>5170.71</v>
      </c>
      <c r="T58" s="65">
        <f>39100834</f>
        <v>39100834</v>
      </c>
      <c r="U58" s="65">
        <f>35275</f>
        <v>35275</v>
      </c>
      <c r="V58" s="65">
        <f>202944248977</f>
        <v>202944248977</v>
      </c>
      <c r="W58" s="65">
        <f>193991452</f>
        <v>193991452</v>
      </c>
      <c r="X58" s="69">
        <f>21</f>
        <v>21</v>
      </c>
    </row>
    <row r="59" spans="1:24">
      <c r="A59" s="60" t="s">
        <v>832</v>
      </c>
      <c r="B59" s="60" t="s">
        <v>218</v>
      </c>
      <c r="C59" s="60" t="s">
        <v>219</v>
      </c>
      <c r="D59" s="60" t="s">
        <v>220</v>
      </c>
      <c r="E59" s="61" t="s">
        <v>46</v>
      </c>
      <c r="F59" s="62" t="s">
        <v>46</v>
      </c>
      <c r="G59" s="63" t="s">
        <v>46</v>
      </c>
      <c r="H59" s="64"/>
      <c r="I59" s="64" t="s">
        <v>47</v>
      </c>
      <c r="J59" s="65">
        <v>1</v>
      </c>
      <c r="K59" s="66">
        <f>18410</f>
        <v>18410</v>
      </c>
      <c r="L59" s="67" t="s">
        <v>833</v>
      </c>
      <c r="M59" s="66">
        <f>18850</f>
        <v>18850</v>
      </c>
      <c r="N59" s="67" t="s">
        <v>817</v>
      </c>
      <c r="O59" s="66">
        <f>15260</f>
        <v>15260</v>
      </c>
      <c r="P59" s="67" t="s">
        <v>51</v>
      </c>
      <c r="Q59" s="66">
        <f>16860</f>
        <v>16860</v>
      </c>
      <c r="R59" s="67" t="s">
        <v>51</v>
      </c>
      <c r="S59" s="68">
        <f>17340.71</f>
        <v>17340.71</v>
      </c>
      <c r="T59" s="65">
        <f>328</f>
        <v>328</v>
      </c>
      <c r="U59" s="65" t="str">
        <f>"－"</f>
        <v>－</v>
      </c>
      <c r="V59" s="65">
        <f>5543420</f>
        <v>5543420</v>
      </c>
      <c r="W59" s="65" t="str">
        <f>"－"</f>
        <v>－</v>
      </c>
      <c r="X59" s="69">
        <f>14</f>
        <v>14</v>
      </c>
    </row>
    <row r="60" spans="1:24">
      <c r="A60" s="60" t="s">
        <v>832</v>
      </c>
      <c r="B60" s="60" t="s">
        <v>221</v>
      </c>
      <c r="C60" s="60" t="s">
        <v>222</v>
      </c>
      <c r="D60" s="60" t="s">
        <v>223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8610</f>
        <v>8610</v>
      </c>
      <c r="L60" s="67" t="s">
        <v>833</v>
      </c>
      <c r="M60" s="66">
        <f>9400</f>
        <v>9400</v>
      </c>
      <c r="N60" s="67" t="s">
        <v>814</v>
      </c>
      <c r="O60" s="66">
        <f>5480</f>
        <v>5480</v>
      </c>
      <c r="P60" s="67" t="s">
        <v>79</v>
      </c>
      <c r="Q60" s="66">
        <f>7690</f>
        <v>7690</v>
      </c>
      <c r="R60" s="67" t="s">
        <v>51</v>
      </c>
      <c r="S60" s="68">
        <f>7405.24</f>
        <v>7405.24</v>
      </c>
      <c r="T60" s="65">
        <f>33517</f>
        <v>33517</v>
      </c>
      <c r="U60" s="65">
        <f>3</f>
        <v>3</v>
      </c>
      <c r="V60" s="65">
        <f>248086260</f>
        <v>248086260</v>
      </c>
      <c r="W60" s="65">
        <f>22440</f>
        <v>22440</v>
      </c>
      <c r="X60" s="69">
        <f>21</f>
        <v>21</v>
      </c>
    </row>
    <row r="61" spans="1:24">
      <c r="A61" s="60" t="s">
        <v>832</v>
      </c>
      <c r="B61" s="60" t="s">
        <v>224</v>
      </c>
      <c r="C61" s="60" t="s">
        <v>225</v>
      </c>
      <c r="D61" s="60" t="s">
        <v>226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7680</f>
        <v>7680</v>
      </c>
      <c r="L61" s="67" t="s">
        <v>833</v>
      </c>
      <c r="M61" s="66">
        <f>9470</f>
        <v>9470</v>
      </c>
      <c r="N61" s="67" t="s">
        <v>79</v>
      </c>
      <c r="O61" s="66">
        <f>7320</f>
        <v>7320</v>
      </c>
      <c r="P61" s="67" t="s">
        <v>814</v>
      </c>
      <c r="Q61" s="66">
        <f>7820</f>
        <v>7820</v>
      </c>
      <c r="R61" s="67" t="s">
        <v>51</v>
      </c>
      <c r="S61" s="68">
        <f>8183.81</f>
        <v>8183.81</v>
      </c>
      <c r="T61" s="65">
        <f>18992</f>
        <v>18992</v>
      </c>
      <c r="U61" s="65" t="str">
        <f>"－"</f>
        <v>－</v>
      </c>
      <c r="V61" s="65">
        <f>156877450</f>
        <v>156877450</v>
      </c>
      <c r="W61" s="65" t="str">
        <f>"－"</f>
        <v>－</v>
      </c>
      <c r="X61" s="69">
        <f>21</f>
        <v>21</v>
      </c>
    </row>
    <row r="62" spans="1:24">
      <c r="A62" s="60" t="s">
        <v>832</v>
      </c>
      <c r="B62" s="60" t="s">
        <v>227</v>
      </c>
      <c r="C62" s="60" t="s">
        <v>228</v>
      </c>
      <c r="D62" s="60" t="s">
        <v>229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5000</f>
        <v>5000</v>
      </c>
      <c r="L62" s="67" t="s">
        <v>833</v>
      </c>
      <c r="M62" s="66">
        <f>7990</f>
        <v>7990</v>
      </c>
      <c r="N62" s="67" t="s">
        <v>79</v>
      </c>
      <c r="O62" s="66">
        <f>4630</f>
        <v>4630</v>
      </c>
      <c r="P62" s="67" t="s">
        <v>814</v>
      </c>
      <c r="Q62" s="66">
        <f>5300</f>
        <v>5300</v>
      </c>
      <c r="R62" s="67" t="s">
        <v>51</v>
      </c>
      <c r="S62" s="68">
        <f>5830.95</f>
        <v>5830.95</v>
      </c>
      <c r="T62" s="65">
        <f>183265</f>
        <v>183265</v>
      </c>
      <c r="U62" s="65">
        <f>81</f>
        <v>81</v>
      </c>
      <c r="V62" s="65">
        <f>1098020560</f>
        <v>1098020560</v>
      </c>
      <c r="W62" s="65">
        <f>558900</f>
        <v>558900</v>
      </c>
      <c r="X62" s="69">
        <f>21</f>
        <v>21</v>
      </c>
    </row>
    <row r="63" spans="1:24">
      <c r="A63" s="60" t="s">
        <v>832</v>
      </c>
      <c r="B63" s="60" t="s">
        <v>230</v>
      </c>
      <c r="C63" s="60" t="s">
        <v>231</v>
      </c>
      <c r="D63" s="60" t="s">
        <v>232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8560</f>
        <v>8560</v>
      </c>
      <c r="L63" s="67" t="s">
        <v>833</v>
      </c>
      <c r="M63" s="66">
        <f>9650</f>
        <v>9650</v>
      </c>
      <c r="N63" s="67" t="s">
        <v>814</v>
      </c>
      <c r="O63" s="66">
        <f>5500</f>
        <v>5500</v>
      </c>
      <c r="P63" s="67" t="s">
        <v>79</v>
      </c>
      <c r="Q63" s="66">
        <f>7200</f>
        <v>7200</v>
      </c>
      <c r="R63" s="67" t="s">
        <v>51</v>
      </c>
      <c r="S63" s="68">
        <f>7342.86</f>
        <v>7342.86</v>
      </c>
      <c r="T63" s="65">
        <f>76960</f>
        <v>76960</v>
      </c>
      <c r="U63" s="65">
        <f>1290</f>
        <v>1290</v>
      </c>
      <c r="V63" s="65">
        <f>553763600</f>
        <v>553763600</v>
      </c>
      <c r="W63" s="65">
        <f>8496500</f>
        <v>8496500</v>
      </c>
      <c r="X63" s="69">
        <f>21</f>
        <v>21</v>
      </c>
    </row>
    <row r="64" spans="1:24">
      <c r="A64" s="60" t="s">
        <v>832</v>
      </c>
      <c r="B64" s="60" t="s">
        <v>233</v>
      </c>
      <c r="C64" s="60" t="s">
        <v>234</v>
      </c>
      <c r="D64" s="60" t="s">
        <v>235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7770</f>
        <v>7770</v>
      </c>
      <c r="L64" s="67" t="s">
        <v>833</v>
      </c>
      <c r="M64" s="66">
        <f>9630</f>
        <v>9630</v>
      </c>
      <c r="N64" s="67" t="s">
        <v>79</v>
      </c>
      <c r="O64" s="66">
        <f>7270</f>
        <v>7270</v>
      </c>
      <c r="P64" s="67" t="s">
        <v>833</v>
      </c>
      <c r="Q64" s="66">
        <f>8050</f>
        <v>8050</v>
      </c>
      <c r="R64" s="67" t="s">
        <v>51</v>
      </c>
      <c r="S64" s="68">
        <f>8165.71</f>
        <v>8165.71</v>
      </c>
      <c r="T64" s="65">
        <f>13110</f>
        <v>13110</v>
      </c>
      <c r="U64" s="65" t="str">
        <f>"－"</f>
        <v>－</v>
      </c>
      <c r="V64" s="65">
        <f>108470100</f>
        <v>108470100</v>
      </c>
      <c r="W64" s="65" t="str">
        <f>"－"</f>
        <v>－</v>
      </c>
      <c r="X64" s="69">
        <f>21</f>
        <v>21</v>
      </c>
    </row>
    <row r="65" spans="1:24">
      <c r="A65" s="60" t="s">
        <v>832</v>
      </c>
      <c r="B65" s="60" t="s">
        <v>236</v>
      </c>
      <c r="C65" s="60" t="s">
        <v>237</v>
      </c>
      <c r="D65" s="60" t="s">
        <v>238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5120</f>
        <v>5120</v>
      </c>
      <c r="L65" s="67" t="s">
        <v>833</v>
      </c>
      <c r="M65" s="66">
        <f>7500</f>
        <v>7500</v>
      </c>
      <c r="N65" s="67" t="s">
        <v>79</v>
      </c>
      <c r="O65" s="66">
        <f>4525</f>
        <v>4525</v>
      </c>
      <c r="P65" s="67" t="s">
        <v>814</v>
      </c>
      <c r="Q65" s="66">
        <f>5120</f>
        <v>5120</v>
      </c>
      <c r="R65" s="67" t="s">
        <v>51</v>
      </c>
      <c r="S65" s="68">
        <f>5661.67</f>
        <v>5661.67</v>
      </c>
      <c r="T65" s="65">
        <f>581680</f>
        <v>581680</v>
      </c>
      <c r="U65" s="65">
        <f>136500</f>
        <v>136500</v>
      </c>
      <c r="V65" s="65">
        <f>3380988850</f>
        <v>3380988850</v>
      </c>
      <c r="W65" s="65">
        <f>754776050</f>
        <v>754776050</v>
      </c>
      <c r="X65" s="69">
        <f>21</f>
        <v>21</v>
      </c>
    </row>
    <row r="66" spans="1:24">
      <c r="A66" s="60" t="s">
        <v>832</v>
      </c>
      <c r="B66" s="60" t="s">
        <v>239</v>
      </c>
      <c r="C66" s="60" t="s">
        <v>240</v>
      </c>
      <c r="D66" s="60" t="s">
        <v>241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f>17150</f>
        <v>17150</v>
      </c>
      <c r="L66" s="67" t="s">
        <v>833</v>
      </c>
      <c r="M66" s="66">
        <f>19000</f>
        <v>19000</v>
      </c>
      <c r="N66" s="67" t="s">
        <v>814</v>
      </c>
      <c r="O66" s="66">
        <f>11500</f>
        <v>11500</v>
      </c>
      <c r="P66" s="67" t="s">
        <v>79</v>
      </c>
      <c r="Q66" s="66">
        <f>15320</f>
        <v>15320</v>
      </c>
      <c r="R66" s="67" t="s">
        <v>51</v>
      </c>
      <c r="S66" s="68">
        <f>14976.19</f>
        <v>14976.19</v>
      </c>
      <c r="T66" s="65">
        <f>19142</f>
        <v>19142</v>
      </c>
      <c r="U66" s="65" t="str">
        <f>"－"</f>
        <v>－</v>
      </c>
      <c r="V66" s="65">
        <f>282833230</f>
        <v>282833230</v>
      </c>
      <c r="W66" s="65" t="str">
        <f>"－"</f>
        <v>－</v>
      </c>
      <c r="X66" s="69">
        <f>21</f>
        <v>21</v>
      </c>
    </row>
    <row r="67" spans="1:24">
      <c r="A67" s="60" t="s">
        <v>832</v>
      </c>
      <c r="B67" s="60" t="s">
        <v>242</v>
      </c>
      <c r="C67" s="60" t="s">
        <v>243</v>
      </c>
      <c r="D67" s="60" t="s">
        <v>244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5140</f>
        <v>5140</v>
      </c>
      <c r="L67" s="67" t="s">
        <v>833</v>
      </c>
      <c r="M67" s="66">
        <f>6440</f>
        <v>6440</v>
      </c>
      <c r="N67" s="67" t="s">
        <v>820</v>
      </c>
      <c r="O67" s="66">
        <f>4700</f>
        <v>4700</v>
      </c>
      <c r="P67" s="67" t="s">
        <v>814</v>
      </c>
      <c r="Q67" s="66">
        <f>4940</f>
        <v>4940</v>
      </c>
      <c r="R67" s="67" t="s">
        <v>51</v>
      </c>
      <c r="S67" s="68">
        <f>5290.71</f>
        <v>5290.71</v>
      </c>
      <c r="T67" s="65">
        <f>21710</f>
        <v>21710</v>
      </c>
      <c r="U67" s="65" t="str">
        <f>"－"</f>
        <v>－</v>
      </c>
      <c r="V67" s="65">
        <f>117181200</f>
        <v>117181200</v>
      </c>
      <c r="W67" s="65" t="str">
        <f>"－"</f>
        <v>－</v>
      </c>
      <c r="X67" s="69">
        <f>21</f>
        <v>21</v>
      </c>
    </row>
    <row r="68" spans="1:24">
      <c r="A68" s="60" t="s">
        <v>832</v>
      </c>
      <c r="B68" s="60" t="s">
        <v>246</v>
      </c>
      <c r="C68" s="60" t="s">
        <v>247</v>
      </c>
      <c r="D68" s="60" t="s">
        <v>248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f>2154</f>
        <v>2154</v>
      </c>
      <c r="L68" s="67" t="s">
        <v>833</v>
      </c>
      <c r="M68" s="66">
        <f>3150</f>
        <v>3150</v>
      </c>
      <c r="N68" s="67" t="s">
        <v>79</v>
      </c>
      <c r="O68" s="66">
        <f>1811</f>
        <v>1811</v>
      </c>
      <c r="P68" s="67" t="s">
        <v>814</v>
      </c>
      <c r="Q68" s="66">
        <f>2050</f>
        <v>2050</v>
      </c>
      <c r="R68" s="67" t="s">
        <v>51</v>
      </c>
      <c r="S68" s="68">
        <f>2273.71</f>
        <v>2273.71</v>
      </c>
      <c r="T68" s="65">
        <f>1092530</f>
        <v>1092530</v>
      </c>
      <c r="U68" s="65">
        <f>206</f>
        <v>206</v>
      </c>
      <c r="V68" s="65">
        <f>2651692216</f>
        <v>2651692216</v>
      </c>
      <c r="W68" s="65">
        <f>449698</f>
        <v>449698</v>
      </c>
      <c r="X68" s="69">
        <f>21</f>
        <v>21</v>
      </c>
    </row>
    <row r="69" spans="1:24">
      <c r="A69" s="60" t="s">
        <v>832</v>
      </c>
      <c r="B69" s="60" t="s">
        <v>249</v>
      </c>
      <c r="C69" s="60" t="s">
        <v>250</v>
      </c>
      <c r="D69" s="60" t="s">
        <v>251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10</v>
      </c>
      <c r="K69" s="66">
        <f>1495</f>
        <v>1495</v>
      </c>
      <c r="L69" s="67" t="s">
        <v>833</v>
      </c>
      <c r="M69" s="66">
        <f>1562</f>
        <v>1562</v>
      </c>
      <c r="N69" s="67" t="s">
        <v>814</v>
      </c>
      <c r="O69" s="66">
        <f>1218</f>
        <v>1218</v>
      </c>
      <c r="P69" s="67" t="s">
        <v>79</v>
      </c>
      <c r="Q69" s="66">
        <f>1438</f>
        <v>1438</v>
      </c>
      <c r="R69" s="67" t="s">
        <v>51</v>
      </c>
      <c r="S69" s="68">
        <f>1399.67</f>
        <v>1399.67</v>
      </c>
      <c r="T69" s="65">
        <f>783850</f>
        <v>783850</v>
      </c>
      <c r="U69" s="65">
        <f>391080</f>
        <v>391080</v>
      </c>
      <c r="V69" s="65">
        <f>1122997016</f>
        <v>1122997016</v>
      </c>
      <c r="W69" s="65">
        <f>544584956</f>
        <v>544584956</v>
      </c>
      <c r="X69" s="69">
        <f>21</f>
        <v>21</v>
      </c>
    </row>
    <row r="70" spans="1:24">
      <c r="A70" s="60" t="s">
        <v>832</v>
      </c>
      <c r="B70" s="60" t="s">
        <v>252</v>
      </c>
      <c r="C70" s="60" t="s">
        <v>253</v>
      </c>
      <c r="D70" s="60" t="s">
        <v>254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13420</f>
        <v>13420</v>
      </c>
      <c r="L70" s="67" t="s">
        <v>833</v>
      </c>
      <c r="M70" s="66">
        <f>14030</f>
        <v>14030</v>
      </c>
      <c r="N70" s="67" t="s">
        <v>814</v>
      </c>
      <c r="O70" s="66">
        <f>10860</f>
        <v>10860</v>
      </c>
      <c r="P70" s="67" t="s">
        <v>79</v>
      </c>
      <c r="Q70" s="66">
        <f>12970</f>
        <v>12970</v>
      </c>
      <c r="R70" s="67" t="s">
        <v>51</v>
      </c>
      <c r="S70" s="68">
        <f>12517.62</f>
        <v>12517.62</v>
      </c>
      <c r="T70" s="65">
        <f>26553</f>
        <v>26553</v>
      </c>
      <c r="U70" s="65" t="str">
        <f>"－"</f>
        <v>－</v>
      </c>
      <c r="V70" s="65">
        <f>330623650</f>
        <v>330623650</v>
      </c>
      <c r="W70" s="65" t="str">
        <f>"－"</f>
        <v>－</v>
      </c>
      <c r="X70" s="69">
        <f>21</f>
        <v>21</v>
      </c>
    </row>
    <row r="71" spans="1:24">
      <c r="A71" s="60" t="s">
        <v>832</v>
      </c>
      <c r="B71" s="60" t="s">
        <v>255</v>
      </c>
      <c r="C71" s="60" t="s">
        <v>256</v>
      </c>
      <c r="D71" s="60" t="s">
        <v>257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1504</f>
        <v>1504</v>
      </c>
      <c r="L71" s="67" t="s">
        <v>833</v>
      </c>
      <c r="M71" s="66">
        <f>1570</f>
        <v>1570</v>
      </c>
      <c r="N71" s="67" t="s">
        <v>814</v>
      </c>
      <c r="O71" s="66">
        <f>1215</f>
        <v>1215</v>
      </c>
      <c r="P71" s="67" t="s">
        <v>820</v>
      </c>
      <c r="Q71" s="66">
        <f>1436</f>
        <v>1436</v>
      </c>
      <c r="R71" s="67" t="s">
        <v>51</v>
      </c>
      <c r="S71" s="68">
        <f>1404.86</f>
        <v>1404.86</v>
      </c>
      <c r="T71" s="65">
        <f>7677093</f>
        <v>7677093</v>
      </c>
      <c r="U71" s="65">
        <f>255748</f>
        <v>255748</v>
      </c>
      <c r="V71" s="65">
        <f>10648103631</f>
        <v>10648103631</v>
      </c>
      <c r="W71" s="65">
        <f>374305113</f>
        <v>374305113</v>
      </c>
      <c r="X71" s="69">
        <f>21</f>
        <v>21</v>
      </c>
    </row>
    <row r="72" spans="1:24">
      <c r="A72" s="60" t="s">
        <v>832</v>
      </c>
      <c r="B72" s="60" t="s">
        <v>258</v>
      </c>
      <c r="C72" s="60" t="s">
        <v>259</v>
      </c>
      <c r="D72" s="60" t="s">
        <v>260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2050</f>
        <v>2050</v>
      </c>
      <c r="L72" s="67" t="s">
        <v>833</v>
      </c>
      <c r="M72" s="66">
        <f>2166</f>
        <v>2166</v>
      </c>
      <c r="N72" s="67" t="s">
        <v>817</v>
      </c>
      <c r="O72" s="66">
        <f>1229</f>
        <v>1229</v>
      </c>
      <c r="P72" s="67" t="s">
        <v>819</v>
      </c>
      <c r="Q72" s="66">
        <f>1660</f>
        <v>1660</v>
      </c>
      <c r="R72" s="67" t="s">
        <v>51</v>
      </c>
      <c r="S72" s="68">
        <f>1759.67</f>
        <v>1759.67</v>
      </c>
      <c r="T72" s="65">
        <f>7504301</f>
        <v>7504301</v>
      </c>
      <c r="U72" s="65">
        <f>2828755</f>
        <v>2828755</v>
      </c>
      <c r="V72" s="65">
        <f>13564333680</f>
        <v>13564333680</v>
      </c>
      <c r="W72" s="65">
        <f>4939056917</f>
        <v>4939056917</v>
      </c>
      <c r="X72" s="69">
        <f>21</f>
        <v>21</v>
      </c>
    </row>
    <row r="73" spans="1:24">
      <c r="A73" s="60" t="s">
        <v>832</v>
      </c>
      <c r="B73" s="60" t="s">
        <v>261</v>
      </c>
      <c r="C73" s="60" t="s">
        <v>262</v>
      </c>
      <c r="D73" s="60" t="s">
        <v>263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1635</f>
        <v>1635</v>
      </c>
      <c r="L73" s="67" t="s">
        <v>833</v>
      </c>
      <c r="M73" s="66">
        <f>1700</f>
        <v>1700</v>
      </c>
      <c r="N73" s="67" t="s">
        <v>814</v>
      </c>
      <c r="O73" s="66">
        <f>1379</f>
        <v>1379</v>
      </c>
      <c r="P73" s="67" t="s">
        <v>820</v>
      </c>
      <c r="Q73" s="66">
        <f>1619</f>
        <v>1619</v>
      </c>
      <c r="R73" s="67" t="s">
        <v>51</v>
      </c>
      <c r="S73" s="68">
        <f>1572.1</f>
        <v>1572.1</v>
      </c>
      <c r="T73" s="65">
        <f>76241</f>
        <v>76241</v>
      </c>
      <c r="U73" s="65">
        <f>18</f>
        <v>18</v>
      </c>
      <c r="V73" s="65">
        <f>116642840</f>
        <v>116642840</v>
      </c>
      <c r="W73" s="65">
        <f>27290</f>
        <v>27290</v>
      </c>
      <c r="X73" s="69">
        <f>21</f>
        <v>21</v>
      </c>
    </row>
    <row r="74" spans="1:24">
      <c r="A74" s="60" t="s">
        <v>832</v>
      </c>
      <c r="B74" s="60" t="s">
        <v>264</v>
      </c>
      <c r="C74" s="60" t="s">
        <v>265</v>
      </c>
      <c r="D74" s="60" t="s">
        <v>266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1744</f>
        <v>1744</v>
      </c>
      <c r="L74" s="67" t="s">
        <v>833</v>
      </c>
      <c r="M74" s="66">
        <f>1808</f>
        <v>1808</v>
      </c>
      <c r="N74" s="67" t="s">
        <v>814</v>
      </c>
      <c r="O74" s="66">
        <f>1414</f>
        <v>1414</v>
      </c>
      <c r="P74" s="67" t="s">
        <v>820</v>
      </c>
      <c r="Q74" s="66">
        <f>1672</f>
        <v>1672</v>
      </c>
      <c r="R74" s="67" t="s">
        <v>51</v>
      </c>
      <c r="S74" s="68">
        <f>1626.19</f>
        <v>1626.19</v>
      </c>
      <c r="T74" s="65">
        <f>456485</f>
        <v>456485</v>
      </c>
      <c r="U74" s="65">
        <f>48603</f>
        <v>48603</v>
      </c>
      <c r="V74" s="65">
        <f>737993499</f>
        <v>737993499</v>
      </c>
      <c r="W74" s="65">
        <f>80180124</f>
        <v>80180124</v>
      </c>
      <c r="X74" s="69">
        <f>21</f>
        <v>21</v>
      </c>
    </row>
    <row r="75" spans="1:24">
      <c r="A75" s="60" t="s">
        <v>832</v>
      </c>
      <c r="B75" s="60" t="s">
        <v>267</v>
      </c>
      <c r="C75" s="60" t="s">
        <v>268</v>
      </c>
      <c r="D75" s="60" t="s">
        <v>269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18210</f>
        <v>18210</v>
      </c>
      <c r="L75" s="67" t="s">
        <v>833</v>
      </c>
      <c r="M75" s="66">
        <f>18540</f>
        <v>18540</v>
      </c>
      <c r="N75" s="67" t="s">
        <v>814</v>
      </c>
      <c r="O75" s="66">
        <f>15010</f>
        <v>15010</v>
      </c>
      <c r="P75" s="67" t="s">
        <v>820</v>
      </c>
      <c r="Q75" s="66">
        <f>17690</f>
        <v>17690</v>
      </c>
      <c r="R75" s="67" t="s">
        <v>51</v>
      </c>
      <c r="S75" s="68">
        <f>16956.32</f>
        <v>16956.32</v>
      </c>
      <c r="T75" s="65">
        <f>22434</f>
        <v>22434</v>
      </c>
      <c r="U75" s="65" t="str">
        <f>"－"</f>
        <v>－</v>
      </c>
      <c r="V75" s="65">
        <f>367594750</f>
        <v>367594750</v>
      </c>
      <c r="W75" s="65" t="str">
        <f>"－"</f>
        <v>－</v>
      </c>
      <c r="X75" s="69">
        <f>19</f>
        <v>19</v>
      </c>
    </row>
    <row r="76" spans="1:24">
      <c r="A76" s="60" t="s">
        <v>832</v>
      </c>
      <c r="B76" s="60" t="s">
        <v>270</v>
      </c>
      <c r="C76" s="60" t="s">
        <v>271</v>
      </c>
      <c r="D76" s="60" t="s">
        <v>272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14980</f>
        <v>14980</v>
      </c>
      <c r="L76" s="67" t="s">
        <v>833</v>
      </c>
      <c r="M76" s="66">
        <f>15180</f>
        <v>15180</v>
      </c>
      <c r="N76" s="67" t="s">
        <v>814</v>
      </c>
      <c r="O76" s="66">
        <f>12010</f>
        <v>12010</v>
      </c>
      <c r="P76" s="67" t="s">
        <v>820</v>
      </c>
      <c r="Q76" s="66">
        <f>13950</f>
        <v>13950</v>
      </c>
      <c r="R76" s="67" t="s">
        <v>51</v>
      </c>
      <c r="S76" s="68">
        <f>13674.44</f>
        <v>13674.44</v>
      </c>
      <c r="T76" s="65">
        <f>5954</f>
        <v>5954</v>
      </c>
      <c r="U76" s="65" t="str">
        <f>"－"</f>
        <v>－</v>
      </c>
      <c r="V76" s="65">
        <f>77995000</f>
        <v>77995000</v>
      </c>
      <c r="W76" s="65" t="str">
        <f>"－"</f>
        <v>－</v>
      </c>
      <c r="X76" s="69">
        <f>18</f>
        <v>18</v>
      </c>
    </row>
    <row r="77" spans="1:24">
      <c r="A77" s="60" t="s">
        <v>832</v>
      </c>
      <c r="B77" s="60" t="s">
        <v>273</v>
      </c>
      <c r="C77" s="60" t="s">
        <v>274</v>
      </c>
      <c r="D77" s="60" t="s">
        <v>275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1444</f>
        <v>1444</v>
      </c>
      <c r="L77" s="67" t="s">
        <v>833</v>
      </c>
      <c r="M77" s="66">
        <f>1504</f>
        <v>1504</v>
      </c>
      <c r="N77" s="67" t="s">
        <v>814</v>
      </c>
      <c r="O77" s="66">
        <f>1199</f>
        <v>1199</v>
      </c>
      <c r="P77" s="67" t="s">
        <v>820</v>
      </c>
      <c r="Q77" s="66">
        <f>1420</f>
        <v>1420</v>
      </c>
      <c r="R77" s="67" t="s">
        <v>51</v>
      </c>
      <c r="S77" s="68">
        <f>1371.57</f>
        <v>1371.57</v>
      </c>
      <c r="T77" s="65">
        <f>691591</f>
        <v>691591</v>
      </c>
      <c r="U77" s="65">
        <f>420000</f>
        <v>420000</v>
      </c>
      <c r="V77" s="65">
        <f>895306389</f>
        <v>895306389</v>
      </c>
      <c r="W77" s="65">
        <f>533820000</f>
        <v>533820000</v>
      </c>
      <c r="X77" s="69">
        <f>21</f>
        <v>21</v>
      </c>
    </row>
    <row r="78" spans="1:24">
      <c r="A78" s="60" t="s">
        <v>832</v>
      </c>
      <c r="B78" s="60" t="s">
        <v>276</v>
      </c>
      <c r="C78" s="60" t="s">
        <v>277</v>
      </c>
      <c r="D78" s="60" t="s">
        <v>278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2430</f>
        <v>2430</v>
      </c>
      <c r="L78" s="67" t="s">
        <v>833</v>
      </c>
      <c r="M78" s="66">
        <f>2595</f>
        <v>2595</v>
      </c>
      <c r="N78" s="67" t="s">
        <v>119</v>
      </c>
      <c r="O78" s="66">
        <f>2374</f>
        <v>2374</v>
      </c>
      <c r="P78" s="67" t="s">
        <v>819</v>
      </c>
      <c r="Q78" s="66">
        <f>2533</f>
        <v>2533</v>
      </c>
      <c r="R78" s="67" t="s">
        <v>51</v>
      </c>
      <c r="S78" s="68">
        <f>2482.33</f>
        <v>2482.33</v>
      </c>
      <c r="T78" s="65">
        <f>1009273</f>
        <v>1009273</v>
      </c>
      <c r="U78" s="65">
        <f>537884</f>
        <v>537884</v>
      </c>
      <c r="V78" s="65">
        <f>2506213082</f>
        <v>2506213082</v>
      </c>
      <c r="W78" s="65">
        <f>1339095173</f>
        <v>1339095173</v>
      </c>
      <c r="X78" s="69">
        <f>21</f>
        <v>21</v>
      </c>
    </row>
    <row r="79" spans="1:24">
      <c r="A79" s="60" t="s">
        <v>832</v>
      </c>
      <c r="B79" s="60" t="s">
        <v>279</v>
      </c>
      <c r="C79" s="60" t="s">
        <v>280</v>
      </c>
      <c r="D79" s="60" t="s">
        <v>281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f>1601</f>
        <v>1601</v>
      </c>
      <c r="L79" s="67" t="s">
        <v>833</v>
      </c>
      <c r="M79" s="66">
        <f>1769</f>
        <v>1769</v>
      </c>
      <c r="N79" s="67" t="s">
        <v>816</v>
      </c>
      <c r="O79" s="66">
        <f>1300</f>
        <v>1300</v>
      </c>
      <c r="P79" s="67" t="s">
        <v>816</v>
      </c>
      <c r="Q79" s="66">
        <f>1350</f>
        <v>1350</v>
      </c>
      <c r="R79" s="67" t="s">
        <v>51</v>
      </c>
      <c r="S79" s="68">
        <f>1486.45</f>
        <v>1486.45</v>
      </c>
      <c r="T79" s="65">
        <f>4287</f>
        <v>4287</v>
      </c>
      <c r="U79" s="65" t="str">
        <f>"－"</f>
        <v>－</v>
      </c>
      <c r="V79" s="65">
        <f>5920374</f>
        <v>5920374</v>
      </c>
      <c r="W79" s="65" t="str">
        <f>"－"</f>
        <v>－</v>
      </c>
      <c r="X79" s="69">
        <f>20</f>
        <v>20</v>
      </c>
    </row>
    <row r="80" spans="1:24">
      <c r="A80" s="60" t="s">
        <v>832</v>
      </c>
      <c r="B80" s="60" t="s">
        <v>282</v>
      </c>
      <c r="C80" s="60" t="s">
        <v>283</v>
      </c>
      <c r="D80" s="60" t="s">
        <v>284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10</v>
      </c>
      <c r="K80" s="66">
        <f>1460</f>
        <v>1460</v>
      </c>
      <c r="L80" s="67" t="s">
        <v>833</v>
      </c>
      <c r="M80" s="66">
        <f>1460</f>
        <v>1460</v>
      </c>
      <c r="N80" s="67" t="s">
        <v>833</v>
      </c>
      <c r="O80" s="66">
        <f>1175</f>
        <v>1175</v>
      </c>
      <c r="P80" s="67" t="s">
        <v>820</v>
      </c>
      <c r="Q80" s="66">
        <f>1397</f>
        <v>1397</v>
      </c>
      <c r="R80" s="67" t="s">
        <v>51</v>
      </c>
      <c r="S80" s="68">
        <f>1353.71</f>
        <v>1353.71</v>
      </c>
      <c r="T80" s="65">
        <f>31850</f>
        <v>31850</v>
      </c>
      <c r="U80" s="65" t="str">
        <f>"－"</f>
        <v>－</v>
      </c>
      <c r="V80" s="65">
        <f>40800410</f>
        <v>40800410</v>
      </c>
      <c r="W80" s="65" t="str">
        <f>"－"</f>
        <v>－</v>
      </c>
      <c r="X80" s="69">
        <f>21</f>
        <v>21</v>
      </c>
    </row>
    <row r="81" spans="1:24">
      <c r="A81" s="60" t="s">
        <v>832</v>
      </c>
      <c r="B81" s="60" t="s">
        <v>285</v>
      </c>
      <c r="C81" s="60" t="s">
        <v>286</v>
      </c>
      <c r="D81" s="60" t="s">
        <v>287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25510</f>
        <v>25510</v>
      </c>
      <c r="L81" s="67" t="s">
        <v>833</v>
      </c>
      <c r="M81" s="66">
        <f>26230</f>
        <v>26230</v>
      </c>
      <c r="N81" s="67" t="s">
        <v>48</v>
      </c>
      <c r="O81" s="66">
        <f>20500</f>
        <v>20500</v>
      </c>
      <c r="P81" s="67" t="s">
        <v>816</v>
      </c>
      <c r="Q81" s="66">
        <f>20500</f>
        <v>20500</v>
      </c>
      <c r="R81" s="67" t="s">
        <v>816</v>
      </c>
      <c r="S81" s="68">
        <f>24097.27</f>
        <v>24097.27</v>
      </c>
      <c r="T81" s="65">
        <f>70</f>
        <v>70</v>
      </c>
      <c r="U81" s="65" t="str">
        <f>"－"</f>
        <v>－</v>
      </c>
      <c r="V81" s="65">
        <f>1713320</f>
        <v>1713320</v>
      </c>
      <c r="W81" s="65" t="str">
        <f>"－"</f>
        <v>－</v>
      </c>
      <c r="X81" s="69">
        <f>11</f>
        <v>11</v>
      </c>
    </row>
    <row r="82" spans="1:24">
      <c r="A82" s="60" t="s">
        <v>832</v>
      </c>
      <c r="B82" s="60" t="s">
        <v>288</v>
      </c>
      <c r="C82" s="60" t="s">
        <v>289</v>
      </c>
      <c r="D82" s="60" t="s">
        <v>290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21710</f>
        <v>21710</v>
      </c>
      <c r="L82" s="67" t="s">
        <v>833</v>
      </c>
      <c r="M82" s="66">
        <f>22990</f>
        <v>22990</v>
      </c>
      <c r="N82" s="67" t="s">
        <v>821</v>
      </c>
      <c r="O82" s="66">
        <f>21280</f>
        <v>21280</v>
      </c>
      <c r="P82" s="67" t="s">
        <v>815</v>
      </c>
      <c r="Q82" s="66">
        <f>22790</f>
        <v>22790</v>
      </c>
      <c r="R82" s="67" t="s">
        <v>51</v>
      </c>
      <c r="S82" s="68">
        <f>22046.67</f>
        <v>22046.67</v>
      </c>
      <c r="T82" s="65">
        <f>95109</f>
        <v>95109</v>
      </c>
      <c r="U82" s="65">
        <f>92000</f>
        <v>92000</v>
      </c>
      <c r="V82" s="65">
        <f>2075747930</f>
        <v>2075747930</v>
      </c>
      <c r="W82" s="65">
        <f>2007683800</f>
        <v>2007683800</v>
      </c>
      <c r="X82" s="69">
        <f>21</f>
        <v>21</v>
      </c>
    </row>
    <row r="83" spans="1:24">
      <c r="A83" s="60" t="s">
        <v>832</v>
      </c>
      <c r="B83" s="60" t="s">
        <v>291</v>
      </c>
      <c r="C83" s="60" t="s">
        <v>292</v>
      </c>
      <c r="D83" s="60" t="s">
        <v>293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</v>
      </c>
      <c r="K83" s="66">
        <f>19120</f>
        <v>19120</v>
      </c>
      <c r="L83" s="67" t="s">
        <v>833</v>
      </c>
      <c r="M83" s="66">
        <f>22000</f>
        <v>22000</v>
      </c>
      <c r="N83" s="67" t="s">
        <v>119</v>
      </c>
      <c r="O83" s="66">
        <f>18610</f>
        <v>18610</v>
      </c>
      <c r="P83" s="67" t="s">
        <v>819</v>
      </c>
      <c r="Q83" s="66">
        <f>19800</f>
        <v>19800</v>
      </c>
      <c r="R83" s="67" t="s">
        <v>51</v>
      </c>
      <c r="S83" s="68">
        <f>19456</f>
        <v>19456</v>
      </c>
      <c r="T83" s="65">
        <f>97112</f>
        <v>97112</v>
      </c>
      <c r="U83" s="65">
        <f>77000</f>
        <v>77000</v>
      </c>
      <c r="V83" s="65">
        <f>1883407740</f>
        <v>1883407740</v>
      </c>
      <c r="W83" s="65">
        <f>1490790000</f>
        <v>1490790000</v>
      </c>
      <c r="X83" s="69">
        <f>20</f>
        <v>20</v>
      </c>
    </row>
    <row r="84" spans="1:24">
      <c r="A84" s="60" t="s">
        <v>832</v>
      </c>
      <c r="B84" s="60" t="s">
        <v>294</v>
      </c>
      <c r="C84" s="60" t="s">
        <v>295</v>
      </c>
      <c r="D84" s="60" t="s">
        <v>296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10</v>
      </c>
      <c r="K84" s="66">
        <f>2060</f>
        <v>2060</v>
      </c>
      <c r="L84" s="67" t="s">
        <v>833</v>
      </c>
      <c r="M84" s="66">
        <f>2169</f>
        <v>2169</v>
      </c>
      <c r="N84" s="67" t="s">
        <v>833</v>
      </c>
      <c r="O84" s="66">
        <f>1184</f>
        <v>1184</v>
      </c>
      <c r="P84" s="67" t="s">
        <v>819</v>
      </c>
      <c r="Q84" s="66">
        <f>1620</f>
        <v>1620</v>
      </c>
      <c r="R84" s="67" t="s">
        <v>51</v>
      </c>
      <c r="S84" s="68">
        <f>1763.76</f>
        <v>1763.76</v>
      </c>
      <c r="T84" s="65">
        <f>2336030</f>
        <v>2336030</v>
      </c>
      <c r="U84" s="65">
        <f>557300</f>
        <v>557300</v>
      </c>
      <c r="V84" s="65">
        <f>4367524985</f>
        <v>4367524985</v>
      </c>
      <c r="W84" s="65">
        <f>1013588495</f>
        <v>1013588495</v>
      </c>
      <c r="X84" s="69">
        <f>21</f>
        <v>21</v>
      </c>
    </row>
    <row r="85" spans="1:24">
      <c r="A85" s="60" t="s">
        <v>832</v>
      </c>
      <c r="B85" s="60" t="s">
        <v>297</v>
      </c>
      <c r="C85" s="60" t="s">
        <v>298</v>
      </c>
      <c r="D85" s="60" t="s">
        <v>299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f>29840</f>
        <v>29840</v>
      </c>
      <c r="L85" s="67" t="s">
        <v>833</v>
      </c>
      <c r="M85" s="66">
        <f>30900</f>
        <v>30900</v>
      </c>
      <c r="N85" s="67" t="s">
        <v>814</v>
      </c>
      <c r="O85" s="66">
        <f>23320</f>
        <v>23320</v>
      </c>
      <c r="P85" s="67" t="s">
        <v>79</v>
      </c>
      <c r="Q85" s="66">
        <f>27030</f>
        <v>27030</v>
      </c>
      <c r="R85" s="67" t="s">
        <v>51</v>
      </c>
      <c r="S85" s="68">
        <f>26976.19</f>
        <v>26976.19</v>
      </c>
      <c r="T85" s="65">
        <f>92864</f>
        <v>92864</v>
      </c>
      <c r="U85" s="65">
        <f>61</f>
        <v>61</v>
      </c>
      <c r="V85" s="65">
        <f>2491675610</f>
        <v>2491675610</v>
      </c>
      <c r="W85" s="65">
        <f>1633810</f>
        <v>1633810</v>
      </c>
      <c r="X85" s="69">
        <f>21</f>
        <v>21</v>
      </c>
    </row>
    <row r="86" spans="1:24">
      <c r="A86" s="60" t="s">
        <v>832</v>
      </c>
      <c r="B86" s="60" t="s">
        <v>300</v>
      </c>
      <c r="C86" s="60" t="s">
        <v>301</v>
      </c>
      <c r="D86" s="60" t="s">
        <v>302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10</v>
      </c>
      <c r="K86" s="66">
        <f>9010</f>
        <v>9010</v>
      </c>
      <c r="L86" s="67" t="s">
        <v>833</v>
      </c>
      <c r="M86" s="66">
        <f>9050</f>
        <v>9050</v>
      </c>
      <c r="N86" s="67" t="s">
        <v>61</v>
      </c>
      <c r="O86" s="66">
        <f>8650</f>
        <v>8650</v>
      </c>
      <c r="P86" s="67" t="s">
        <v>820</v>
      </c>
      <c r="Q86" s="66">
        <f>8860</f>
        <v>8860</v>
      </c>
      <c r="R86" s="67" t="s">
        <v>816</v>
      </c>
      <c r="S86" s="68">
        <f>8909.09</f>
        <v>8909.09</v>
      </c>
      <c r="T86" s="65">
        <f>200920</f>
        <v>200920</v>
      </c>
      <c r="U86" s="65">
        <f>200000</f>
        <v>200000</v>
      </c>
      <c r="V86" s="65">
        <f>1800349800</f>
        <v>1800349800</v>
      </c>
      <c r="W86" s="65">
        <f>1792116000</f>
        <v>1792116000</v>
      </c>
      <c r="X86" s="69">
        <f>11</f>
        <v>11</v>
      </c>
    </row>
    <row r="87" spans="1:24">
      <c r="A87" s="60" t="s">
        <v>832</v>
      </c>
      <c r="B87" s="60" t="s">
        <v>303</v>
      </c>
      <c r="C87" s="60" t="s">
        <v>304</v>
      </c>
      <c r="D87" s="60" t="s">
        <v>305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12150</f>
        <v>12150</v>
      </c>
      <c r="L87" s="67" t="s">
        <v>833</v>
      </c>
      <c r="M87" s="66">
        <f>12730</f>
        <v>12730</v>
      </c>
      <c r="N87" s="67" t="s">
        <v>814</v>
      </c>
      <c r="O87" s="66">
        <f>9400</f>
        <v>9400</v>
      </c>
      <c r="P87" s="67" t="s">
        <v>79</v>
      </c>
      <c r="Q87" s="66">
        <f>11380</f>
        <v>11380</v>
      </c>
      <c r="R87" s="67" t="s">
        <v>51</v>
      </c>
      <c r="S87" s="68">
        <f>11071.43</f>
        <v>11071.43</v>
      </c>
      <c r="T87" s="65">
        <f>3037</f>
        <v>3037</v>
      </c>
      <c r="U87" s="65" t="str">
        <f>"－"</f>
        <v>－</v>
      </c>
      <c r="V87" s="65">
        <f>34309460</f>
        <v>34309460</v>
      </c>
      <c r="W87" s="65" t="str">
        <f>"－"</f>
        <v>－</v>
      </c>
      <c r="X87" s="69">
        <f>21</f>
        <v>21</v>
      </c>
    </row>
    <row r="88" spans="1:24">
      <c r="A88" s="60" t="s">
        <v>832</v>
      </c>
      <c r="B88" s="60" t="s">
        <v>306</v>
      </c>
      <c r="C88" s="60" t="s">
        <v>307</v>
      </c>
      <c r="D88" s="60" t="s">
        <v>308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11910</f>
        <v>11910</v>
      </c>
      <c r="L88" s="67" t="s">
        <v>833</v>
      </c>
      <c r="M88" s="66">
        <f>12810</f>
        <v>12810</v>
      </c>
      <c r="N88" s="67" t="s">
        <v>814</v>
      </c>
      <c r="O88" s="66">
        <f>9500</f>
        <v>9500</v>
      </c>
      <c r="P88" s="67" t="s">
        <v>820</v>
      </c>
      <c r="Q88" s="66">
        <f>10540</f>
        <v>10540</v>
      </c>
      <c r="R88" s="67" t="s">
        <v>51</v>
      </c>
      <c r="S88" s="68">
        <f>10966.5</f>
        <v>10966.5</v>
      </c>
      <c r="T88" s="65">
        <f>4849</f>
        <v>4849</v>
      </c>
      <c r="U88" s="65" t="str">
        <f>"－"</f>
        <v>－</v>
      </c>
      <c r="V88" s="65">
        <f>55442110</f>
        <v>55442110</v>
      </c>
      <c r="W88" s="65" t="str">
        <f>"－"</f>
        <v>－</v>
      </c>
      <c r="X88" s="69">
        <f>20</f>
        <v>20</v>
      </c>
    </row>
    <row r="89" spans="1:24">
      <c r="A89" s="60" t="s">
        <v>832</v>
      </c>
      <c r="B89" s="60" t="s">
        <v>310</v>
      </c>
      <c r="C89" s="60" t="s">
        <v>311</v>
      </c>
      <c r="D89" s="60" t="s">
        <v>312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f>16000</f>
        <v>16000</v>
      </c>
      <c r="L89" s="67" t="s">
        <v>833</v>
      </c>
      <c r="M89" s="66">
        <f>16550</f>
        <v>16550</v>
      </c>
      <c r="N89" s="67" t="s">
        <v>814</v>
      </c>
      <c r="O89" s="66">
        <f>12850</f>
        <v>12850</v>
      </c>
      <c r="P89" s="67" t="s">
        <v>79</v>
      </c>
      <c r="Q89" s="66">
        <f>15000</f>
        <v>15000</v>
      </c>
      <c r="R89" s="67" t="s">
        <v>51</v>
      </c>
      <c r="S89" s="68">
        <f>14737.14</f>
        <v>14737.14</v>
      </c>
      <c r="T89" s="65">
        <f>6182</f>
        <v>6182</v>
      </c>
      <c r="U89" s="65">
        <f>2900</f>
        <v>2900</v>
      </c>
      <c r="V89" s="65">
        <f>88576530</f>
        <v>88576530</v>
      </c>
      <c r="W89" s="65">
        <f>42180500</f>
        <v>42180500</v>
      </c>
      <c r="X89" s="69">
        <f>21</f>
        <v>21</v>
      </c>
    </row>
    <row r="90" spans="1:24">
      <c r="A90" s="60" t="s">
        <v>832</v>
      </c>
      <c r="B90" s="60" t="s">
        <v>313</v>
      </c>
      <c r="C90" s="60" t="s">
        <v>314</v>
      </c>
      <c r="D90" s="60" t="s">
        <v>315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10</v>
      </c>
      <c r="K90" s="66">
        <f>11070</f>
        <v>11070</v>
      </c>
      <c r="L90" s="67" t="s">
        <v>833</v>
      </c>
      <c r="M90" s="66">
        <f>11350</f>
        <v>11350</v>
      </c>
      <c r="N90" s="67" t="s">
        <v>817</v>
      </c>
      <c r="O90" s="66">
        <f>7230</f>
        <v>7230</v>
      </c>
      <c r="P90" s="67" t="s">
        <v>99</v>
      </c>
      <c r="Q90" s="66">
        <f>9000</f>
        <v>9000</v>
      </c>
      <c r="R90" s="67" t="s">
        <v>51</v>
      </c>
      <c r="S90" s="68">
        <f>9644.76</f>
        <v>9644.76</v>
      </c>
      <c r="T90" s="65">
        <f>21320</f>
        <v>21320</v>
      </c>
      <c r="U90" s="65">
        <f>10</f>
        <v>10</v>
      </c>
      <c r="V90" s="65">
        <f>192883800</f>
        <v>192883800</v>
      </c>
      <c r="W90" s="65">
        <f>94700</f>
        <v>94700</v>
      </c>
      <c r="X90" s="69">
        <f>21</f>
        <v>21</v>
      </c>
    </row>
    <row r="91" spans="1:24">
      <c r="A91" s="60" t="s">
        <v>832</v>
      </c>
      <c r="B91" s="60" t="s">
        <v>316</v>
      </c>
      <c r="C91" s="60" t="s">
        <v>317</v>
      </c>
      <c r="D91" s="60" t="s">
        <v>318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2596</f>
        <v>2596</v>
      </c>
      <c r="L91" s="67" t="s">
        <v>833</v>
      </c>
      <c r="M91" s="66">
        <f>2670</f>
        <v>2670</v>
      </c>
      <c r="N91" s="67" t="s">
        <v>119</v>
      </c>
      <c r="O91" s="66">
        <f>2050</f>
        <v>2050</v>
      </c>
      <c r="P91" s="67" t="s">
        <v>99</v>
      </c>
      <c r="Q91" s="66">
        <f>2410</f>
        <v>2410</v>
      </c>
      <c r="R91" s="67" t="s">
        <v>51</v>
      </c>
      <c r="S91" s="68">
        <f>2410.9</f>
        <v>2410.9</v>
      </c>
      <c r="T91" s="65">
        <f>416274</f>
        <v>416274</v>
      </c>
      <c r="U91" s="65">
        <f>83446</f>
        <v>83446</v>
      </c>
      <c r="V91" s="65">
        <f>1031251259</f>
        <v>1031251259</v>
      </c>
      <c r="W91" s="65">
        <f>204971199</f>
        <v>204971199</v>
      </c>
      <c r="X91" s="69">
        <f>21</f>
        <v>21</v>
      </c>
    </row>
    <row r="92" spans="1:24">
      <c r="A92" s="60" t="s">
        <v>832</v>
      </c>
      <c r="B92" s="60" t="s">
        <v>319</v>
      </c>
      <c r="C92" s="60" t="s">
        <v>320</v>
      </c>
      <c r="D92" s="60" t="s">
        <v>321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2350</f>
        <v>2350</v>
      </c>
      <c r="L92" s="67" t="s">
        <v>833</v>
      </c>
      <c r="M92" s="66">
        <f>2376</f>
        <v>2376</v>
      </c>
      <c r="N92" s="67" t="s">
        <v>817</v>
      </c>
      <c r="O92" s="66">
        <f>1795</f>
        <v>1795</v>
      </c>
      <c r="P92" s="67" t="s">
        <v>175</v>
      </c>
      <c r="Q92" s="66">
        <f>2100</f>
        <v>2100</v>
      </c>
      <c r="R92" s="67" t="s">
        <v>51</v>
      </c>
      <c r="S92" s="68">
        <f>2125.62</f>
        <v>2125.62</v>
      </c>
      <c r="T92" s="65">
        <f>617219</f>
        <v>617219</v>
      </c>
      <c r="U92" s="65">
        <f>301189</f>
        <v>301189</v>
      </c>
      <c r="V92" s="65">
        <f>1305287467</f>
        <v>1305287467</v>
      </c>
      <c r="W92" s="65">
        <f>650933263</f>
        <v>650933263</v>
      </c>
      <c r="X92" s="69">
        <f>21</f>
        <v>21</v>
      </c>
    </row>
    <row r="93" spans="1:24">
      <c r="A93" s="60" t="s">
        <v>832</v>
      </c>
      <c r="B93" s="60" t="s">
        <v>322</v>
      </c>
      <c r="C93" s="60" t="s">
        <v>323</v>
      </c>
      <c r="D93" s="60" t="s">
        <v>324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11440</f>
        <v>11440</v>
      </c>
      <c r="L93" s="67" t="s">
        <v>833</v>
      </c>
      <c r="M93" s="66">
        <f>11920</f>
        <v>11920</v>
      </c>
      <c r="N93" s="67" t="s">
        <v>814</v>
      </c>
      <c r="O93" s="66">
        <f>9370</f>
        <v>9370</v>
      </c>
      <c r="P93" s="67" t="s">
        <v>820</v>
      </c>
      <c r="Q93" s="66">
        <f>10850</f>
        <v>10850</v>
      </c>
      <c r="R93" s="67" t="s">
        <v>51</v>
      </c>
      <c r="S93" s="68">
        <f>10639.52</f>
        <v>10639.52</v>
      </c>
      <c r="T93" s="65">
        <f>12537</f>
        <v>12537</v>
      </c>
      <c r="U93" s="65" t="str">
        <f>"－"</f>
        <v>－</v>
      </c>
      <c r="V93" s="65">
        <f>141445580</f>
        <v>141445580</v>
      </c>
      <c r="W93" s="65" t="str">
        <f>"－"</f>
        <v>－</v>
      </c>
      <c r="X93" s="69">
        <f>21</f>
        <v>21</v>
      </c>
    </row>
    <row r="94" spans="1:24">
      <c r="A94" s="60" t="s">
        <v>832</v>
      </c>
      <c r="B94" s="60" t="s">
        <v>325</v>
      </c>
      <c r="C94" s="60" t="s">
        <v>326</v>
      </c>
      <c r="D94" s="60" t="s">
        <v>327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8920</f>
        <v>8920</v>
      </c>
      <c r="L94" s="67" t="s">
        <v>833</v>
      </c>
      <c r="M94" s="66">
        <f>9200</f>
        <v>9200</v>
      </c>
      <c r="N94" s="67" t="s">
        <v>834</v>
      </c>
      <c r="O94" s="66">
        <f>7760</f>
        <v>7760</v>
      </c>
      <c r="P94" s="67" t="s">
        <v>79</v>
      </c>
      <c r="Q94" s="66">
        <f>8800</f>
        <v>8800</v>
      </c>
      <c r="R94" s="67" t="s">
        <v>51</v>
      </c>
      <c r="S94" s="68">
        <f>8643.81</f>
        <v>8643.81</v>
      </c>
      <c r="T94" s="65">
        <f>2100</f>
        <v>2100</v>
      </c>
      <c r="U94" s="65">
        <f>455</f>
        <v>455</v>
      </c>
      <c r="V94" s="65">
        <f>18272860</f>
        <v>18272860</v>
      </c>
      <c r="W94" s="65">
        <f>3964730</f>
        <v>3964730</v>
      </c>
      <c r="X94" s="69">
        <f>21</f>
        <v>21</v>
      </c>
    </row>
    <row r="95" spans="1:24">
      <c r="A95" s="60" t="s">
        <v>832</v>
      </c>
      <c r="B95" s="60" t="s">
        <v>328</v>
      </c>
      <c r="C95" s="60" t="s">
        <v>329</v>
      </c>
      <c r="D95" s="60" t="s">
        <v>330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5260</f>
        <v>5260</v>
      </c>
      <c r="L95" s="67" t="s">
        <v>833</v>
      </c>
      <c r="M95" s="66">
        <f>5770</f>
        <v>5770</v>
      </c>
      <c r="N95" s="67" t="s">
        <v>119</v>
      </c>
      <c r="O95" s="66">
        <f>4900</f>
        <v>4900</v>
      </c>
      <c r="P95" s="67" t="s">
        <v>79</v>
      </c>
      <c r="Q95" s="66">
        <f>5400</f>
        <v>5400</v>
      </c>
      <c r="R95" s="67" t="s">
        <v>51</v>
      </c>
      <c r="S95" s="68">
        <f>5317.62</f>
        <v>5317.62</v>
      </c>
      <c r="T95" s="65">
        <f>4176280</f>
        <v>4176280</v>
      </c>
      <c r="U95" s="65">
        <f>53611</f>
        <v>53611</v>
      </c>
      <c r="V95" s="65">
        <f>22299206531</f>
        <v>22299206531</v>
      </c>
      <c r="W95" s="65">
        <f>294702791</f>
        <v>294702791</v>
      </c>
      <c r="X95" s="69">
        <f>21</f>
        <v>21</v>
      </c>
    </row>
    <row r="96" spans="1:24">
      <c r="A96" s="60" t="s">
        <v>832</v>
      </c>
      <c r="B96" s="60" t="s">
        <v>331</v>
      </c>
      <c r="C96" s="60" t="s">
        <v>332</v>
      </c>
      <c r="D96" s="60" t="s">
        <v>333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2792</f>
        <v>2792</v>
      </c>
      <c r="L96" s="67" t="s">
        <v>833</v>
      </c>
      <c r="M96" s="66">
        <f>2900</f>
        <v>2900</v>
      </c>
      <c r="N96" s="67" t="s">
        <v>833</v>
      </c>
      <c r="O96" s="66">
        <f>2032</f>
        <v>2032</v>
      </c>
      <c r="P96" s="67" t="s">
        <v>819</v>
      </c>
      <c r="Q96" s="66">
        <f>2484</f>
        <v>2484</v>
      </c>
      <c r="R96" s="67" t="s">
        <v>51</v>
      </c>
      <c r="S96" s="68">
        <f>2558.1</f>
        <v>2558.1</v>
      </c>
      <c r="T96" s="65">
        <f>1069037</f>
        <v>1069037</v>
      </c>
      <c r="U96" s="65">
        <f>614</f>
        <v>614</v>
      </c>
      <c r="V96" s="65">
        <f>2585930337</f>
        <v>2585930337</v>
      </c>
      <c r="W96" s="65">
        <f>1357021</f>
        <v>1357021</v>
      </c>
      <c r="X96" s="69">
        <f>21</f>
        <v>21</v>
      </c>
    </row>
    <row r="97" spans="1:24">
      <c r="A97" s="60" t="s">
        <v>832</v>
      </c>
      <c r="B97" s="60" t="s">
        <v>334</v>
      </c>
      <c r="C97" s="60" t="s">
        <v>335</v>
      </c>
      <c r="D97" s="60" t="s">
        <v>336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5350</f>
        <v>5350</v>
      </c>
      <c r="L97" s="67" t="s">
        <v>833</v>
      </c>
      <c r="M97" s="66">
        <f>5570</f>
        <v>5570</v>
      </c>
      <c r="N97" s="67" t="s">
        <v>48</v>
      </c>
      <c r="O97" s="66">
        <f>3990</f>
        <v>3990</v>
      </c>
      <c r="P97" s="67" t="s">
        <v>819</v>
      </c>
      <c r="Q97" s="66">
        <f>4825</f>
        <v>4825</v>
      </c>
      <c r="R97" s="67" t="s">
        <v>51</v>
      </c>
      <c r="S97" s="68">
        <f>4927.62</f>
        <v>4927.62</v>
      </c>
      <c r="T97" s="65">
        <f>195255</f>
        <v>195255</v>
      </c>
      <c r="U97" s="65">
        <f>245</f>
        <v>245</v>
      </c>
      <c r="V97" s="65">
        <f>932888987</f>
        <v>932888987</v>
      </c>
      <c r="W97" s="65">
        <f>1234857</f>
        <v>1234857</v>
      </c>
      <c r="X97" s="69">
        <f>21</f>
        <v>21</v>
      </c>
    </row>
    <row r="98" spans="1:24">
      <c r="A98" s="60" t="s">
        <v>832</v>
      </c>
      <c r="B98" s="60" t="s">
        <v>337</v>
      </c>
      <c r="C98" s="60" t="s">
        <v>338</v>
      </c>
      <c r="D98" s="60" t="s">
        <v>339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81300</f>
        <v>81300</v>
      </c>
      <c r="L98" s="67" t="s">
        <v>833</v>
      </c>
      <c r="M98" s="66">
        <f>87800</f>
        <v>87800</v>
      </c>
      <c r="N98" s="67" t="s">
        <v>833</v>
      </c>
      <c r="O98" s="66">
        <f>49150</f>
        <v>49150</v>
      </c>
      <c r="P98" s="67" t="s">
        <v>79</v>
      </c>
      <c r="Q98" s="66">
        <f>77800</f>
        <v>77800</v>
      </c>
      <c r="R98" s="67" t="s">
        <v>51</v>
      </c>
      <c r="S98" s="68">
        <f>70009.52</f>
        <v>70009.52</v>
      </c>
      <c r="T98" s="65">
        <f>10180</f>
        <v>10180</v>
      </c>
      <c r="U98" s="65">
        <f>34</f>
        <v>34</v>
      </c>
      <c r="V98" s="65">
        <f>702261950</f>
        <v>702261950</v>
      </c>
      <c r="W98" s="65">
        <f>2515600</f>
        <v>2515600</v>
      </c>
      <c r="X98" s="69">
        <f>21</f>
        <v>21</v>
      </c>
    </row>
    <row r="99" spans="1:24">
      <c r="A99" s="60" t="s">
        <v>832</v>
      </c>
      <c r="B99" s="60" t="s">
        <v>340</v>
      </c>
      <c r="C99" s="60" t="s">
        <v>341</v>
      </c>
      <c r="D99" s="60" t="s">
        <v>342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10</v>
      </c>
      <c r="K99" s="66">
        <f>9130</f>
        <v>9130</v>
      </c>
      <c r="L99" s="67" t="s">
        <v>833</v>
      </c>
      <c r="M99" s="66">
        <f>9780</f>
        <v>9780</v>
      </c>
      <c r="N99" s="67" t="s">
        <v>814</v>
      </c>
      <c r="O99" s="66">
        <f>7380</f>
        <v>7380</v>
      </c>
      <c r="P99" s="67" t="s">
        <v>820</v>
      </c>
      <c r="Q99" s="66">
        <f>8630</f>
        <v>8630</v>
      </c>
      <c r="R99" s="67" t="s">
        <v>51</v>
      </c>
      <c r="S99" s="68">
        <f>8488.57</f>
        <v>8488.57</v>
      </c>
      <c r="T99" s="65">
        <f>1770000</f>
        <v>1770000</v>
      </c>
      <c r="U99" s="65">
        <f>87880</f>
        <v>87880</v>
      </c>
      <c r="V99" s="65">
        <f>15090152322</f>
        <v>15090152322</v>
      </c>
      <c r="W99" s="65">
        <f>726673022</f>
        <v>726673022</v>
      </c>
      <c r="X99" s="69">
        <f>21</f>
        <v>21</v>
      </c>
    </row>
    <row r="100" spans="1:24">
      <c r="A100" s="60" t="s">
        <v>832</v>
      </c>
      <c r="B100" s="60" t="s">
        <v>343</v>
      </c>
      <c r="C100" s="60" t="s">
        <v>344</v>
      </c>
      <c r="D100" s="60" t="s">
        <v>345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</v>
      </c>
      <c r="K100" s="66">
        <f>26960</f>
        <v>26960</v>
      </c>
      <c r="L100" s="67" t="s">
        <v>833</v>
      </c>
      <c r="M100" s="66">
        <f>28410</f>
        <v>28410</v>
      </c>
      <c r="N100" s="67" t="s">
        <v>814</v>
      </c>
      <c r="O100" s="66">
        <f>19540</f>
        <v>19540</v>
      </c>
      <c r="P100" s="67" t="s">
        <v>99</v>
      </c>
      <c r="Q100" s="66">
        <f>23430</f>
        <v>23430</v>
      </c>
      <c r="R100" s="67" t="s">
        <v>51</v>
      </c>
      <c r="S100" s="68">
        <f>23804.29</f>
        <v>23804.29</v>
      </c>
      <c r="T100" s="65">
        <f>892834</f>
        <v>892834</v>
      </c>
      <c r="U100" s="65">
        <f>46538</f>
        <v>46538</v>
      </c>
      <c r="V100" s="65">
        <f>21024579603</f>
        <v>21024579603</v>
      </c>
      <c r="W100" s="65">
        <f>1058528893</f>
        <v>1058528893</v>
      </c>
      <c r="X100" s="69">
        <f>21</f>
        <v>21</v>
      </c>
    </row>
    <row r="101" spans="1:24">
      <c r="A101" s="60" t="s">
        <v>832</v>
      </c>
      <c r="B101" s="60" t="s">
        <v>346</v>
      </c>
      <c r="C101" s="60" t="s">
        <v>347</v>
      </c>
      <c r="D101" s="60" t="s">
        <v>348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3410</f>
        <v>3410</v>
      </c>
      <c r="L101" s="67" t="s">
        <v>833</v>
      </c>
      <c r="M101" s="66">
        <f>3635</f>
        <v>3635</v>
      </c>
      <c r="N101" s="67" t="s">
        <v>814</v>
      </c>
      <c r="O101" s="66">
        <f>2605</f>
        <v>2605</v>
      </c>
      <c r="P101" s="67" t="s">
        <v>99</v>
      </c>
      <c r="Q101" s="66">
        <f>3065</f>
        <v>3065</v>
      </c>
      <c r="R101" s="67" t="s">
        <v>51</v>
      </c>
      <c r="S101" s="68">
        <f>3080</f>
        <v>3080</v>
      </c>
      <c r="T101" s="65">
        <f>5271820</f>
        <v>5271820</v>
      </c>
      <c r="U101" s="65">
        <f>1905690</f>
        <v>1905690</v>
      </c>
      <c r="V101" s="65">
        <f>16281157118</f>
        <v>16281157118</v>
      </c>
      <c r="W101" s="65">
        <f>5800692018</f>
        <v>5800692018</v>
      </c>
      <c r="X101" s="69">
        <f>21</f>
        <v>21</v>
      </c>
    </row>
    <row r="102" spans="1:24">
      <c r="A102" s="60" t="s">
        <v>832</v>
      </c>
      <c r="B102" s="60" t="s">
        <v>349</v>
      </c>
      <c r="C102" s="60" t="s">
        <v>350</v>
      </c>
      <c r="D102" s="60" t="s">
        <v>351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2340</f>
        <v>2340</v>
      </c>
      <c r="L102" s="67" t="s">
        <v>833</v>
      </c>
      <c r="M102" s="66">
        <f>2520</f>
        <v>2520</v>
      </c>
      <c r="N102" s="67" t="s">
        <v>814</v>
      </c>
      <c r="O102" s="66">
        <f>1755</f>
        <v>1755</v>
      </c>
      <c r="P102" s="67" t="s">
        <v>99</v>
      </c>
      <c r="Q102" s="66">
        <f>2042</f>
        <v>2042</v>
      </c>
      <c r="R102" s="67" t="s">
        <v>51</v>
      </c>
      <c r="S102" s="68">
        <f>2086.1</f>
        <v>2086.1</v>
      </c>
      <c r="T102" s="65">
        <f>570740</f>
        <v>570740</v>
      </c>
      <c r="U102" s="65">
        <f>22250</f>
        <v>22250</v>
      </c>
      <c r="V102" s="65">
        <f>1197731490</f>
        <v>1197731490</v>
      </c>
      <c r="W102" s="65">
        <f>50923650</f>
        <v>50923650</v>
      </c>
      <c r="X102" s="69">
        <f>21</f>
        <v>21</v>
      </c>
    </row>
    <row r="103" spans="1:24">
      <c r="A103" s="60" t="s">
        <v>832</v>
      </c>
      <c r="B103" s="60" t="s">
        <v>352</v>
      </c>
      <c r="C103" s="60" t="s">
        <v>353</v>
      </c>
      <c r="D103" s="60" t="s">
        <v>354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10</v>
      </c>
      <c r="K103" s="66">
        <f>3665</f>
        <v>3665</v>
      </c>
      <c r="L103" s="67" t="s">
        <v>833</v>
      </c>
      <c r="M103" s="66">
        <f>4085</f>
        <v>4085</v>
      </c>
      <c r="N103" s="67" t="s">
        <v>814</v>
      </c>
      <c r="O103" s="66">
        <f>2900</f>
        <v>2900</v>
      </c>
      <c r="P103" s="67" t="s">
        <v>79</v>
      </c>
      <c r="Q103" s="66">
        <f>3260</f>
        <v>3260</v>
      </c>
      <c r="R103" s="67" t="s">
        <v>51</v>
      </c>
      <c r="S103" s="68">
        <f>3381.43</f>
        <v>3381.43</v>
      </c>
      <c r="T103" s="65">
        <f>63960</f>
        <v>63960</v>
      </c>
      <c r="U103" s="65">
        <f>130</f>
        <v>130</v>
      </c>
      <c r="V103" s="65">
        <f>217571030</f>
        <v>217571030</v>
      </c>
      <c r="W103" s="65">
        <f>455000</f>
        <v>455000</v>
      </c>
      <c r="X103" s="69">
        <f>21</f>
        <v>21</v>
      </c>
    </row>
    <row r="104" spans="1:24">
      <c r="A104" s="60" t="s">
        <v>832</v>
      </c>
      <c r="B104" s="60" t="s">
        <v>355</v>
      </c>
      <c r="C104" s="60" t="s">
        <v>356</v>
      </c>
      <c r="D104" s="60" t="s">
        <v>357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f>8140</f>
        <v>8140</v>
      </c>
      <c r="L104" s="67" t="s">
        <v>833</v>
      </c>
      <c r="M104" s="66">
        <f>27080</f>
        <v>27080</v>
      </c>
      <c r="N104" s="67" t="s">
        <v>819</v>
      </c>
      <c r="O104" s="66">
        <f>7460</f>
        <v>7460</v>
      </c>
      <c r="P104" s="67" t="s">
        <v>814</v>
      </c>
      <c r="Q104" s="66">
        <f>17020</f>
        <v>17020</v>
      </c>
      <c r="R104" s="67" t="s">
        <v>51</v>
      </c>
      <c r="S104" s="68">
        <f>15016.67</f>
        <v>15016.67</v>
      </c>
      <c r="T104" s="65">
        <f>22274546</f>
        <v>22274546</v>
      </c>
      <c r="U104" s="65">
        <f>94967</f>
        <v>94967</v>
      </c>
      <c r="V104" s="65">
        <f>328655905413</f>
        <v>328655905413</v>
      </c>
      <c r="W104" s="65">
        <f>1324852203</f>
        <v>1324852203</v>
      </c>
      <c r="X104" s="69">
        <f>21</f>
        <v>21</v>
      </c>
    </row>
    <row r="105" spans="1:24">
      <c r="A105" s="60" t="s">
        <v>832</v>
      </c>
      <c r="B105" s="60" t="s">
        <v>358</v>
      </c>
      <c r="C105" s="60" t="s">
        <v>359</v>
      </c>
      <c r="D105" s="60" t="s">
        <v>360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2000</f>
        <v>2000</v>
      </c>
      <c r="L105" s="67" t="s">
        <v>833</v>
      </c>
      <c r="M105" s="66">
        <f>2165</f>
        <v>2165</v>
      </c>
      <c r="N105" s="67" t="s">
        <v>814</v>
      </c>
      <c r="O105" s="66">
        <f>1531</f>
        <v>1531</v>
      </c>
      <c r="P105" s="67" t="s">
        <v>99</v>
      </c>
      <c r="Q105" s="66">
        <f>1770</f>
        <v>1770</v>
      </c>
      <c r="R105" s="67" t="s">
        <v>51</v>
      </c>
      <c r="S105" s="68">
        <f>1827</f>
        <v>1827</v>
      </c>
      <c r="T105" s="65">
        <f>333640</f>
        <v>333640</v>
      </c>
      <c r="U105" s="65">
        <f>7570</f>
        <v>7570</v>
      </c>
      <c r="V105" s="65">
        <f>598712380</f>
        <v>598712380</v>
      </c>
      <c r="W105" s="65">
        <f>14147410</f>
        <v>14147410</v>
      </c>
      <c r="X105" s="69">
        <f>21</f>
        <v>21</v>
      </c>
    </row>
    <row r="106" spans="1:24">
      <c r="A106" s="60" t="s">
        <v>832</v>
      </c>
      <c r="B106" s="60" t="s">
        <v>361</v>
      </c>
      <c r="C106" s="60" t="s">
        <v>362</v>
      </c>
      <c r="D106" s="60" t="s">
        <v>363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10</v>
      </c>
      <c r="K106" s="66">
        <f>1550</f>
        <v>1550</v>
      </c>
      <c r="L106" s="67" t="s">
        <v>833</v>
      </c>
      <c r="M106" s="66">
        <f>1592</f>
        <v>1592</v>
      </c>
      <c r="N106" s="67" t="s">
        <v>817</v>
      </c>
      <c r="O106" s="66">
        <f>789</f>
        <v>789</v>
      </c>
      <c r="P106" s="67" t="s">
        <v>99</v>
      </c>
      <c r="Q106" s="66">
        <f>960</f>
        <v>960</v>
      </c>
      <c r="R106" s="67" t="s">
        <v>51</v>
      </c>
      <c r="S106" s="68">
        <f>1184.9</f>
        <v>1184.9000000000001</v>
      </c>
      <c r="T106" s="65">
        <f>1321290</f>
        <v>1321290</v>
      </c>
      <c r="U106" s="65">
        <f>36190</f>
        <v>36190</v>
      </c>
      <c r="V106" s="65">
        <f>1398401220</f>
        <v>1398401220</v>
      </c>
      <c r="W106" s="65">
        <f>51424360</f>
        <v>51424360</v>
      </c>
      <c r="X106" s="69">
        <f>21</f>
        <v>21</v>
      </c>
    </row>
    <row r="107" spans="1:24">
      <c r="A107" s="60" t="s">
        <v>832</v>
      </c>
      <c r="B107" s="60" t="s">
        <v>364</v>
      </c>
      <c r="C107" s="60" t="s">
        <v>365</v>
      </c>
      <c r="D107" s="60" t="s">
        <v>366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31550</f>
        <v>31550</v>
      </c>
      <c r="L107" s="67" t="s">
        <v>833</v>
      </c>
      <c r="M107" s="66">
        <f>33650</f>
        <v>33650</v>
      </c>
      <c r="N107" s="67" t="s">
        <v>814</v>
      </c>
      <c r="O107" s="66">
        <f>24000</f>
        <v>24000</v>
      </c>
      <c r="P107" s="67" t="s">
        <v>99</v>
      </c>
      <c r="Q107" s="66">
        <f>28240</f>
        <v>28240</v>
      </c>
      <c r="R107" s="67" t="s">
        <v>51</v>
      </c>
      <c r="S107" s="68">
        <f>28480.48</f>
        <v>28480.48</v>
      </c>
      <c r="T107" s="65">
        <f>751896</f>
        <v>751896</v>
      </c>
      <c r="U107" s="65">
        <f>71</f>
        <v>71</v>
      </c>
      <c r="V107" s="65">
        <f>21625234310</f>
        <v>21625234310</v>
      </c>
      <c r="W107" s="65">
        <f>1856540</f>
        <v>1856540</v>
      </c>
      <c r="X107" s="69">
        <f>21</f>
        <v>21</v>
      </c>
    </row>
    <row r="108" spans="1:24">
      <c r="A108" s="60" t="s">
        <v>832</v>
      </c>
      <c r="B108" s="60" t="s">
        <v>367</v>
      </c>
      <c r="C108" s="60" t="s">
        <v>368</v>
      </c>
      <c r="D108" s="60" t="s">
        <v>369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2860</f>
        <v>2860</v>
      </c>
      <c r="L108" s="67" t="s">
        <v>833</v>
      </c>
      <c r="M108" s="66">
        <f>3065</f>
        <v>3065</v>
      </c>
      <c r="N108" s="67" t="s">
        <v>818</v>
      </c>
      <c r="O108" s="66">
        <f>2250</f>
        <v>2250</v>
      </c>
      <c r="P108" s="67" t="s">
        <v>175</v>
      </c>
      <c r="Q108" s="66">
        <f>2489</f>
        <v>2489</v>
      </c>
      <c r="R108" s="67" t="s">
        <v>51</v>
      </c>
      <c r="S108" s="68">
        <f>2618.29</f>
        <v>2618.29</v>
      </c>
      <c r="T108" s="65">
        <f>23203</f>
        <v>23203</v>
      </c>
      <c r="U108" s="65">
        <f>236</f>
        <v>236</v>
      </c>
      <c r="V108" s="65">
        <f>60857568</f>
        <v>60857568</v>
      </c>
      <c r="W108" s="65">
        <f>600657</f>
        <v>600657</v>
      </c>
      <c r="X108" s="69">
        <f>21</f>
        <v>21</v>
      </c>
    </row>
    <row r="109" spans="1:24">
      <c r="A109" s="60" t="s">
        <v>832</v>
      </c>
      <c r="B109" s="60" t="s">
        <v>370</v>
      </c>
      <c r="C109" s="60" t="s">
        <v>371</v>
      </c>
      <c r="D109" s="60" t="s">
        <v>372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3665</f>
        <v>3665</v>
      </c>
      <c r="L109" s="67" t="s">
        <v>833</v>
      </c>
      <c r="M109" s="66">
        <f>3775</f>
        <v>3775</v>
      </c>
      <c r="N109" s="67" t="s">
        <v>814</v>
      </c>
      <c r="O109" s="66">
        <f>2975</f>
        <v>2975</v>
      </c>
      <c r="P109" s="67" t="s">
        <v>99</v>
      </c>
      <c r="Q109" s="66">
        <f>3250</f>
        <v>3250</v>
      </c>
      <c r="R109" s="67" t="s">
        <v>51</v>
      </c>
      <c r="S109" s="68">
        <f>3327.62</f>
        <v>3327.62</v>
      </c>
      <c r="T109" s="65">
        <f>11181</f>
        <v>11181</v>
      </c>
      <c r="U109" s="65">
        <f>311</f>
        <v>311</v>
      </c>
      <c r="V109" s="65">
        <f>36867688</f>
        <v>36867688</v>
      </c>
      <c r="W109" s="65">
        <f>1021635</f>
        <v>1021635</v>
      </c>
      <c r="X109" s="69">
        <f>21</f>
        <v>21</v>
      </c>
    </row>
    <row r="110" spans="1:24">
      <c r="A110" s="60" t="s">
        <v>832</v>
      </c>
      <c r="B110" s="60" t="s">
        <v>373</v>
      </c>
      <c r="C110" s="60" t="s">
        <v>374</v>
      </c>
      <c r="D110" s="60" t="s">
        <v>375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2238</f>
        <v>2238</v>
      </c>
      <c r="L110" s="67" t="s">
        <v>833</v>
      </c>
      <c r="M110" s="66">
        <f>2358</f>
        <v>2358</v>
      </c>
      <c r="N110" s="67" t="s">
        <v>818</v>
      </c>
      <c r="O110" s="66">
        <f>1645</f>
        <v>1645</v>
      </c>
      <c r="P110" s="67" t="s">
        <v>820</v>
      </c>
      <c r="Q110" s="66">
        <f>1963</f>
        <v>1963</v>
      </c>
      <c r="R110" s="67" t="s">
        <v>51</v>
      </c>
      <c r="S110" s="68">
        <f>1985.71</f>
        <v>1985.71</v>
      </c>
      <c r="T110" s="65">
        <f>139896</f>
        <v>139896</v>
      </c>
      <c r="U110" s="65">
        <f>196</f>
        <v>196</v>
      </c>
      <c r="V110" s="65">
        <f>282515980</f>
        <v>282515980</v>
      </c>
      <c r="W110" s="65">
        <f>445249</f>
        <v>445249</v>
      </c>
      <c r="X110" s="69">
        <f>21</f>
        <v>21</v>
      </c>
    </row>
    <row r="111" spans="1:24">
      <c r="A111" s="60" t="s">
        <v>832</v>
      </c>
      <c r="B111" s="60" t="s">
        <v>376</v>
      </c>
      <c r="C111" s="60" t="s">
        <v>377</v>
      </c>
      <c r="D111" s="60" t="s">
        <v>378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f>46150</f>
        <v>46150</v>
      </c>
      <c r="L111" s="67" t="s">
        <v>833</v>
      </c>
      <c r="M111" s="66">
        <f>47100</f>
        <v>47100</v>
      </c>
      <c r="N111" s="67" t="s">
        <v>817</v>
      </c>
      <c r="O111" s="66">
        <f>40000</f>
        <v>40000</v>
      </c>
      <c r="P111" s="67" t="s">
        <v>99</v>
      </c>
      <c r="Q111" s="66">
        <f>41500</f>
        <v>41500</v>
      </c>
      <c r="R111" s="67" t="s">
        <v>51</v>
      </c>
      <c r="S111" s="68">
        <f>43090.48</f>
        <v>43090.48</v>
      </c>
      <c r="T111" s="65">
        <f>45285</f>
        <v>45285</v>
      </c>
      <c r="U111" s="65">
        <f>134</f>
        <v>134</v>
      </c>
      <c r="V111" s="65">
        <f>1968493145</f>
        <v>1968493145</v>
      </c>
      <c r="W111" s="65">
        <f>5826995</f>
        <v>5826995</v>
      </c>
      <c r="X111" s="69">
        <f>21</f>
        <v>21</v>
      </c>
    </row>
    <row r="112" spans="1:24">
      <c r="A112" s="60" t="s">
        <v>832</v>
      </c>
      <c r="B112" s="60" t="s">
        <v>379</v>
      </c>
      <c r="C112" s="60" t="s">
        <v>380</v>
      </c>
      <c r="D112" s="60" t="s">
        <v>381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f>1132</f>
        <v>1132</v>
      </c>
      <c r="L112" s="67" t="s">
        <v>833</v>
      </c>
      <c r="M112" s="66">
        <f>1280</f>
        <v>1280</v>
      </c>
      <c r="N112" s="67" t="s">
        <v>814</v>
      </c>
      <c r="O112" s="66">
        <f>975</f>
        <v>975</v>
      </c>
      <c r="P112" s="67" t="s">
        <v>72</v>
      </c>
      <c r="Q112" s="66">
        <f>982</f>
        <v>982</v>
      </c>
      <c r="R112" s="67" t="s">
        <v>50</v>
      </c>
      <c r="S112" s="68">
        <f>1091.82</f>
        <v>1091.82</v>
      </c>
      <c r="T112" s="65">
        <f>4910</f>
        <v>4910</v>
      </c>
      <c r="U112" s="65">
        <f>210</f>
        <v>210</v>
      </c>
      <c r="V112" s="65">
        <f>5751180</f>
        <v>5751180</v>
      </c>
      <c r="W112" s="65">
        <f>258980</f>
        <v>258980</v>
      </c>
      <c r="X112" s="69">
        <f>11</f>
        <v>11</v>
      </c>
    </row>
    <row r="113" spans="1:24">
      <c r="A113" s="60" t="s">
        <v>832</v>
      </c>
      <c r="B113" s="60" t="s">
        <v>382</v>
      </c>
      <c r="C113" s="60" t="s">
        <v>383</v>
      </c>
      <c r="D113" s="60" t="s">
        <v>384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14120</f>
        <v>14120</v>
      </c>
      <c r="L113" s="67" t="s">
        <v>833</v>
      </c>
      <c r="M113" s="66">
        <f>15270</f>
        <v>15270</v>
      </c>
      <c r="N113" s="67" t="s">
        <v>814</v>
      </c>
      <c r="O113" s="66">
        <f>8930</f>
        <v>8930</v>
      </c>
      <c r="P113" s="67" t="s">
        <v>79</v>
      </c>
      <c r="Q113" s="66">
        <f>12420</f>
        <v>12420</v>
      </c>
      <c r="R113" s="67" t="s">
        <v>51</v>
      </c>
      <c r="S113" s="68">
        <f>12117.14</f>
        <v>12117.14</v>
      </c>
      <c r="T113" s="65">
        <f>8697740</f>
        <v>8697740</v>
      </c>
      <c r="U113" s="65">
        <f>60890</f>
        <v>60890</v>
      </c>
      <c r="V113" s="65">
        <f>102442294660</f>
        <v>102442294660</v>
      </c>
      <c r="W113" s="65">
        <f>751753560</f>
        <v>751753560</v>
      </c>
      <c r="X113" s="69">
        <f>21</f>
        <v>21</v>
      </c>
    </row>
    <row r="114" spans="1:24">
      <c r="A114" s="60" t="s">
        <v>832</v>
      </c>
      <c r="B114" s="60" t="s">
        <v>385</v>
      </c>
      <c r="C114" s="60" t="s">
        <v>386</v>
      </c>
      <c r="D114" s="60" t="s">
        <v>387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f>3295</f>
        <v>3295</v>
      </c>
      <c r="L114" s="67" t="s">
        <v>833</v>
      </c>
      <c r="M114" s="66">
        <f>4040</f>
        <v>4040</v>
      </c>
      <c r="N114" s="67" t="s">
        <v>79</v>
      </c>
      <c r="O114" s="66">
        <f>3140</f>
        <v>3140</v>
      </c>
      <c r="P114" s="67" t="s">
        <v>814</v>
      </c>
      <c r="Q114" s="66">
        <f>3355</f>
        <v>3355</v>
      </c>
      <c r="R114" s="67" t="s">
        <v>51</v>
      </c>
      <c r="S114" s="68">
        <f>3495</f>
        <v>3495</v>
      </c>
      <c r="T114" s="65">
        <f>2347690</f>
        <v>2347690</v>
      </c>
      <c r="U114" s="65">
        <f>756450</f>
        <v>756450</v>
      </c>
      <c r="V114" s="65">
        <f>8504339729</f>
        <v>8504339729</v>
      </c>
      <c r="W114" s="65">
        <f>2765031279</f>
        <v>2765031279</v>
      </c>
      <c r="X114" s="69">
        <f>21</f>
        <v>21</v>
      </c>
    </row>
    <row r="115" spans="1:24">
      <c r="A115" s="60" t="s">
        <v>832</v>
      </c>
      <c r="B115" s="60" t="s">
        <v>388</v>
      </c>
      <c r="C115" s="60" t="s">
        <v>389</v>
      </c>
      <c r="D115" s="60" t="s">
        <v>390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17230</f>
        <v>17230</v>
      </c>
      <c r="L115" s="67" t="s">
        <v>833</v>
      </c>
      <c r="M115" s="66">
        <f>18720</f>
        <v>18720</v>
      </c>
      <c r="N115" s="67" t="s">
        <v>814</v>
      </c>
      <c r="O115" s="66">
        <f>10330</f>
        <v>10330</v>
      </c>
      <c r="P115" s="67" t="s">
        <v>819</v>
      </c>
      <c r="Q115" s="66">
        <f>13890</f>
        <v>13890</v>
      </c>
      <c r="R115" s="67" t="s">
        <v>51</v>
      </c>
      <c r="S115" s="68">
        <f>14136.19</f>
        <v>14136.19</v>
      </c>
      <c r="T115" s="65">
        <f>488945691</f>
        <v>488945691</v>
      </c>
      <c r="U115" s="65">
        <f>213413</f>
        <v>213413</v>
      </c>
      <c r="V115" s="65">
        <f>6629412623510</f>
        <v>6629412623510</v>
      </c>
      <c r="W115" s="65">
        <f>3191859530</f>
        <v>3191859530</v>
      </c>
      <c r="X115" s="69">
        <f>21</f>
        <v>21</v>
      </c>
    </row>
    <row r="116" spans="1:24">
      <c r="A116" s="60" t="s">
        <v>832</v>
      </c>
      <c r="B116" s="60" t="s">
        <v>391</v>
      </c>
      <c r="C116" s="60" t="s">
        <v>392</v>
      </c>
      <c r="D116" s="60" t="s">
        <v>393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</v>
      </c>
      <c r="K116" s="66">
        <f>1585</f>
        <v>1585</v>
      </c>
      <c r="L116" s="67" t="s">
        <v>833</v>
      </c>
      <c r="M116" s="66">
        <f>1995</f>
        <v>1995</v>
      </c>
      <c r="N116" s="67" t="s">
        <v>819</v>
      </c>
      <c r="O116" s="66">
        <f>1517</f>
        <v>1517</v>
      </c>
      <c r="P116" s="67" t="s">
        <v>814</v>
      </c>
      <c r="Q116" s="66">
        <f>1691</f>
        <v>1691</v>
      </c>
      <c r="R116" s="67" t="s">
        <v>51</v>
      </c>
      <c r="S116" s="68">
        <f>1733.86</f>
        <v>1733.86</v>
      </c>
      <c r="T116" s="65">
        <f>53341081</f>
        <v>53341081</v>
      </c>
      <c r="U116" s="65">
        <f>1309908</f>
        <v>1309908</v>
      </c>
      <c r="V116" s="65">
        <f>93917373663</f>
        <v>93917373663</v>
      </c>
      <c r="W116" s="65">
        <f>2199735650</f>
        <v>2199735650</v>
      </c>
      <c r="X116" s="69">
        <f>21</f>
        <v>21</v>
      </c>
    </row>
    <row r="117" spans="1:24">
      <c r="A117" s="60" t="s">
        <v>832</v>
      </c>
      <c r="B117" s="60" t="s">
        <v>394</v>
      </c>
      <c r="C117" s="60" t="s">
        <v>395</v>
      </c>
      <c r="D117" s="60" t="s">
        <v>396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10500</f>
        <v>10500</v>
      </c>
      <c r="L117" s="67" t="s">
        <v>833</v>
      </c>
      <c r="M117" s="66">
        <f>11500</f>
        <v>11500</v>
      </c>
      <c r="N117" s="67" t="s">
        <v>814</v>
      </c>
      <c r="O117" s="66">
        <f>7570</f>
        <v>7570</v>
      </c>
      <c r="P117" s="67" t="s">
        <v>79</v>
      </c>
      <c r="Q117" s="66">
        <f>9410</f>
        <v>9410</v>
      </c>
      <c r="R117" s="67" t="s">
        <v>51</v>
      </c>
      <c r="S117" s="68">
        <f>9392.86</f>
        <v>9392.86</v>
      </c>
      <c r="T117" s="65">
        <f>19250</f>
        <v>19250</v>
      </c>
      <c r="U117" s="65">
        <f>20</f>
        <v>20</v>
      </c>
      <c r="V117" s="65">
        <f>180235900</f>
        <v>180235900</v>
      </c>
      <c r="W117" s="65">
        <f>191600</f>
        <v>191600</v>
      </c>
      <c r="X117" s="69">
        <f>21</f>
        <v>21</v>
      </c>
    </row>
    <row r="118" spans="1:24">
      <c r="A118" s="60" t="s">
        <v>832</v>
      </c>
      <c r="B118" s="60" t="s">
        <v>397</v>
      </c>
      <c r="C118" s="60" t="s">
        <v>398</v>
      </c>
      <c r="D118" s="60" t="s">
        <v>399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f>8050</f>
        <v>8050</v>
      </c>
      <c r="L118" s="67" t="s">
        <v>833</v>
      </c>
      <c r="M118" s="66">
        <f>9690</f>
        <v>9690</v>
      </c>
      <c r="N118" s="67" t="s">
        <v>819</v>
      </c>
      <c r="O118" s="66">
        <f>7470</f>
        <v>7470</v>
      </c>
      <c r="P118" s="67" t="s">
        <v>48</v>
      </c>
      <c r="Q118" s="66">
        <f>8240</f>
        <v>8240</v>
      </c>
      <c r="R118" s="67" t="s">
        <v>51</v>
      </c>
      <c r="S118" s="68">
        <f>8232.86</f>
        <v>8232.86</v>
      </c>
      <c r="T118" s="65">
        <f>93550</f>
        <v>93550</v>
      </c>
      <c r="U118" s="65" t="str">
        <f>"－"</f>
        <v>－</v>
      </c>
      <c r="V118" s="65">
        <f>778814800</f>
        <v>778814800</v>
      </c>
      <c r="W118" s="65" t="str">
        <f>"－"</f>
        <v>－</v>
      </c>
      <c r="X118" s="69">
        <f>21</f>
        <v>21</v>
      </c>
    </row>
    <row r="119" spans="1:24">
      <c r="A119" s="60" t="s">
        <v>832</v>
      </c>
      <c r="B119" s="60" t="s">
        <v>400</v>
      </c>
      <c r="C119" s="60" t="s">
        <v>401</v>
      </c>
      <c r="D119" s="60" t="s">
        <v>402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1497</f>
        <v>1497</v>
      </c>
      <c r="L119" s="67" t="s">
        <v>833</v>
      </c>
      <c r="M119" s="66">
        <f>1497</f>
        <v>1497</v>
      </c>
      <c r="N119" s="67" t="s">
        <v>833</v>
      </c>
      <c r="O119" s="66">
        <f>1301</f>
        <v>1301</v>
      </c>
      <c r="P119" s="67" t="s">
        <v>79</v>
      </c>
      <c r="Q119" s="66">
        <f>1301</f>
        <v>1301</v>
      </c>
      <c r="R119" s="67" t="s">
        <v>79</v>
      </c>
      <c r="S119" s="68">
        <f>1420.67</f>
        <v>1420.67</v>
      </c>
      <c r="T119" s="65">
        <f>70</f>
        <v>70</v>
      </c>
      <c r="U119" s="65" t="str">
        <f>"－"</f>
        <v>－</v>
      </c>
      <c r="V119" s="65">
        <f>101560</f>
        <v>101560</v>
      </c>
      <c r="W119" s="65" t="str">
        <f>"－"</f>
        <v>－</v>
      </c>
      <c r="X119" s="69">
        <f>3</f>
        <v>3</v>
      </c>
    </row>
    <row r="120" spans="1:24">
      <c r="A120" s="60" t="s">
        <v>832</v>
      </c>
      <c r="B120" s="60" t="s">
        <v>403</v>
      </c>
      <c r="C120" s="60" t="s">
        <v>404</v>
      </c>
      <c r="D120" s="60" t="s">
        <v>405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f>654</f>
        <v>654</v>
      </c>
      <c r="L120" s="67" t="s">
        <v>833</v>
      </c>
      <c r="M120" s="66">
        <f>660</f>
        <v>660</v>
      </c>
      <c r="N120" s="67" t="s">
        <v>817</v>
      </c>
      <c r="O120" s="66">
        <f>531</f>
        <v>531</v>
      </c>
      <c r="P120" s="67" t="s">
        <v>820</v>
      </c>
      <c r="Q120" s="66">
        <f>576</f>
        <v>576</v>
      </c>
      <c r="R120" s="67" t="s">
        <v>51</v>
      </c>
      <c r="S120" s="68">
        <f>603.19</f>
        <v>603.19000000000005</v>
      </c>
      <c r="T120" s="65">
        <f>18880</f>
        <v>18880</v>
      </c>
      <c r="U120" s="65">
        <f>80</f>
        <v>80</v>
      </c>
      <c r="V120" s="65">
        <f>11326670</f>
        <v>11326670</v>
      </c>
      <c r="W120" s="65">
        <f>48360</f>
        <v>48360</v>
      </c>
      <c r="X120" s="69">
        <f>21</f>
        <v>21</v>
      </c>
    </row>
    <row r="121" spans="1:24">
      <c r="A121" s="60" t="s">
        <v>832</v>
      </c>
      <c r="B121" s="60" t="s">
        <v>406</v>
      </c>
      <c r="C121" s="60" t="s">
        <v>407</v>
      </c>
      <c r="D121" s="60" t="s">
        <v>408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10</v>
      </c>
      <c r="K121" s="66">
        <f>586</f>
        <v>586</v>
      </c>
      <c r="L121" s="67" t="s">
        <v>833</v>
      </c>
      <c r="M121" s="66">
        <f>689</f>
        <v>689</v>
      </c>
      <c r="N121" s="67" t="s">
        <v>834</v>
      </c>
      <c r="O121" s="66">
        <f>517</f>
        <v>517</v>
      </c>
      <c r="P121" s="67" t="s">
        <v>79</v>
      </c>
      <c r="Q121" s="66">
        <f>550</f>
        <v>550</v>
      </c>
      <c r="R121" s="67" t="s">
        <v>51</v>
      </c>
      <c r="S121" s="68">
        <f>564.61</f>
        <v>564.61</v>
      </c>
      <c r="T121" s="65">
        <f>26160</f>
        <v>26160</v>
      </c>
      <c r="U121" s="65" t="str">
        <f>"－"</f>
        <v>－</v>
      </c>
      <c r="V121" s="65">
        <f>14995420</f>
        <v>14995420</v>
      </c>
      <c r="W121" s="65" t="str">
        <f>"－"</f>
        <v>－</v>
      </c>
      <c r="X121" s="69">
        <f>18</f>
        <v>18</v>
      </c>
    </row>
    <row r="122" spans="1:24">
      <c r="A122" s="60" t="s">
        <v>832</v>
      </c>
      <c r="B122" s="60" t="s">
        <v>409</v>
      </c>
      <c r="C122" s="60" t="s">
        <v>410</v>
      </c>
      <c r="D122" s="60" t="s">
        <v>411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</v>
      </c>
      <c r="K122" s="66">
        <f>19740</f>
        <v>19740</v>
      </c>
      <c r="L122" s="67" t="s">
        <v>833</v>
      </c>
      <c r="M122" s="66">
        <f>20430</f>
        <v>20430</v>
      </c>
      <c r="N122" s="67" t="s">
        <v>814</v>
      </c>
      <c r="O122" s="66">
        <f>15490</f>
        <v>15490</v>
      </c>
      <c r="P122" s="67" t="s">
        <v>79</v>
      </c>
      <c r="Q122" s="66">
        <f>18060</f>
        <v>18060</v>
      </c>
      <c r="R122" s="67" t="s">
        <v>51</v>
      </c>
      <c r="S122" s="68">
        <f>17963.81</f>
        <v>17963.810000000001</v>
      </c>
      <c r="T122" s="65">
        <f>234023</f>
        <v>234023</v>
      </c>
      <c r="U122" s="65">
        <f>44114</f>
        <v>44114</v>
      </c>
      <c r="V122" s="65">
        <f>4291262848</f>
        <v>4291262848</v>
      </c>
      <c r="W122" s="65">
        <f>859814398</f>
        <v>859814398</v>
      </c>
      <c r="X122" s="69">
        <f>21</f>
        <v>21</v>
      </c>
    </row>
    <row r="123" spans="1:24">
      <c r="A123" s="60" t="s">
        <v>832</v>
      </c>
      <c r="B123" s="60" t="s">
        <v>412</v>
      </c>
      <c r="C123" s="60" t="s">
        <v>413</v>
      </c>
      <c r="D123" s="60" t="s">
        <v>414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f>1663</f>
        <v>1663</v>
      </c>
      <c r="L123" s="67" t="s">
        <v>833</v>
      </c>
      <c r="M123" s="66">
        <f>1806</f>
        <v>1806</v>
      </c>
      <c r="N123" s="67" t="s">
        <v>814</v>
      </c>
      <c r="O123" s="66">
        <f>1303</f>
        <v>1303</v>
      </c>
      <c r="P123" s="67" t="s">
        <v>819</v>
      </c>
      <c r="Q123" s="66">
        <f>1515</f>
        <v>1515</v>
      </c>
      <c r="R123" s="67" t="s">
        <v>51</v>
      </c>
      <c r="S123" s="68">
        <f>1516.76</f>
        <v>1516.76</v>
      </c>
      <c r="T123" s="65">
        <f>606256</f>
        <v>606256</v>
      </c>
      <c r="U123" s="65">
        <f>4</f>
        <v>4</v>
      </c>
      <c r="V123" s="65">
        <f>857423236</f>
        <v>857423236</v>
      </c>
      <c r="W123" s="65">
        <f>5484</f>
        <v>5484</v>
      </c>
      <c r="X123" s="69">
        <f>21</f>
        <v>21</v>
      </c>
    </row>
    <row r="124" spans="1:24">
      <c r="A124" s="60" t="s">
        <v>832</v>
      </c>
      <c r="B124" s="60" t="s">
        <v>415</v>
      </c>
      <c r="C124" s="60" t="s">
        <v>416</v>
      </c>
      <c r="D124" s="60" t="s">
        <v>417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f>18260</f>
        <v>18260</v>
      </c>
      <c r="L124" s="67" t="s">
        <v>833</v>
      </c>
      <c r="M124" s="66">
        <f>19850</f>
        <v>19850</v>
      </c>
      <c r="N124" s="67" t="s">
        <v>814</v>
      </c>
      <c r="O124" s="66">
        <f>11000</f>
        <v>11000</v>
      </c>
      <c r="P124" s="67" t="s">
        <v>79</v>
      </c>
      <c r="Q124" s="66">
        <f>14730</f>
        <v>14730</v>
      </c>
      <c r="R124" s="67" t="s">
        <v>51</v>
      </c>
      <c r="S124" s="68">
        <f>15009.05</f>
        <v>15009.05</v>
      </c>
      <c r="T124" s="65">
        <f>29821910</f>
        <v>29821910</v>
      </c>
      <c r="U124" s="65">
        <f>14320</f>
        <v>14320</v>
      </c>
      <c r="V124" s="65">
        <f>435541969997</f>
        <v>435541969997</v>
      </c>
      <c r="W124" s="65">
        <f>212472597</f>
        <v>212472597</v>
      </c>
      <c r="X124" s="69">
        <f>21</f>
        <v>21</v>
      </c>
    </row>
    <row r="125" spans="1:24">
      <c r="A125" s="60" t="s">
        <v>832</v>
      </c>
      <c r="B125" s="60" t="s">
        <v>418</v>
      </c>
      <c r="C125" s="60" t="s">
        <v>419</v>
      </c>
      <c r="D125" s="60" t="s">
        <v>420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4230</f>
        <v>4230</v>
      </c>
      <c r="L125" s="67" t="s">
        <v>833</v>
      </c>
      <c r="M125" s="66">
        <f>5340</f>
        <v>5340</v>
      </c>
      <c r="N125" s="67" t="s">
        <v>819</v>
      </c>
      <c r="O125" s="66">
        <f>4055</f>
        <v>4055</v>
      </c>
      <c r="P125" s="67" t="s">
        <v>814</v>
      </c>
      <c r="Q125" s="66">
        <f>4500</f>
        <v>4500</v>
      </c>
      <c r="R125" s="67" t="s">
        <v>51</v>
      </c>
      <c r="S125" s="68">
        <f>4624.76</f>
        <v>4624.76</v>
      </c>
      <c r="T125" s="65">
        <f>5615880</f>
        <v>5615880</v>
      </c>
      <c r="U125" s="65">
        <f>213950</f>
        <v>213950</v>
      </c>
      <c r="V125" s="65">
        <f>26311504296</f>
        <v>26311504296</v>
      </c>
      <c r="W125" s="65">
        <f>996813796</f>
        <v>996813796</v>
      </c>
      <c r="X125" s="69">
        <f>21</f>
        <v>21</v>
      </c>
    </row>
    <row r="126" spans="1:24">
      <c r="A126" s="60" t="s">
        <v>832</v>
      </c>
      <c r="B126" s="60" t="s">
        <v>421</v>
      </c>
      <c r="C126" s="60" t="s">
        <v>422</v>
      </c>
      <c r="D126" s="60" t="s">
        <v>423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f>600</f>
        <v>600</v>
      </c>
      <c r="L126" s="67" t="s">
        <v>833</v>
      </c>
      <c r="M126" s="66">
        <f>625</f>
        <v>625</v>
      </c>
      <c r="N126" s="67" t="s">
        <v>833</v>
      </c>
      <c r="O126" s="66">
        <f>417</f>
        <v>417</v>
      </c>
      <c r="P126" s="67" t="s">
        <v>819</v>
      </c>
      <c r="Q126" s="66">
        <f>516</f>
        <v>516</v>
      </c>
      <c r="R126" s="67" t="s">
        <v>51</v>
      </c>
      <c r="S126" s="68">
        <f>522.47</f>
        <v>522.47</v>
      </c>
      <c r="T126" s="65">
        <f>3970</f>
        <v>3970</v>
      </c>
      <c r="U126" s="65" t="str">
        <f>"－"</f>
        <v>－</v>
      </c>
      <c r="V126" s="65">
        <f>2061520</f>
        <v>2061520</v>
      </c>
      <c r="W126" s="65" t="str">
        <f>"－"</f>
        <v>－</v>
      </c>
      <c r="X126" s="69">
        <f>17</f>
        <v>17</v>
      </c>
    </row>
    <row r="127" spans="1:24">
      <c r="A127" s="60" t="s">
        <v>832</v>
      </c>
      <c r="B127" s="60" t="s">
        <v>424</v>
      </c>
      <c r="C127" s="60" t="s">
        <v>425</v>
      </c>
      <c r="D127" s="60" t="s">
        <v>426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f>1189</f>
        <v>1189</v>
      </c>
      <c r="L127" s="67" t="s">
        <v>833</v>
      </c>
      <c r="M127" s="66">
        <f>1189</f>
        <v>1189</v>
      </c>
      <c r="N127" s="67" t="s">
        <v>833</v>
      </c>
      <c r="O127" s="66">
        <f>884</f>
        <v>884</v>
      </c>
      <c r="P127" s="67" t="s">
        <v>820</v>
      </c>
      <c r="Q127" s="66">
        <f>1114</f>
        <v>1114</v>
      </c>
      <c r="R127" s="67" t="s">
        <v>51</v>
      </c>
      <c r="S127" s="68">
        <f>1072</f>
        <v>1072</v>
      </c>
      <c r="T127" s="65">
        <f>1170</f>
        <v>1170</v>
      </c>
      <c r="U127" s="65" t="str">
        <f>"－"</f>
        <v>－</v>
      </c>
      <c r="V127" s="65">
        <f>1223880</f>
        <v>1223880</v>
      </c>
      <c r="W127" s="65" t="str">
        <f>"－"</f>
        <v>－</v>
      </c>
      <c r="X127" s="69">
        <f>16</f>
        <v>16</v>
      </c>
    </row>
    <row r="128" spans="1:24">
      <c r="A128" s="60" t="s">
        <v>832</v>
      </c>
      <c r="B128" s="60" t="s">
        <v>427</v>
      </c>
      <c r="C128" s="60" t="s">
        <v>428</v>
      </c>
      <c r="D128" s="60" t="s">
        <v>429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f>1308</f>
        <v>1308</v>
      </c>
      <c r="L128" s="67" t="s">
        <v>833</v>
      </c>
      <c r="M128" s="66">
        <f>1512</f>
        <v>1512</v>
      </c>
      <c r="N128" s="67" t="s">
        <v>50</v>
      </c>
      <c r="O128" s="66">
        <f>1069</f>
        <v>1069</v>
      </c>
      <c r="P128" s="67" t="s">
        <v>820</v>
      </c>
      <c r="Q128" s="66">
        <f>1267</f>
        <v>1267</v>
      </c>
      <c r="R128" s="67" t="s">
        <v>51</v>
      </c>
      <c r="S128" s="68">
        <f>1226.25</f>
        <v>1226.25</v>
      </c>
      <c r="T128" s="65">
        <f>3363</f>
        <v>3363</v>
      </c>
      <c r="U128" s="65" t="str">
        <f>"－"</f>
        <v>－</v>
      </c>
      <c r="V128" s="65">
        <f>4162062</f>
        <v>4162062</v>
      </c>
      <c r="W128" s="65" t="str">
        <f>"－"</f>
        <v>－</v>
      </c>
      <c r="X128" s="69">
        <f>20</f>
        <v>20</v>
      </c>
    </row>
    <row r="129" spans="1:24">
      <c r="A129" s="60" t="s">
        <v>832</v>
      </c>
      <c r="B129" s="60" t="s">
        <v>430</v>
      </c>
      <c r="C129" s="60" t="s">
        <v>431</v>
      </c>
      <c r="D129" s="60" t="s">
        <v>432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13460</f>
        <v>13460</v>
      </c>
      <c r="L129" s="67" t="s">
        <v>833</v>
      </c>
      <c r="M129" s="66">
        <f>13980</f>
        <v>13980</v>
      </c>
      <c r="N129" s="67" t="s">
        <v>814</v>
      </c>
      <c r="O129" s="66">
        <f>10870</f>
        <v>10870</v>
      </c>
      <c r="P129" s="67" t="s">
        <v>79</v>
      </c>
      <c r="Q129" s="66">
        <f>12790</f>
        <v>12790</v>
      </c>
      <c r="R129" s="67" t="s">
        <v>51</v>
      </c>
      <c r="S129" s="68">
        <f>12630</f>
        <v>12630</v>
      </c>
      <c r="T129" s="65">
        <f>198359</f>
        <v>198359</v>
      </c>
      <c r="U129" s="65">
        <f>48322</f>
        <v>48322</v>
      </c>
      <c r="V129" s="65">
        <f>2479632630</f>
        <v>2479632630</v>
      </c>
      <c r="W129" s="65">
        <f>584810830</f>
        <v>584810830</v>
      </c>
      <c r="X129" s="69">
        <f>21</f>
        <v>21</v>
      </c>
    </row>
    <row r="130" spans="1:24">
      <c r="A130" s="60" t="s">
        <v>832</v>
      </c>
      <c r="B130" s="60" t="s">
        <v>433</v>
      </c>
      <c r="C130" s="60" t="s">
        <v>434</v>
      </c>
      <c r="D130" s="60" t="s">
        <v>435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</v>
      </c>
      <c r="K130" s="66">
        <f>1223</f>
        <v>1223</v>
      </c>
      <c r="L130" s="67" t="s">
        <v>833</v>
      </c>
      <c r="M130" s="66">
        <f>1277</f>
        <v>1277</v>
      </c>
      <c r="N130" s="67" t="s">
        <v>814</v>
      </c>
      <c r="O130" s="66">
        <f>981</f>
        <v>981</v>
      </c>
      <c r="P130" s="67" t="s">
        <v>79</v>
      </c>
      <c r="Q130" s="66">
        <f>1170</f>
        <v>1170</v>
      </c>
      <c r="R130" s="67" t="s">
        <v>51</v>
      </c>
      <c r="S130" s="68">
        <f>1138.14</f>
        <v>1138.1400000000001</v>
      </c>
      <c r="T130" s="65">
        <f>835474</f>
        <v>835474</v>
      </c>
      <c r="U130" s="65">
        <f>1254</f>
        <v>1254</v>
      </c>
      <c r="V130" s="65">
        <f>925568766</f>
        <v>925568766</v>
      </c>
      <c r="W130" s="65">
        <f>1326793</f>
        <v>1326793</v>
      </c>
      <c r="X130" s="69">
        <f>21</f>
        <v>21</v>
      </c>
    </row>
    <row r="131" spans="1:24">
      <c r="A131" s="60" t="s">
        <v>832</v>
      </c>
      <c r="B131" s="60" t="s">
        <v>436</v>
      </c>
      <c r="C131" s="60" t="s">
        <v>437</v>
      </c>
      <c r="D131" s="60" t="s">
        <v>438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f>13630</f>
        <v>13630</v>
      </c>
      <c r="L131" s="67" t="s">
        <v>833</v>
      </c>
      <c r="M131" s="66">
        <f>14260</f>
        <v>14260</v>
      </c>
      <c r="N131" s="67" t="s">
        <v>814</v>
      </c>
      <c r="O131" s="66">
        <f>11080</f>
        <v>11080</v>
      </c>
      <c r="P131" s="67" t="s">
        <v>79</v>
      </c>
      <c r="Q131" s="66">
        <f>13100</f>
        <v>13100</v>
      </c>
      <c r="R131" s="67" t="s">
        <v>51</v>
      </c>
      <c r="S131" s="68">
        <f>12846.19</f>
        <v>12846.19</v>
      </c>
      <c r="T131" s="65">
        <f>1341156</f>
        <v>1341156</v>
      </c>
      <c r="U131" s="65">
        <f>1287104</f>
        <v>1287104</v>
      </c>
      <c r="V131" s="65">
        <f>17374560340</f>
        <v>17374560340</v>
      </c>
      <c r="W131" s="65">
        <f>16690199020</f>
        <v>16690199020</v>
      </c>
      <c r="X131" s="69">
        <f>21</f>
        <v>21</v>
      </c>
    </row>
    <row r="132" spans="1:24">
      <c r="A132" s="60" t="s">
        <v>832</v>
      </c>
      <c r="B132" s="60" t="s">
        <v>439</v>
      </c>
      <c r="C132" s="60" t="s">
        <v>440</v>
      </c>
      <c r="D132" s="60" t="s">
        <v>441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f>2063</f>
        <v>2063</v>
      </c>
      <c r="L132" s="67" t="s">
        <v>833</v>
      </c>
      <c r="M132" s="66">
        <f>2154</f>
        <v>2154</v>
      </c>
      <c r="N132" s="67" t="s">
        <v>48</v>
      </c>
      <c r="O132" s="66">
        <f>1174</f>
        <v>1174</v>
      </c>
      <c r="P132" s="67" t="s">
        <v>819</v>
      </c>
      <c r="Q132" s="66">
        <f>1654</f>
        <v>1654</v>
      </c>
      <c r="R132" s="67" t="s">
        <v>51</v>
      </c>
      <c r="S132" s="68">
        <f>1746.95</f>
        <v>1746.95</v>
      </c>
      <c r="T132" s="65">
        <f>1509800</f>
        <v>1509800</v>
      </c>
      <c r="U132" s="65">
        <f>453930</f>
        <v>453930</v>
      </c>
      <c r="V132" s="65">
        <f>2745380385</f>
        <v>2745380385</v>
      </c>
      <c r="W132" s="65">
        <f>817638665</f>
        <v>817638665</v>
      </c>
      <c r="X132" s="69">
        <f>21</f>
        <v>21</v>
      </c>
    </row>
    <row r="133" spans="1:24">
      <c r="A133" s="60" t="s">
        <v>832</v>
      </c>
      <c r="B133" s="60" t="s">
        <v>442</v>
      </c>
      <c r="C133" s="60" t="s">
        <v>443</v>
      </c>
      <c r="D133" s="60" t="s">
        <v>444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10</v>
      </c>
      <c r="K133" s="66">
        <f>1308</f>
        <v>1308</v>
      </c>
      <c r="L133" s="67" t="s">
        <v>833</v>
      </c>
      <c r="M133" s="66">
        <f>1318</f>
        <v>1318</v>
      </c>
      <c r="N133" s="67" t="s">
        <v>833</v>
      </c>
      <c r="O133" s="66">
        <f>1020</f>
        <v>1020</v>
      </c>
      <c r="P133" s="67" t="s">
        <v>820</v>
      </c>
      <c r="Q133" s="66">
        <f>1242</f>
        <v>1242</v>
      </c>
      <c r="R133" s="67" t="s">
        <v>51</v>
      </c>
      <c r="S133" s="68">
        <f>1164.8</f>
        <v>1164.8</v>
      </c>
      <c r="T133" s="65">
        <f>160</f>
        <v>160</v>
      </c>
      <c r="U133" s="65" t="str">
        <f>"－"</f>
        <v>－</v>
      </c>
      <c r="V133" s="65">
        <f>188100</f>
        <v>188100</v>
      </c>
      <c r="W133" s="65" t="str">
        <f>"－"</f>
        <v>－</v>
      </c>
      <c r="X133" s="69">
        <f>5</f>
        <v>5</v>
      </c>
    </row>
    <row r="134" spans="1:24">
      <c r="A134" s="60" t="s">
        <v>832</v>
      </c>
      <c r="B134" s="60" t="s">
        <v>445</v>
      </c>
      <c r="C134" s="60" t="s">
        <v>446</v>
      </c>
      <c r="D134" s="60" t="s">
        <v>447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10</v>
      </c>
      <c r="K134" s="66">
        <f>2023</f>
        <v>2023</v>
      </c>
      <c r="L134" s="67" t="s">
        <v>833</v>
      </c>
      <c r="M134" s="66">
        <f>2172</f>
        <v>2172</v>
      </c>
      <c r="N134" s="67" t="s">
        <v>814</v>
      </c>
      <c r="O134" s="66">
        <f>1162</f>
        <v>1162</v>
      </c>
      <c r="P134" s="67" t="s">
        <v>819</v>
      </c>
      <c r="Q134" s="66">
        <f>1617</f>
        <v>1617</v>
      </c>
      <c r="R134" s="67" t="s">
        <v>51</v>
      </c>
      <c r="S134" s="68">
        <f>1733.05</f>
        <v>1733.05</v>
      </c>
      <c r="T134" s="65">
        <f>1921280</f>
        <v>1921280</v>
      </c>
      <c r="U134" s="65">
        <f>570670</f>
        <v>570670</v>
      </c>
      <c r="V134" s="65">
        <f>3628767720</f>
        <v>3628767720</v>
      </c>
      <c r="W134" s="65">
        <f>1149417190</f>
        <v>1149417190</v>
      </c>
      <c r="X134" s="69">
        <f>21</f>
        <v>21</v>
      </c>
    </row>
    <row r="135" spans="1:24">
      <c r="A135" s="60" t="s">
        <v>832</v>
      </c>
      <c r="B135" s="60" t="s">
        <v>448</v>
      </c>
      <c r="C135" s="60" t="s">
        <v>449</v>
      </c>
      <c r="D135" s="60" t="s">
        <v>450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</v>
      </c>
      <c r="K135" s="66">
        <f>15370</f>
        <v>15370</v>
      </c>
      <c r="L135" s="67" t="s">
        <v>48</v>
      </c>
      <c r="M135" s="66">
        <f>15480</f>
        <v>15480</v>
      </c>
      <c r="N135" s="67" t="s">
        <v>48</v>
      </c>
      <c r="O135" s="66">
        <f>14390</f>
        <v>14390</v>
      </c>
      <c r="P135" s="67" t="s">
        <v>119</v>
      </c>
      <c r="Q135" s="66">
        <f>14390</f>
        <v>14390</v>
      </c>
      <c r="R135" s="67" t="s">
        <v>79</v>
      </c>
      <c r="S135" s="68">
        <f>14753.33</f>
        <v>14753.33</v>
      </c>
      <c r="T135" s="65">
        <f>29</f>
        <v>29</v>
      </c>
      <c r="U135" s="65" t="str">
        <f>"－"</f>
        <v>－</v>
      </c>
      <c r="V135" s="65">
        <f>420780</f>
        <v>420780</v>
      </c>
      <c r="W135" s="65" t="str">
        <f>"－"</f>
        <v>－</v>
      </c>
      <c r="X135" s="69">
        <f>3</f>
        <v>3</v>
      </c>
    </row>
    <row r="136" spans="1:24">
      <c r="A136" s="60" t="s">
        <v>832</v>
      </c>
      <c r="B136" s="60" t="s">
        <v>451</v>
      </c>
      <c r="C136" s="60" t="s">
        <v>452</v>
      </c>
      <c r="D136" s="60" t="s">
        <v>453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13510</f>
        <v>13510</v>
      </c>
      <c r="L136" s="67" t="s">
        <v>833</v>
      </c>
      <c r="M136" s="66">
        <f>14120</f>
        <v>14120</v>
      </c>
      <c r="N136" s="67" t="s">
        <v>814</v>
      </c>
      <c r="O136" s="66">
        <f>10970</f>
        <v>10970</v>
      </c>
      <c r="P136" s="67" t="s">
        <v>820</v>
      </c>
      <c r="Q136" s="66">
        <f>12890</f>
        <v>12890</v>
      </c>
      <c r="R136" s="67" t="s">
        <v>51</v>
      </c>
      <c r="S136" s="68">
        <f>12661.43</f>
        <v>12661.43</v>
      </c>
      <c r="T136" s="65">
        <f>29640</f>
        <v>29640</v>
      </c>
      <c r="U136" s="65">
        <f>7000</f>
        <v>7000</v>
      </c>
      <c r="V136" s="65">
        <f>378465930</f>
        <v>378465930</v>
      </c>
      <c r="W136" s="65">
        <f>95991000</f>
        <v>95991000</v>
      </c>
      <c r="X136" s="69">
        <f>21</f>
        <v>21</v>
      </c>
    </row>
    <row r="137" spans="1:24">
      <c r="A137" s="60" t="s">
        <v>832</v>
      </c>
      <c r="B137" s="60" t="s">
        <v>454</v>
      </c>
      <c r="C137" s="60" t="s">
        <v>455</v>
      </c>
      <c r="D137" s="60" t="s">
        <v>456</v>
      </c>
      <c r="E137" s="61" t="s">
        <v>46</v>
      </c>
      <c r="F137" s="62" t="s">
        <v>46</v>
      </c>
      <c r="G137" s="63" t="s">
        <v>46</v>
      </c>
      <c r="H137" s="64" t="s">
        <v>823</v>
      </c>
      <c r="I137" s="64" t="s">
        <v>47</v>
      </c>
      <c r="J137" s="65">
        <v>10</v>
      </c>
      <c r="K137" s="66">
        <f>2224</f>
        <v>2224</v>
      </c>
      <c r="L137" s="67" t="s">
        <v>833</v>
      </c>
      <c r="M137" s="66">
        <f>2385</f>
        <v>2385</v>
      </c>
      <c r="N137" s="67" t="s">
        <v>814</v>
      </c>
      <c r="O137" s="66">
        <f>1822</f>
        <v>1822</v>
      </c>
      <c r="P137" s="67" t="s">
        <v>819</v>
      </c>
      <c r="Q137" s="66">
        <f>2004</f>
        <v>2004</v>
      </c>
      <c r="R137" s="67" t="s">
        <v>51</v>
      </c>
      <c r="S137" s="68">
        <f>2037.8</f>
        <v>2037.8</v>
      </c>
      <c r="T137" s="65">
        <f>6280</f>
        <v>6280</v>
      </c>
      <c r="U137" s="65" t="str">
        <f>"－"</f>
        <v>－</v>
      </c>
      <c r="V137" s="65">
        <f>13302500</f>
        <v>13302500</v>
      </c>
      <c r="W137" s="65" t="str">
        <f>"－"</f>
        <v>－</v>
      </c>
      <c r="X137" s="69">
        <f>15</f>
        <v>15</v>
      </c>
    </row>
    <row r="138" spans="1:24">
      <c r="A138" s="60" t="s">
        <v>832</v>
      </c>
      <c r="B138" s="60" t="s">
        <v>457</v>
      </c>
      <c r="C138" s="60" t="s">
        <v>458</v>
      </c>
      <c r="D138" s="60" t="s">
        <v>459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100</v>
      </c>
      <c r="K138" s="66">
        <f>134</f>
        <v>134</v>
      </c>
      <c r="L138" s="67" t="s">
        <v>833</v>
      </c>
      <c r="M138" s="66">
        <f>137</f>
        <v>137</v>
      </c>
      <c r="N138" s="67" t="s">
        <v>814</v>
      </c>
      <c r="O138" s="66">
        <f>101</f>
        <v>101</v>
      </c>
      <c r="P138" s="67" t="s">
        <v>820</v>
      </c>
      <c r="Q138" s="66">
        <f>117</f>
        <v>117</v>
      </c>
      <c r="R138" s="67" t="s">
        <v>51</v>
      </c>
      <c r="S138" s="68">
        <f>117.71</f>
        <v>117.71</v>
      </c>
      <c r="T138" s="65">
        <f>47367700</f>
        <v>47367700</v>
      </c>
      <c r="U138" s="65">
        <f>40300</f>
        <v>40300</v>
      </c>
      <c r="V138" s="65">
        <f>5453735941</f>
        <v>5453735941</v>
      </c>
      <c r="W138" s="65">
        <f>4750041</f>
        <v>4750041</v>
      </c>
      <c r="X138" s="69">
        <f>21</f>
        <v>21</v>
      </c>
    </row>
    <row r="139" spans="1:24">
      <c r="A139" s="60" t="s">
        <v>832</v>
      </c>
      <c r="B139" s="60" t="s">
        <v>460</v>
      </c>
      <c r="C139" s="60" t="s">
        <v>461</v>
      </c>
      <c r="D139" s="60" t="s">
        <v>462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25070</f>
        <v>25070</v>
      </c>
      <c r="L139" s="67" t="s">
        <v>833</v>
      </c>
      <c r="M139" s="66">
        <f>27080</f>
        <v>27080</v>
      </c>
      <c r="N139" s="67" t="s">
        <v>50</v>
      </c>
      <c r="O139" s="66">
        <f>21600</f>
        <v>21600</v>
      </c>
      <c r="P139" s="67" t="s">
        <v>79</v>
      </c>
      <c r="Q139" s="66">
        <f>26320</f>
        <v>26320</v>
      </c>
      <c r="R139" s="67" t="s">
        <v>51</v>
      </c>
      <c r="S139" s="68">
        <f>24391.58</f>
        <v>24391.58</v>
      </c>
      <c r="T139" s="65">
        <f>1411</f>
        <v>1411</v>
      </c>
      <c r="U139" s="65" t="str">
        <f>"－"</f>
        <v>－</v>
      </c>
      <c r="V139" s="65">
        <f>34172670</f>
        <v>34172670</v>
      </c>
      <c r="W139" s="65" t="str">
        <f>"－"</f>
        <v>－</v>
      </c>
      <c r="X139" s="69">
        <f>19</f>
        <v>19</v>
      </c>
    </row>
    <row r="140" spans="1:24">
      <c r="A140" s="60" t="s">
        <v>832</v>
      </c>
      <c r="B140" s="60" t="s">
        <v>463</v>
      </c>
      <c r="C140" s="60" t="s">
        <v>464</v>
      </c>
      <c r="D140" s="60" t="s">
        <v>465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9550</f>
        <v>9550</v>
      </c>
      <c r="L140" s="67" t="s">
        <v>833</v>
      </c>
      <c r="M140" s="66">
        <f>10020</f>
        <v>10020</v>
      </c>
      <c r="N140" s="67" t="s">
        <v>814</v>
      </c>
      <c r="O140" s="66">
        <f>7010</f>
        <v>7010</v>
      </c>
      <c r="P140" s="67" t="s">
        <v>819</v>
      </c>
      <c r="Q140" s="66">
        <f>8210</f>
        <v>8210</v>
      </c>
      <c r="R140" s="67" t="s">
        <v>51</v>
      </c>
      <c r="S140" s="68">
        <f>8236.67</f>
        <v>8236.67</v>
      </c>
      <c r="T140" s="65">
        <f>11196</f>
        <v>11196</v>
      </c>
      <c r="U140" s="65">
        <f>8</f>
        <v>8</v>
      </c>
      <c r="V140" s="65">
        <f>88094370</f>
        <v>88094370</v>
      </c>
      <c r="W140" s="65">
        <f>60160</f>
        <v>60160</v>
      </c>
      <c r="X140" s="69">
        <f>21</f>
        <v>21</v>
      </c>
    </row>
    <row r="141" spans="1:24">
      <c r="A141" s="60" t="s">
        <v>832</v>
      </c>
      <c r="B141" s="60" t="s">
        <v>466</v>
      </c>
      <c r="C141" s="60" t="s">
        <v>467</v>
      </c>
      <c r="D141" s="60" t="s">
        <v>468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18830</f>
        <v>18830</v>
      </c>
      <c r="L141" s="67" t="s">
        <v>833</v>
      </c>
      <c r="M141" s="66">
        <f>19570</f>
        <v>19570</v>
      </c>
      <c r="N141" s="67" t="s">
        <v>814</v>
      </c>
      <c r="O141" s="66">
        <f>14610</f>
        <v>14610</v>
      </c>
      <c r="P141" s="67" t="s">
        <v>820</v>
      </c>
      <c r="Q141" s="66">
        <f>17500</f>
        <v>17500</v>
      </c>
      <c r="R141" s="67" t="s">
        <v>51</v>
      </c>
      <c r="S141" s="68">
        <f>17011.9</f>
        <v>17011.900000000001</v>
      </c>
      <c r="T141" s="65">
        <f>2129</f>
        <v>2129</v>
      </c>
      <c r="U141" s="65">
        <f>7</f>
        <v>7</v>
      </c>
      <c r="V141" s="65">
        <f>34706420</f>
        <v>34706420</v>
      </c>
      <c r="W141" s="65">
        <f>120400</f>
        <v>120400</v>
      </c>
      <c r="X141" s="69">
        <f>21</f>
        <v>21</v>
      </c>
    </row>
    <row r="142" spans="1:24">
      <c r="A142" s="60" t="s">
        <v>832</v>
      </c>
      <c r="B142" s="60" t="s">
        <v>469</v>
      </c>
      <c r="C142" s="60" t="s">
        <v>470</v>
      </c>
      <c r="D142" s="60" t="s">
        <v>471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21730</f>
        <v>21730</v>
      </c>
      <c r="L142" s="67" t="s">
        <v>833</v>
      </c>
      <c r="M142" s="66">
        <f>22380</f>
        <v>22380</v>
      </c>
      <c r="N142" s="67" t="s">
        <v>814</v>
      </c>
      <c r="O142" s="66">
        <f>17550</f>
        <v>17550</v>
      </c>
      <c r="P142" s="67" t="s">
        <v>79</v>
      </c>
      <c r="Q142" s="66">
        <f>21380</f>
        <v>21380</v>
      </c>
      <c r="R142" s="67" t="s">
        <v>51</v>
      </c>
      <c r="S142" s="68">
        <f>20334.76</f>
        <v>20334.759999999998</v>
      </c>
      <c r="T142" s="65">
        <f>599</f>
        <v>599</v>
      </c>
      <c r="U142" s="65" t="str">
        <f>"－"</f>
        <v>－</v>
      </c>
      <c r="V142" s="65">
        <f>12430790</f>
        <v>12430790</v>
      </c>
      <c r="W142" s="65" t="str">
        <f>"－"</f>
        <v>－</v>
      </c>
      <c r="X142" s="69">
        <f>21</f>
        <v>21</v>
      </c>
    </row>
    <row r="143" spans="1:24">
      <c r="A143" s="60" t="s">
        <v>832</v>
      </c>
      <c r="B143" s="60" t="s">
        <v>472</v>
      </c>
      <c r="C143" s="60" t="s">
        <v>473</v>
      </c>
      <c r="D143" s="60" t="s">
        <v>474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22230</f>
        <v>22230</v>
      </c>
      <c r="L143" s="67" t="s">
        <v>833</v>
      </c>
      <c r="M143" s="66">
        <f>23200</f>
        <v>23200</v>
      </c>
      <c r="N143" s="67" t="s">
        <v>51</v>
      </c>
      <c r="O143" s="66">
        <f>18000</f>
        <v>18000</v>
      </c>
      <c r="P143" s="67" t="s">
        <v>820</v>
      </c>
      <c r="Q143" s="66">
        <f>22690</f>
        <v>22690</v>
      </c>
      <c r="R143" s="67" t="s">
        <v>51</v>
      </c>
      <c r="S143" s="68">
        <f>21037.14</f>
        <v>21037.14</v>
      </c>
      <c r="T143" s="65">
        <f>10153</f>
        <v>10153</v>
      </c>
      <c r="U143" s="65">
        <f>10</f>
        <v>10</v>
      </c>
      <c r="V143" s="65">
        <f>211148200</f>
        <v>211148200</v>
      </c>
      <c r="W143" s="65">
        <f>188900</f>
        <v>188900</v>
      </c>
      <c r="X143" s="69">
        <f>21</f>
        <v>21</v>
      </c>
    </row>
    <row r="144" spans="1:24">
      <c r="A144" s="60" t="s">
        <v>832</v>
      </c>
      <c r="B144" s="60" t="s">
        <v>475</v>
      </c>
      <c r="C144" s="60" t="s">
        <v>476</v>
      </c>
      <c r="D144" s="60" t="s">
        <v>477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17880</f>
        <v>17880</v>
      </c>
      <c r="L144" s="67" t="s">
        <v>833</v>
      </c>
      <c r="M144" s="66">
        <f>18630</f>
        <v>18630</v>
      </c>
      <c r="N144" s="67" t="s">
        <v>814</v>
      </c>
      <c r="O144" s="66">
        <f>14380</f>
        <v>14380</v>
      </c>
      <c r="P144" s="67" t="s">
        <v>79</v>
      </c>
      <c r="Q144" s="66">
        <f>16170</f>
        <v>16170</v>
      </c>
      <c r="R144" s="67" t="s">
        <v>51</v>
      </c>
      <c r="S144" s="68">
        <f>16348.57</f>
        <v>16348.57</v>
      </c>
      <c r="T144" s="65">
        <f>4289</f>
        <v>4289</v>
      </c>
      <c r="U144" s="65" t="str">
        <f>"－"</f>
        <v>－</v>
      </c>
      <c r="V144" s="65">
        <f>69819800</f>
        <v>69819800</v>
      </c>
      <c r="W144" s="65" t="str">
        <f>"－"</f>
        <v>－</v>
      </c>
      <c r="X144" s="69">
        <f>21</f>
        <v>21</v>
      </c>
    </row>
    <row r="145" spans="1:24">
      <c r="A145" s="60" t="s">
        <v>832</v>
      </c>
      <c r="B145" s="60" t="s">
        <v>478</v>
      </c>
      <c r="C145" s="60" t="s">
        <v>479</v>
      </c>
      <c r="D145" s="60" t="s">
        <v>480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11410</f>
        <v>11410</v>
      </c>
      <c r="L145" s="67" t="s">
        <v>833</v>
      </c>
      <c r="M145" s="66">
        <f>12040</f>
        <v>12040</v>
      </c>
      <c r="N145" s="67" t="s">
        <v>833</v>
      </c>
      <c r="O145" s="66">
        <f>8370</f>
        <v>8370</v>
      </c>
      <c r="P145" s="67" t="s">
        <v>79</v>
      </c>
      <c r="Q145" s="66">
        <f>9630</f>
        <v>9630</v>
      </c>
      <c r="R145" s="67" t="s">
        <v>51</v>
      </c>
      <c r="S145" s="68">
        <f>9768.1</f>
        <v>9768.1</v>
      </c>
      <c r="T145" s="65">
        <f>12565</f>
        <v>12565</v>
      </c>
      <c r="U145" s="65">
        <f>27</f>
        <v>27</v>
      </c>
      <c r="V145" s="65">
        <f>120573050</f>
        <v>120573050</v>
      </c>
      <c r="W145" s="65">
        <f>315090</f>
        <v>315090</v>
      </c>
      <c r="X145" s="69">
        <f>21</f>
        <v>21</v>
      </c>
    </row>
    <row r="146" spans="1:24">
      <c r="A146" s="60" t="s">
        <v>832</v>
      </c>
      <c r="B146" s="60" t="s">
        <v>481</v>
      </c>
      <c r="C146" s="60" t="s">
        <v>482</v>
      </c>
      <c r="D146" s="60" t="s">
        <v>483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29730</f>
        <v>29730</v>
      </c>
      <c r="L146" s="67" t="s">
        <v>833</v>
      </c>
      <c r="M146" s="66">
        <f>30500</f>
        <v>30500</v>
      </c>
      <c r="N146" s="67" t="s">
        <v>814</v>
      </c>
      <c r="O146" s="66">
        <f>23200</f>
        <v>23200</v>
      </c>
      <c r="P146" s="67" t="s">
        <v>820</v>
      </c>
      <c r="Q146" s="66">
        <f>27450</f>
        <v>27450</v>
      </c>
      <c r="R146" s="67" t="s">
        <v>51</v>
      </c>
      <c r="S146" s="68">
        <f>26617.5</f>
        <v>26617.5</v>
      </c>
      <c r="T146" s="65">
        <f>837</f>
        <v>837</v>
      </c>
      <c r="U146" s="65" t="str">
        <f t="shared" ref="U146:U152" si="0">"－"</f>
        <v>－</v>
      </c>
      <c r="V146" s="65">
        <f>22476640</f>
        <v>22476640</v>
      </c>
      <c r="W146" s="65" t="str">
        <f t="shared" ref="W146:W152" si="1">"－"</f>
        <v>－</v>
      </c>
      <c r="X146" s="69">
        <f>20</f>
        <v>20</v>
      </c>
    </row>
    <row r="147" spans="1:24">
      <c r="A147" s="60" t="s">
        <v>832</v>
      </c>
      <c r="B147" s="60" t="s">
        <v>484</v>
      </c>
      <c r="C147" s="60" t="s">
        <v>485</v>
      </c>
      <c r="D147" s="60" t="s">
        <v>486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18700</f>
        <v>18700</v>
      </c>
      <c r="L147" s="67" t="s">
        <v>833</v>
      </c>
      <c r="M147" s="66">
        <f>19710</f>
        <v>19710</v>
      </c>
      <c r="N147" s="67" t="s">
        <v>814</v>
      </c>
      <c r="O147" s="66">
        <f>14980</f>
        <v>14980</v>
      </c>
      <c r="P147" s="67" t="s">
        <v>79</v>
      </c>
      <c r="Q147" s="66">
        <f>17560</f>
        <v>17560</v>
      </c>
      <c r="R147" s="67" t="s">
        <v>51</v>
      </c>
      <c r="S147" s="68">
        <f>17242.38</f>
        <v>17242.38</v>
      </c>
      <c r="T147" s="65">
        <f>1803</f>
        <v>1803</v>
      </c>
      <c r="U147" s="65" t="str">
        <f t="shared" si="0"/>
        <v>－</v>
      </c>
      <c r="V147" s="65">
        <f>30458940</f>
        <v>30458940</v>
      </c>
      <c r="W147" s="65" t="str">
        <f t="shared" si="1"/>
        <v>－</v>
      </c>
      <c r="X147" s="69">
        <f>21</f>
        <v>21</v>
      </c>
    </row>
    <row r="148" spans="1:24">
      <c r="A148" s="60" t="s">
        <v>832</v>
      </c>
      <c r="B148" s="60" t="s">
        <v>487</v>
      </c>
      <c r="C148" s="60" t="s">
        <v>488</v>
      </c>
      <c r="D148" s="60" t="s">
        <v>489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21250</f>
        <v>21250</v>
      </c>
      <c r="L148" s="67" t="s">
        <v>833</v>
      </c>
      <c r="M148" s="66">
        <f>22440</f>
        <v>22440</v>
      </c>
      <c r="N148" s="67" t="s">
        <v>814</v>
      </c>
      <c r="O148" s="66">
        <f>16930</f>
        <v>16930</v>
      </c>
      <c r="P148" s="67" t="s">
        <v>820</v>
      </c>
      <c r="Q148" s="66">
        <f>20760</f>
        <v>20760</v>
      </c>
      <c r="R148" s="67" t="s">
        <v>51</v>
      </c>
      <c r="S148" s="68">
        <f>20252.86</f>
        <v>20252.86</v>
      </c>
      <c r="T148" s="65">
        <f>2338</f>
        <v>2338</v>
      </c>
      <c r="U148" s="65" t="str">
        <f t="shared" si="0"/>
        <v>－</v>
      </c>
      <c r="V148" s="65">
        <f>46989620</f>
        <v>46989620</v>
      </c>
      <c r="W148" s="65" t="str">
        <f t="shared" si="1"/>
        <v>－</v>
      </c>
      <c r="X148" s="69">
        <f>21</f>
        <v>21</v>
      </c>
    </row>
    <row r="149" spans="1:24">
      <c r="A149" s="60" t="s">
        <v>832</v>
      </c>
      <c r="B149" s="60" t="s">
        <v>490</v>
      </c>
      <c r="C149" s="60" t="s">
        <v>491</v>
      </c>
      <c r="D149" s="60" t="s">
        <v>492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6030</f>
        <v>6030</v>
      </c>
      <c r="L149" s="67" t="s">
        <v>833</v>
      </c>
      <c r="M149" s="66">
        <f>6840</f>
        <v>6840</v>
      </c>
      <c r="N149" s="67" t="s">
        <v>51</v>
      </c>
      <c r="O149" s="66">
        <f>5340</f>
        <v>5340</v>
      </c>
      <c r="P149" s="67" t="s">
        <v>79</v>
      </c>
      <c r="Q149" s="66">
        <f>6710</f>
        <v>6710</v>
      </c>
      <c r="R149" s="67" t="s">
        <v>51</v>
      </c>
      <c r="S149" s="68">
        <f>6051.43</f>
        <v>6051.43</v>
      </c>
      <c r="T149" s="65">
        <f>12929</f>
        <v>12929</v>
      </c>
      <c r="U149" s="65" t="str">
        <f t="shared" si="0"/>
        <v>－</v>
      </c>
      <c r="V149" s="65">
        <f>77026610</f>
        <v>77026610</v>
      </c>
      <c r="W149" s="65" t="str">
        <f t="shared" si="1"/>
        <v>－</v>
      </c>
      <c r="X149" s="69">
        <f>21</f>
        <v>21</v>
      </c>
    </row>
    <row r="150" spans="1:24">
      <c r="A150" s="60" t="s">
        <v>832</v>
      </c>
      <c r="B150" s="60" t="s">
        <v>493</v>
      </c>
      <c r="C150" s="60" t="s">
        <v>494</v>
      </c>
      <c r="D150" s="60" t="s">
        <v>495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14900</f>
        <v>14900</v>
      </c>
      <c r="L150" s="67" t="s">
        <v>833</v>
      </c>
      <c r="M150" s="66">
        <f>15450</f>
        <v>15450</v>
      </c>
      <c r="N150" s="67" t="s">
        <v>814</v>
      </c>
      <c r="O150" s="66">
        <f>12280</f>
        <v>12280</v>
      </c>
      <c r="P150" s="67" t="s">
        <v>820</v>
      </c>
      <c r="Q150" s="66">
        <f>15230</f>
        <v>15230</v>
      </c>
      <c r="R150" s="67" t="s">
        <v>51</v>
      </c>
      <c r="S150" s="68">
        <f>14470.48</f>
        <v>14470.48</v>
      </c>
      <c r="T150" s="65">
        <f>4106</f>
        <v>4106</v>
      </c>
      <c r="U150" s="65" t="str">
        <f t="shared" si="0"/>
        <v>－</v>
      </c>
      <c r="V150" s="65">
        <f>58926890</f>
        <v>58926890</v>
      </c>
      <c r="W150" s="65" t="str">
        <f t="shared" si="1"/>
        <v>－</v>
      </c>
      <c r="X150" s="69">
        <f>21</f>
        <v>21</v>
      </c>
    </row>
    <row r="151" spans="1:24">
      <c r="A151" s="60" t="s">
        <v>832</v>
      </c>
      <c r="B151" s="60" t="s">
        <v>496</v>
      </c>
      <c r="C151" s="60" t="s">
        <v>497</v>
      </c>
      <c r="D151" s="60" t="s">
        <v>498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31100</f>
        <v>31100</v>
      </c>
      <c r="L151" s="67" t="s">
        <v>833</v>
      </c>
      <c r="M151" s="66">
        <f>32000</f>
        <v>32000</v>
      </c>
      <c r="N151" s="67" t="s">
        <v>814</v>
      </c>
      <c r="O151" s="66">
        <f>25220</f>
        <v>25220</v>
      </c>
      <c r="P151" s="67" t="s">
        <v>79</v>
      </c>
      <c r="Q151" s="66">
        <f>29010</f>
        <v>29010</v>
      </c>
      <c r="R151" s="67" t="s">
        <v>51</v>
      </c>
      <c r="S151" s="68">
        <f>28468.1</f>
        <v>28468.1</v>
      </c>
      <c r="T151" s="65">
        <f>3510</f>
        <v>3510</v>
      </c>
      <c r="U151" s="65" t="str">
        <f t="shared" si="0"/>
        <v>－</v>
      </c>
      <c r="V151" s="65">
        <f>97650310</f>
        <v>97650310</v>
      </c>
      <c r="W151" s="65" t="str">
        <f t="shared" si="1"/>
        <v>－</v>
      </c>
      <c r="X151" s="69">
        <f>21</f>
        <v>21</v>
      </c>
    </row>
    <row r="152" spans="1:24">
      <c r="A152" s="60" t="s">
        <v>832</v>
      </c>
      <c r="B152" s="60" t="s">
        <v>499</v>
      </c>
      <c r="C152" s="60" t="s">
        <v>500</v>
      </c>
      <c r="D152" s="60" t="s">
        <v>501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17860</f>
        <v>17860</v>
      </c>
      <c r="L152" s="67" t="s">
        <v>833</v>
      </c>
      <c r="M152" s="66">
        <f>18460</f>
        <v>18460</v>
      </c>
      <c r="N152" s="67" t="s">
        <v>814</v>
      </c>
      <c r="O152" s="66">
        <f>14190</f>
        <v>14190</v>
      </c>
      <c r="P152" s="67" t="s">
        <v>820</v>
      </c>
      <c r="Q152" s="66">
        <f>17870</f>
        <v>17870</v>
      </c>
      <c r="R152" s="67" t="s">
        <v>51</v>
      </c>
      <c r="S152" s="68">
        <f>17014</f>
        <v>17014</v>
      </c>
      <c r="T152" s="65">
        <f>693</f>
        <v>693</v>
      </c>
      <c r="U152" s="65" t="str">
        <f t="shared" si="0"/>
        <v>－</v>
      </c>
      <c r="V152" s="65">
        <f>11602950</f>
        <v>11602950</v>
      </c>
      <c r="W152" s="65" t="str">
        <f t="shared" si="1"/>
        <v>－</v>
      </c>
      <c r="X152" s="69">
        <f>20</f>
        <v>20</v>
      </c>
    </row>
    <row r="153" spans="1:24">
      <c r="A153" s="60" t="s">
        <v>832</v>
      </c>
      <c r="B153" s="60" t="s">
        <v>502</v>
      </c>
      <c r="C153" s="60" t="s">
        <v>503</v>
      </c>
      <c r="D153" s="60" t="s">
        <v>504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f>7610</f>
        <v>7610</v>
      </c>
      <c r="L153" s="67" t="s">
        <v>833</v>
      </c>
      <c r="M153" s="66">
        <f>7760</f>
        <v>7760</v>
      </c>
      <c r="N153" s="67" t="s">
        <v>814</v>
      </c>
      <c r="O153" s="66">
        <f>5690</f>
        <v>5690</v>
      </c>
      <c r="P153" s="67" t="s">
        <v>820</v>
      </c>
      <c r="Q153" s="66">
        <f>6580</f>
        <v>6580</v>
      </c>
      <c r="R153" s="67" t="s">
        <v>51</v>
      </c>
      <c r="S153" s="68">
        <f>6688.57</f>
        <v>6688.57</v>
      </c>
      <c r="T153" s="65">
        <f>22572</f>
        <v>22572</v>
      </c>
      <c r="U153" s="65">
        <f>20</f>
        <v>20</v>
      </c>
      <c r="V153" s="65">
        <f>148553190</f>
        <v>148553190</v>
      </c>
      <c r="W153" s="65">
        <f>131310</f>
        <v>131310</v>
      </c>
      <c r="X153" s="69">
        <f>21</f>
        <v>21</v>
      </c>
    </row>
    <row r="154" spans="1:24">
      <c r="A154" s="60" t="s">
        <v>832</v>
      </c>
      <c r="B154" s="60" t="s">
        <v>505</v>
      </c>
      <c r="C154" s="60" t="s">
        <v>506</v>
      </c>
      <c r="D154" s="60" t="s">
        <v>507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f>11340</f>
        <v>11340</v>
      </c>
      <c r="L154" s="67" t="s">
        <v>833</v>
      </c>
      <c r="M154" s="66">
        <f>11560</f>
        <v>11560</v>
      </c>
      <c r="N154" s="67" t="s">
        <v>814</v>
      </c>
      <c r="O154" s="66">
        <f>8590</f>
        <v>8590</v>
      </c>
      <c r="P154" s="67" t="s">
        <v>820</v>
      </c>
      <c r="Q154" s="66">
        <f>10240</f>
        <v>10240</v>
      </c>
      <c r="R154" s="67" t="s">
        <v>51</v>
      </c>
      <c r="S154" s="68">
        <f>9999.52</f>
        <v>9999.52</v>
      </c>
      <c r="T154" s="65">
        <f>2323</f>
        <v>2323</v>
      </c>
      <c r="U154" s="65" t="str">
        <f t="shared" ref="U154:U159" si="2">"－"</f>
        <v>－</v>
      </c>
      <c r="V154" s="65">
        <f>22561180</f>
        <v>22561180</v>
      </c>
      <c r="W154" s="65" t="str">
        <f t="shared" ref="W154:W159" si="3">"－"</f>
        <v>－</v>
      </c>
      <c r="X154" s="69">
        <f>21</f>
        <v>21</v>
      </c>
    </row>
    <row r="155" spans="1:24">
      <c r="A155" s="60" t="s">
        <v>832</v>
      </c>
      <c r="B155" s="60" t="s">
        <v>508</v>
      </c>
      <c r="C155" s="60" t="s">
        <v>509</v>
      </c>
      <c r="D155" s="60" t="s">
        <v>510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</v>
      </c>
      <c r="K155" s="66">
        <f>26860</f>
        <v>26860</v>
      </c>
      <c r="L155" s="67" t="s">
        <v>833</v>
      </c>
      <c r="M155" s="66">
        <f>28180</f>
        <v>28180</v>
      </c>
      <c r="N155" s="67" t="s">
        <v>814</v>
      </c>
      <c r="O155" s="66">
        <f>19270</f>
        <v>19270</v>
      </c>
      <c r="P155" s="67" t="s">
        <v>99</v>
      </c>
      <c r="Q155" s="66">
        <f>22680</f>
        <v>22680</v>
      </c>
      <c r="R155" s="67" t="s">
        <v>51</v>
      </c>
      <c r="S155" s="68">
        <f>23313.33</f>
        <v>23313.33</v>
      </c>
      <c r="T155" s="65">
        <f>1934</f>
        <v>1934</v>
      </c>
      <c r="U155" s="65" t="str">
        <f t="shared" si="2"/>
        <v>－</v>
      </c>
      <c r="V155" s="65">
        <f>45279740</f>
        <v>45279740</v>
      </c>
      <c r="W155" s="65" t="str">
        <f t="shared" si="3"/>
        <v>－</v>
      </c>
      <c r="X155" s="69">
        <f>21</f>
        <v>21</v>
      </c>
    </row>
    <row r="156" spans="1:24">
      <c r="A156" s="60" t="s">
        <v>832</v>
      </c>
      <c r="B156" s="60" t="s">
        <v>511</v>
      </c>
      <c r="C156" s="60" t="s">
        <v>512</v>
      </c>
      <c r="D156" s="60" t="s">
        <v>513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876</f>
        <v>876</v>
      </c>
      <c r="L156" s="67" t="s">
        <v>833</v>
      </c>
      <c r="M156" s="66">
        <f>906</f>
        <v>906</v>
      </c>
      <c r="N156" s="67" t="s">
        <v>814</v>
      </c>
      <c r="O156" s="66">
        <f>698</f>
        <v>698</v>
      </c>
      <c r="P156" s="67" t="s">
        <v>820</v>
      </c>
      <c r="Q156" s="66">
        <f>792</f>
        <v>792</v>
      </c>
      <c r="R156" s="67" t="s">
        <v>51</v>
      </c>
      <c r="S156" s="68">
        <f>797.24</f>
        <v>797.24</v>
      </c>
      <c r="T156" s="65">
        <f>232570</f>
        <v>232570</v>
      </c>
      <c r="U156" s="65" t="str">
        <f t="shared" si="2"/>
        <v>－</v>
      </c>
      <c r="V156" s="65">
        <f>189250460</f>
        <v>189250460</v>
      </c>
      <c r="W156" s="65" t="str">
        <f t="shared" si="3"/>
        <v>－</v>
      </c>
      <c r="X156" s="69">
        <f>21</f>
        <v>21</v>
      </c>
    </row>
    <row r="157" spans="1:24">
      <c r="A157" s="60" t="s">
        <v>832</v>
      </c>
      <c r="B157" s="60" t="s">
        <v>514</v>
      </c>
      <c r="C157" s="60" t="s">
        <v>515</v>
      </c>
      <c r="D157" s="60" t="s">
        <v>516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10</v>
      </c>
      <c r="K157" s="66">
        <f>1845</f>
        <v>1845</v>
      </c>
      <c r="L157" s="67" t="s">
        <v>833</v>
      </c>
      <c r="M157" s="66">
        <f>1919</f>
        <v>1919</v>
      </c>
      <c r="N157" s="67" t="s">
        <v>814</v>
      </c>
      <c r="O157" s="66">
        <f>1522</f>
        <v>1522</v>
      </c>
      <c r="P157" s="67" t="s">
        <v>820</v>
      </c>
      <c r="Q157" s="66">
        <f>1818</f>
        <v>1818</v>
      </c>
      <c r="R157" s="67" t="s">
        <v>50</v>
      </c>
      <c r="S157" s="68">
        <f>1710.8</f>
        <v>1710.8</v>
      </c>
      <c r="T157" s="65">
        <f>1990</f>
        <v>1990</v>
      </c>
      <c r="U157" s="65" t="str">
        <f t="shared" si="2"/>
        <v>－</v>
      </c>
      <c r="V157" s="65">
        <f>3308650</f>
        <v>3308650</v>
      </c>
      <c r="W157" s="65" t="str">
        <f t="shared" si="3"/>
        <v>－</v>
      </c>
      <c r="X157" s="69">
        <f>15</f>
        <v>15</v>
      </c>
    </row>
    <row r="158" spans="1:24">
      <c r="A158" s="60" t="s">
        <v>832</v>
      </c>
      <c r="B158" s="60" t="s">
        <v>517</v>
      </c>
      <c r="C158" s="60" t="s">
        <v>518</v>
      </c>
      <c r="D158" s="60" t="s">
        <v>519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10</v>
      </c>
      <c r="K158" s="66">
        <f>1900</f>
        <v>1900</v>
      </c>
      <c r="L158" s="67" t="s">
        <v>833</v>
      </c>
      <c r="M158" s="66">
        <f>1955</f>
        <v>1955</v>
      </c>
      <c r="N158" s="67" t="s">
        <v>814</v>
      </c>
      <c r="O158" s="66">
        <f>1526</f>
        <v>1526</v>
      </c>
      <c r="P158" s="67" t="s">
        <v>79</v>
      </c>
      <c r="Q158" s="66">
        <f>1856</f>
        <v>1856</v>
      </c>
      <c r="R158" s="67" t="s">
        <v>50</v>
      </c>
      <c r="S158" s="68">
        <f>1765.84</f>
        <v>1765.84</v>
      </c>
      <c r="T158" s="65">
        <f>88030</f>
        <v>88030</v>
      </c>
      <c r="U158" s="65" t="str">
        <f t="shared" si="2"/>
        <v>－</v>
      </c>
      <c r="V158" s="65">
        <f>153997340</f>
        <v>153997340</v>
      </c>
      <c r="W158" s="65" t="str">
        <f t="shared" si="3"/>
        <v>－</v>
      </c>
      <c r="X158" s="69">
        <f>19</f>
        <v>19</v>
      </c>
    </row>
    <row r="159" spans="1:24">
      <c r="A159" s="60" t="s">
        <v>832</v>
      </c>
      <c r="B159" s="60" t="s">
        <v>520</v>
      </c>
      <c r="C159" s="60" t="s">
        <v>521</v>
      </c>
      <c r="D159" s="60" t="s">
        <v>522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10</v>
      </c>
      <c r="K159" s="66">
        <f>1135</f>
        <v>1135</v>
      </c>
      <c r="L159" s="67" t="s">
        <v>833</v>
      </c>
      <c r="M159" s="66">
        <f>1187</f>
        <v>1187</v>
      </c>
      <c r="N159" s="67" t="s">
        <v>814</v>
      </c>
      <c r="O159" s="66">
        <f>925</f>
        <v>925</v>
      </c>
      <c r="P159" s="67" t="s">
        <v>820</v>
      </c>
      <c r="Q159" s="66">
        <f>1074</f>
        <v>1074</v>
      </c>
      <c r="R159" s="67" t="s">
        <v>51</v>
      </c>
      <c r="S159" s="68">
        <f>1058.19</f>
        <v>1058.19</v>
      </c>
      <c r="T159" s="65">
        <f>140240</f>
        <v>140240</v>
      </c>
      <c r="U159" s="65" t="str">
        <f t="shared" si="2"/>
        <v>－</v>
      </c>
      <c r="V159" s="65">
        <f>144945900</f>
        <v>144945900</v>
      </c>
      <c r="W159" s="65" t="str">
        <f t="shared" si="3"/>
        <v>－</v>
      </c>
      <c r="X159" s="69">
        <f>21</f>
        <v>21</v>
      </c>
    </row>
    <row r="160" spans="1:24">
      <c r="A160" s="60" t="s">
        <v>832</v>
      </c>
      <c r="B160" s="60" t="s">
        <v>523</v>
      </c>
      <c r="C160" s="60" t="s">
        <v>524</v>
      </c>
      <c r="D160" s="60" t="s">
        <v>525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2248</f>
        <v>2248</v>
      </c>
      <c r="L160" s="67" t="s">
        <v>833</v>
      </c>
      <c r="M160" s="66">
        <f>2400</f>
        <v>2400</v>
      </c>
      <c r="N160" s="67" t="s">
        <v>814</v>
      </c>
      <c r="O160" s="66">
        <f>1716</f>
        <v>1716</v>
      </c>
      <c r="P160" s="67" t="s">
        <v>99</v>
      </c>
      <c r="Q160" s="66">
        <f>2024</f>
        <v>2024</v>
      </c>
      <c r="R160" s="67" t="s">
        <v>51</v>
      </c>
      <c r="S160" s="68">
        <f>2032.48</f>
        <v>2032.48</v>
      </c>
      <c r="T160" s="65">
        <f>5375534</f>
        <v>5375534</v>
      </c>
      <c r="U160" s="65">
        <f>222145</f>
        <v>222145</v>
      </c>
      <c r="V160" s="65">
        <f>11016108633</f>
        <v>11016108633</v>
      </c>
      <c r="W160" s="65">
        <f>492033594</f>
        <v>492033594</v>
      </c>
      <c r="X160" s="69">
        <f>21</f>
        <v>21</v>
      </c>
    </row>
    <row r="161" spans="1:24">
      <c r="A161" s="60" t="s">
        <v>832</v>
      </c>
      <c r="B161" s="60" t="s">
        <v>526</v>
      </c>
      <c r="C161" s="60" t="s">
        <v>527</v>
      </c>
      <c r="D161" s="60" t="s">
        <v>528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2642</f>
        <v>2642</v>
      </c>
      <c r="L161" s="67" t="s">
        <v>833</v>
      </c>
      <c r="M161" s="66">
        <f>2775</f>
        <v>2775</v>
      </c>
      <c r="N161" s="67" t="s">
        <v>816</v>
      </c>
      <c r="O161" s="66">
        <f>2597</f>
        <v>2597</v>
      </c>
      <c r="P161" s="67" t="s">
        <v>815</v>
      </c>
      <c r="Q161" s="66">
        <f>2732</f>
        <v>2732</v>
      </c>
      <c r="R161" s="67" t="s">
        <v>51</v>
      </c>
      <c r="S161" s="68">
        <f>2674.76</f>
        <v>2674.76</v>
      </c>
      <c r="T161" s="65">
        <f>724263</f>
        <v>724263</v>
      </c>
      <c r="U161" s="65">
        <f>641500</f>
        <v>641500</v>
      </c>
      <c r="V161" s="65">
        <f>1928776481</f>
        <v>1928776481</v>
      </c>
      <c r="W161" s="65">
        <f>1708051275</f>
        <v>1708051275</v>
      </c>
      <c r="X161" s="69">
        <f>21</f>
        <v>21</v>
      </c>
    </row>
    <row r="162" spans="1:24">
      <c r="A162" s="60" t="s">
        <v>832</v>
      </c>
      <c r="B162" s="60" t="s">
        <v>529</v>
      </c>
      <c r="C162" s="60" t="s">
        <v>530</v>
      </c>
      <c r="D162" s="60" t="s">
        <v>531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2112</f>
        <v>2112</v>
      </c>
      <c r="L162" s="67" t="s">
        <v>833</v>
      </c>
      <c r="M162" s="66">
        <f>2214</f>
        <v>2214</v>
      </c>
      <c r="N162" s="67" t="s">
        <v>814</v>
      </c>
      <c r="O162" s="66">
        <f>1560</f>
        <v>1560</v>
      </c>
      <c r="P162" s="67" t="s">
        <v>99</v>
      </c>
      <c r="Q162" s="66">
        <f>1831</f>
        <v>1831</v>
      </c>
      <c r="R162" s="67" t="s">
        <v>51</v>
      </c>
      <c r="S162" s="68">
        <f>1870.67</f>
        <v>1870.67</v>
      </c>
      <c r="T162" s="65">
        <f>278547</f>
        <v>278547</v>
      </c>
      <c r="U162" s="65">
        <f>71441</f>
        <v>71441</v>
      </c>
      <c r="V162" s="65">
        <f>505398016</f>
        <v>505398016</v>
      </c>
      <c r="W162" s="65">
        <f>119347343</f>
        <v>119347343</v>
      </c>
      <c r="X162" s="69">
        <f>21</f>
        <v>21</v>
      </c>
    </row>
    <row r="163" spans="1:24">
      <c r="A163" s="60" t="s">
        <v>832</v>
      </c>
      <c r="B163" s="60" t="s">
        <v>532</v>
      </c>
      <c r="C163" s="60" t="s">
        <v>533</v>
      </c>
      <c r="D163" s="60" t="s">
        <v>534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1741</f>
        <v>1741</v>
      </c>
      <c r="L163" s="67" t="s">
        <v>833</v>
      </c>
      <c r="M163" s="66">
        <f>1815</f>
        <v>1815</v>
      </c>
      <c r="N163" s="67" t="s">
        <v>814</v>
      </c>
      <c r="O163" s="66">
        <f>1282</f>
        <v>1282</v>
      </c>
      <c r="P163" s="67" t="s">
        <v>819</v>
      </c>
      <c r="Q163" s="66">
        <f>1454</f>
        <v>1454</v>
      </c>
      <c r="R163" s="67" t="s">
        <v>51</v>
      </c>
      <c r="S163" s="68">
        <f>1536.57</f>
        <v>1536.57</v>
      </c>
      <c r="T163" s="65">
        <f>307031</f>
        <v>307031</v>
      </c>
      <c r="U163" s="65">
        <f>713</f>
        <v>713</v>
      </c>
      <c r="V163" s="65">
        <f>475727619</f>
        <v>475727619</v>
      </c>
      <c r="W163" s="65">
        <f>1151661</f>
        <v>1151661</v>
      </c>
      <c r="X163" s="69">
        <f>21</f>
        <v>21</v>
      </c>
    </row>
    <row r="164" spans="1:24">
      <c r="A164" s="60" t="s">
        <v>832</v>
      </c>
      <c r="B164" s="60" t="s">
        <v>535</v>
      </c>
      <c r="C164" s="60" t="s">
        <v>536</v>
      </c>
      <c r="D164" s="60" t="s">
        <v>537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2050</f>
        <v>2050</v>
      </c>
      <c r="L164" s="67" t="s">
        <v>833</v>
      </c>
      <c r="M164" s="66">
        <f>2174</f>
        <v>2174</v>
      </c>
      <c r="N164" s="67" t="s">
        <v>817</v>
      </c>
      <c r="O164" s="66">
        <f>1330</f>
        <v>1330</v>
      </c>
      <c r="P164" s="67" t="s">
        <v>99</v>
      </c>
      <c r="Q164" s="66">
        <f>1636</f>
        <v>1636</v>
      </c>
      <c r="R164" s="67" t="s">
        <v>51</v>
      </c>
      <c r="S164" s="68">
        <f>1742.1</f>
        <v>1742.1</v>
      </c>
      <c r="T164" s="65">
        <f>1078333</f>
        <v>1078333</v>
      </c>
      <c r="U164" s="65">
        <f>440360</f>
        <v>440360</v>
      </c>
      <c r="V164" s="65">
        <f>1721827780</f>
        <v>1721827780</v>
      </c>
      <c r="W164" s="65">
        <f>656980041</f>
        <v>656980041</v>
      </c>
      <c r="X164" s="69">
        <f>21</f>
        <v>21</v>
      </c>
    </row>
    <row r="165" spans="1:24">
      <c r="A165" s="60" t="s">
        <v>832</v>
      </c>
      <c r="B165" s="60" t="s">
        <v>538</v>
      </c>
      <c r="C165" s="60" t="s">
        <v>539</v>
      </c>
      <c r="D165" s="60" t="s">
        <v>540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</v>
      </c>
      <c r="K165" s="66">
        <f>10290</f>
        <v>10290</v>
      </c>
      <c r="L165" s="67" t="s">
        <v>833</v>
      </c>
      <c r="M165" s="66">
        <f>11010</f>
        <v>11010</v>
      </c>
      <c r="N165" s="67" t="s">
        <v>817</v>
      </c>
      <c r="O165" s="66">
        <f>6400</f>
        <v>6400</v>
      </c>
      <c r="P165" s="67" t="s">
        <v>99</v>
      </c>
      <c r="Q165" s="66">
        <f>8090</f>
        <v>8090</v>
      </c>
      <c r="R165" s="67" t="s">
        <v>51</v>
      </c>
      <c r="S165" s="68">
        <f>8991.43</f>
        <v>8991.43</v>
      </c>
      <c r="T165" s="65">
        <f>67630</f>
        <v>67630</v>
      </c>
      <c r="U165" s="65">
        <f>2556</f>
        <v>2556</v>
      </c>
      <c r="V165" s="65">
        <f>559739750</f>
        <v>559739750</v>
      </c>
      <c r="W165" s="65">
        <f>21649200</f>
        <v>21649200</v>
      </c>
      <c r="X165" s="69">
        <f>21</f>
        <v>21</v>
      </c>
    </row>
    <row r="166" spans="1:24">
      <c r="A166" s="60" t="s">
        <v>832</v>
      </c>
      <c r="B166" s="60" t="s">
        <v>541</v>
      </c>
      <c r="C166" s="60" t="s">
        <v>542</v>
      </c>
      <c r="D166" s="60" t="s">
        <v>543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100</v>
      </c>
      <c r="K166" s="66">
        <f>123</f>
        <v>123</v>
      </c>
      <c r="L166" s="67" t="s">
        <v>833</v>
      </c>
      <c r="M166" s="66">
        <f>124</f>
        <v>124</v>
      </c>
      <c r="N166" s="67" t="s">
        <v>814</v>
      </c>
      <c r="O166" s="66">
        <f>94</f>
        <v>94</v>
      </c>
      <c r="P166" s="67" t="s">
        <v>175</v>
      </c>
      <c r="Q166" s="66">
        <f>105</f>
        <v>105</v>
      </c>
      <c r="R166" s="67" t="s">
        <v>51</v>
      </c>
      <c r="S166" s="68">
        <f>111.52</f>
        <v>111.52</v>
      </c>
      <c r="T166" s="65">
        <f>228800</f>
        <v>228800</v>
      </c>
      <c r="U166" s="65" t="str">
        <f>"－"</f>
        <v>－</v>
      </c>
      <c r="V166" s="65">
        <f>22986300</f>
        <v>22986300</v>
      </c>
      <c r="W166" s="65" t="str">
        <f>"－"</f>
        <v>－</v>
      </c>
      <c r="X166" s="69">
        <f>21</f>
        <v>21</v>
      </c>
    </row>
    <row r="167" spans="1:24">
      <c r="A167" s="60" t="s">
        <v>832</v>
      </c>
      <c r="B167" s="60" t="s">
        <v>544</v>
      </c>
      <c r="C167" s="60" t="s">
        <v>545</v>
      </c>
      <c r="D167" s="60" t="s">
        <v>546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f>1936</f>
        <v>1936</v>
      </c>
      <c r="L167" s="67" t="s">
        <v>833</v>
      </c>
      <c r="M167" s="66">
        <f>2106</f>
        <v>2106</v>
      </c>
      <c r="N167" s="67" t="s">
        <v>814</v>
      </c>
      <c r="O167" s="66">
        <f>942</f>
        <v>942</v>
      </c>
      <c r="P167" s="67" t="s">
        <v>50</v>
      </c>
      <c r="Q167" s="66">
        <f>983</f>
        <v>983</v>
      </c>
      <c r="R167" s="67" t="s">
        <v>51</v>
      </c>
      <c r="S167" s="68">
        <f>1401.48</f>
        <v>1401.48</v>
      </c>
      <c r="T167" s="65">
        <f>61361874</f>
        <v>61361874</v>
      </c>
      <c r="U167" s="65">
        <f>2287624</f>
        <v>2287624</v>
      </c>
      <c r="V167" s="65">
        <f>71928740467</f>
        <v>71928740467</v>
      </c>
      <c r="W167" s="65">
        <f>2660455033</f>
        <v>2660455033</v>
      </c>
      <c r="X167" s="69">
        <f>21</f>
        <v>21</v>
      </c>
    </row>
    <row r="168" spans="1:24">
      <c r="A168" s="60" t="s">
        <v>832</v>
      </c>
      <c r="B168" s="60" t="s">
        <v>737</v>
      </c>
      <c r="C168" s="60" t="s">
        <v>738</v>
      </c>
      <c r="D168" s="60" t="s">
        <v>739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</v>
      </c>
      <c r="K168" s="66">
        <f>16650</f>
        <v>16650</v>
      </c>
      <c r="L168" s="67" t="s">
        <v>833</v>
      </c>
      <c r="M168" s="66">
        <f>17620</f>
        <v>17620</v>
      </c>
      <c r="N168" s="67" t="s">
        <v>821</v>
      </c>
      <c r="O168" s="66">
        <f>14940</f>
        <v>14940</v>
      </c>
      <c r="P168" s="67" t="s">
        <v>79</v>
      </c>
      <c r="Q168" s="66">
        <f>16290</f>
        <v>16290</v>
      </c>
      <c r="R168" s="67" t="s">
        <v>51</v>
      </c>
      <c r="S168" s="68">
        <f>16310.48</f>
        <v>16310.48</v>
      </c>
      <c r="T168" s="65">
        <f>7237</f>
        <v>7237</v>
      </c>
      <c r="U168" s="65" t="str">
        <f>"－"</f>
        <v>－</v>
      </c>
      <c r="V168" s="65">
        <f>117676890</f>
        <v>117676890</v>
      </c>
      <c r="W168" s="65" t="str">
        <f>"－"</f>
        <v>－</v>
      </c>
      <c r="X168" s="69">
        <f>21</f>
        <v>21</v>
      </c>
    </row>
    <row r="169" spans="1:24">
      <c r="A169" s="60" t="s">
        <v>832</v>
      </c>
      <c r="B169" s="60" t="s">
        <v>740</v>
      </c>
      <c r="C169" s="60" t="s">
        <v>741</v>
      </c>
      <c r="D169" s="60" t="s">
        <v>742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10</v>
      </c>
      <c r="K169" s="66">
        <f>1650</f>
        <v>1650</v>
      </c>
      <c r="L169" s="67" t="s">
        <v>833</v>
      </c>
      <c r="M169" s="66">
        <f>1650</f>
        <v>1650</v>
      </c>
      <c r="N169" s="67" t="s">
        <v>833</v>
      </c>
      <c r="O169" s="66">
        <f>1210</f>
        <v>1210</v>
      </c>
      <c r="P169" s="67" t="s">
        <v>819</v>
      </c>
      <c r="Q169" s="66">
        <f>1526</f>
        <v>1526</v>
      </c>
      <c r="R169" s="67" t="s">
        <v>50</v>
      </c>
      <c r="S169" s="68">
        <f>1433.75</f>
        <v>1433.75</v>
      </c>
      <c r="T169" s="65">
        <f>2160</f>
        <v>2160</v>
      </c>
      <c r="U169" s="65" t="str">
        <f>"－"</f>
        <v>－</v>
      </c>
      <c r="V169" s="65">
        <f>3090770</f>
        <v>3090770</v>
      </c>
      <c r="W169" s="65" t="str">
        <f>"－"</f>
        <v>－</v>
      </c>
      <c r="X169" s="69">
        <f>12</f>
        <v>12</v>
      </c>
    </row>
    <row r="170" spans="1:24">
      <c r="A170" s="60" t="s">
        <v>832</v>
      </c>
      <c r="B170" s="60" t="s">
        <v>743</v>
      </c>
      <c r="C170" s="60" t="s">
        <v>744</v>
      </c>
      <c r="D170" s="60" t="s">
        <v>745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</v>
      </c>
      <c r="K170" s="66">
        <f>9020</f>
        <v>9020</v>
      </c>
      <c r="L170" s="67" t="s">
        <v>814</v>
      </c>
      <c r="M170" s="66">
        <f>9210</f>
        <v>9210</v>
      </c>
      <c r="N170" s="67" t="s">
        <v>814</v>
      </c>
      <c r="O170" s="66">
        <f>7000</f>
        <v>7000</v>
      </c>
      <c r="P170" s="67" t="s">
        <v>821</v>
      </c>
      <c r="Q170" s="66">
        <f>7290</f>
        <v>7290</v>
      </c>
      <c r="R170" s="67" t="s">
        <v>51</v>
      </c>
      <c r="S170" s="68">
        <f>8072.78</f>
        <v>8072.78</v>
      </c>
      <c r="T170" s="65">
        <f>434</f>
        <v>434</v>
      </c>
      <c r="U170" s="65" t="str">
        <f>"－"</f>
        <v>－</v>
      </c>
      <c r="V170" s="65">
        <f>3330880</f>
        <v>3330880</v>
      </c>
      <c r="W170" s="65" t="str">
        <f>"－"</f>
        <v>－</v>
      </c>
      <c r="X170" s="69">
        <f>18</f>
        <v>18</v>
      </c>
    </row>
    <row r="171" spans="1:24">
      <c r="A171" s="60" t="s">
        <v>832</v>
      </c>
      <c r="B171" s="60" t="s">
        <v>746</v>
      </c>
      <c r="C171" s="60" t="s">
        <v>747</v>
      </c>
      <c r="D171" s="60" t="s">
        <v>748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</v>
      </c>
      <c r="K171" s="66">
        <f>28550</f>
        <v>28550</v>
      </c>
      <c r="L171" s="67" t="s">
        <v>833</v>
      </c>
      <c r="M171" s="66">
        <f>30450</f>
        <v>30450</v>
      </c>
      <c r="N171" s="67" t="s">
        <v>119</v>
      </c>
      <c r="O171" s="66">
        <f>17500</f>
        <v>17500</v>
      </c>
      <c r="P171" s="67" t="s">
        <v>820</v>
      </c>
      <c r="Q171" s="66">
        <f>25120</f>
        <v>25120</v>
      </c>
      <c r="R171" s="67" t="s">
        <v>50</v>
      </c>
      <c r="S171" s="68">
        <f>24948.95</f>
        <v>24948.95</v>
      </c>
      <c r="T171" s="65">
        <f>612</f>
        <v>612</v>
      </c>
      <c r="U171" s="65" t="str">
        <f>"－"</f>
        <v>－</v>
      </c>
      <c r="V171" s="65">
        <f>15090780</f>
        <v>15090780</v>
      </c>
      <c r="W171" s="65" t="str">
        <f>"－"</f>
        <v>－</v>
      </c>
      <c r="X171" s="69">
        <f>19</f>
        <v>19</v>
      </c>
    </row>
    <row r="172" spans="1:24">
      <c r="A172" s="60" t="s">
        <v>832</v>
      </c>
      <c r="B172" s="60" t="s">
        <v>749</v>
      </c>
      <c r="C172" s="60" t="s">
        <v>750</v>
      </c>
      <c r="D172" s="60" t="s">
        <v>751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</v>
      </c>
      <c r="K172" s="66">
        <f>12870</f>
        <v>12870</v>
      </c>
      <c r="L172" s="67" t="s">
        <v>815</v>
      </c>
      <c r="M172" s="66">
        <f>12870</f>
        <v>12870</v>
      </c>
      <c r="N172" s="67" t="s">
        <v>815</v>
      </c>
      <c r="O172" s="66">
        <f>10430</f>
        <v>10430</v>
      </c>
      <c r="P172" s="67" t="s">
        <v>79</v>
      </c>
      <c r="Q172" s="66">
        <f>10430</f>
        <v>10430</v>
      </c>
      <c r="R172" s="67" t="s">
        <v>79</v>
      </c>
      <c r="S172" s="68">
        <f>11650</f>
        <v>11650</v>
      </c>
      <c r="T172" s="65">
        <f>2</f>
        <v>2</v>
      </c>
      <c r="U172" s="65" t="str">
        <f>"－"</f>
        <v>－</v>
      </c>
      <c r="V172" s="65">
        <f>23300</f>
        <v>23300</v>
      </c>
      <c r="W172" s="65" t="str">
        <f>"－"</f>
        <v>－</v>
      </c>
      <c r="X172" s="69">
        <f>2</f>
        <v>2</v>
      </c>
    </row>
    <row r="173" spans="1:24">
      <c r="A173" s="60" t="s">
        <v>832</v>
      </c>
      <c r="B173" s="60" t="s">
        <v>547</v>
      </c>
      <c r="C173" s="60" t="s">
        <v>548</v>
      </c>
      <c r="D173" s="60" t="s">
        <v>549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</v>
      </c>
      <c r="K173" s="66">
        <f>50400</f>
        <v>50400</v>
      </c>
      <c r="L173" s="67" t="s">
        <v>833</v>
      </c>
      <c r="M173" s="66">
        <f>51100</f>
        <v>51100</v>
      </c>
      <c r="N173" s="67" t="s">
        <v>817</v>
      </c>
      <c r="O173" s="66">
        <f>48000</f>
        <v>48000</v>
      </c>
      <c r="P173" s="67" t="s">
        <v>819</v>
      </c>
      <c r="Q173" s="66">
        <f>50100</f>
        <v>50100</v>
      </c>
      <c r="R173" s="67" t="s">
        <v>51</v>
      </c>
      <c r="S173" s="68">
        <f>49850</f>
        <v>49850</v>
      </c>
      <c r="T173" s="65">
        <f>23370</f>
        <v>23370</v>
      </c>
      <c r="U173" s="65">
        <f>6520</f>
        <v>6520</v>
      </c>
      <c r="V173" s="65">
        <f>1167083600</f>
        <v>1167083600</v>
      </c>
      <c r="W173" s="65">
        <f>331002600</f>
        <v>331002600</v>
      </c>
      <c r="X173" s="69">
        <f>21</f>
        <v>21</v>
      </c>
    </row>
    <row r="174" spans="1:24">
      <c r="A174" s="60" t="s">
        <v>832</v>
      </c>
      <c r="B174" s="60" t="s">
        <v>550</v>
      </c>
      <c r="C174" s="60" t="s">
        <v>551</v>
      </c>
      <c r="D174" s="60" t="s">
        <v>552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100</v>
      </c>
      <c r="K174" s="66">
        <f>149</f>
        <v>149</v>
      </c>
      <c r="L174" s="67" t="s">
        <v>833</v>
      </c>
      <c r="M174" s="66">
        <f>155</f>
        <v>155</v>
      </c>
      <c r="N174" s="67" t="s">
        <v>833</v>
      </c>
      <c r="O174" s="66">
        <f>101</f>
        <v>101</v>
      </c>
      <c r="P174" s="67" t="s">
        <v>99</v>
      </c>
      <c r="Q174" s="66">
        <f>119</f>
        <v>119</v>
      </c>
      <c r="R174" s="67" t="s">
        <v>51</v>
      </c>
      <c r="S174" s="68">
        <f>123.9</f>
        <v>123.9</v>
      </c>
      <c r="T174" s="65">
        <f>7748000</f>
        <v>7748000</v>
      </c>
      <c r="U174" s="65">
        <f>48800</f>
        <v>48800</v>
      </c>
      <c r="V174" s="65">
        <f>958991149</f>
        <v>958991149</v>
      </c>
      <c r="W174" s="65">
        <f>5930949</f>
        <v>5930949</v>
      </c>
      <c r="X174" s="69">
        <f>21</f>
        <v>21</v>
      </c>
    </row>
    <row r="175" spans="1:24">
      <c r="A175" s="60" t="s">
        <v>832</v>
      </c>
      <c r="B175" s="60" t="s">
        <v>553</v>
      </c>
      <c r="C175" s="60" t="s">
        <v>554</v>
      </c>
      <c r="D175" s="60" t="s">
        <v>555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24510</f>
        <v>24510</v>
      </c>
      <c r="L175" s="67" t="s">
        <v>833</v>
      </c>
      <c r="M175" s="66">
        <f>26240</f>
        <v>26240</v>
      </c>
      <c r="N175" s="67" t="s">
        <v>814</v>
      </c>
      <c r="O175" s="66">
        <f>18050</f>
        <v>18050</v>
      </c>
      <c r="P175" s="67" t="s">
        <v>99</v>
      </c>
      <c r="Q175" s="66">
        <f>21470</f>
        <v>21470</v>
      </c>
      <c r="R175" s="67" t="s">
        <v>51</v>
      </c>
      <c r="S175" s="68">
        <f>22000.48</f>
        <v>22000.48</v>
      </c>
      <c r="T175" s="65">
        <f>74580</f>
        <v>74580</v>
      </c>
      <c r="U175" s="65">
        <f>18510</f>
        <v>18510</v>
      </c>
      <c r="V175" s="65">
        <f>1622505600</f>
        <v>1622505600</v>
      </c>
      <c r="W175" s="65">
        <f>398971900</f>
        <v>398971900</v>
      </c>
      <c r="X175" s="69">
        <f>21</f>
        <v>21</v>
      </c>
    </row>
    <row r="176" spans="1:24">
      <c r="A176" s="60" t="s">
        <v>832</v>
      </c>
      <c r="B176" s="60" t="s">
        <v>556</v>
      </c>
      <c r="C176" s="60" t="s">
        <v>557</v>
      </c>
      <c r="D176" s="60" t="s">
        <v>558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2351</f>
        <v>2351</v>
      </c>
      <c r="L176" s="67" t="s">
        <v>833</v>
      </c>
      <c r="M176" s="66">
        <f>2512</f>
        <v>2512</v>
      </c>
      <c r="N176" s="67" t="s">
        <v>814</v>
      </c>
      <c r="O176" s="66">
        <f>1751</f>
        <v>1751</v>
      </c>
      <c r="P176" s="67" t="s">
        <v>99</v>
      </c>
      <c r="Q176" s="66">
        <f>2073</f>
        <v>2073</v>
      </c>
      <c r="R176" s="67" t="s">
        <v>51</v>
      </c>
      <c r="S176" s="68">
        <f>2115.05</f>
        <v>2115.0500000000002</v>
      </c>
      <c r="T176" s="65">
        <f>512950</f>
        <v>512950</v>
      </c>
      <c r="U176" s="65">
        <f>20260</f>
        <v>20260</v>
      </c>
      <c r="V176" s="65">
        <f>1056959840</f>
        <v>1056959840</v>
      </c>
      <c r="W176" s="65">
        <f>40195270</f>
        <v>40195270</v>
      </c>
      <c r="X176" s="69">
        <f>21</f>
        <v>21</v>
      </c>
    </row>
    <row r="177" spans="1:24">
      <c r="A177" s="60" t="s">
        <v>832</v>
      </c>
      <c r="B177" s="60" t="s">
        <v>559</v>
      </c>
      <c r="C177" s="60" t="s">
        <v>560</v>
      </c>
      <c r="D177" s="60" t="s">
        <v>561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</v>
      </c>
      <c r="K177" s="66">
        <f>1330</f>
        <v>1330</v>
      </c>
      <c r="L177" s="67" t="s">
        <v>833</v>
      </c>
      <c r="M177" s="66">
        <f>1399</f>
        <v>1399</v>
      </c>
      <c r="N177" s="67" t="s">
        <v>833</v>
      </c>
      <c r="O177" s="66">
        <f>987</f>
        <v>987</v>
      </c>
      <c r="P177" s="67" t="s">
        <v>99</v>
      </c>
      <c r="Q177" s="66">
        <f>1116</f>
        <v>1116</v>
      </c>
      <c r="R177" s="67" t="s">
        <v>51</v>
      </c>
      <c r="S177" s="68">
        <f>1193.76</f>
        <v>1193.76</v>
      </c>
      <c r="T177" s="65">
        <f>353620</f>
        <v>353620</v>
      </c>
      <c r="U177" s="65">
        <f>220</f>
        <v>220</v>
      </c>
      <c r="V177" s="65">
        <f>400760900</f>
        <v>400760900</v>
      </c>
      <c r="W177" s="65">
        <f>228580</f>
        <v>228580</v>
      </c>
      <c r="X177" s="69">
        <f>21</f>
        <v>21</v>
      </c>
    </row>
    <row r="178" spans="1:24">
      <c r="A178" s="60" t="s">
        <v>832</v>
      </c>
      <c r="B178" s="60" t="s">
        <v>562</v>
      </c>
      <c r="C178" s="60" t="s">
        <v>563</v>
      </c>
      <c r="D178" s="60" t="s">
        <v>564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100</v>
      </c>
      <c r="K178" s="66">
        <f>163</f>
        <v>163</v>
      </c>
      <c r="L178" s="67" t="s">
        <v>833</v>
      </c>
      <c r="M178" s="66">
        <f>169</f>
        <v>169</v>
      </c>
      <c r="N178" s="67" t="s">
        <v>814</v>
      </c>
      <c r="O178" s="66">
        <f>121</f>
        <v>121</v>
      </c>
      <c r="P178" s="67" t="s">
        <v>819</v>
      </c>
      <c r="Q178" s="66">
        <f>136</f>
        <v>136</v>
      </c>
      <c r="R178" s="67" t="s">
        <v>51</v>
      </c>
      <c r="S178" s="68">
        <f>146.71</f>
        <v>146.71</v>
      </c>
      <c r="T178" s="65">
        <f>601700</f>
        <v>601700</v>
      </c>
      <c r="U178" s="65" t="str">
        <f>"－"</f>
        <v>－</v>
      </c>
      <c r="V178" s="65">
        <f>81783100</f>
        <v>81783100</v>
      </c>
      <c r="W178" s="65" t="str">
        <f>"－"</f>
        <v>－</v>
      </c>
      <c r="X178" s="69">
        <f>21</f>
        <v>21</v>
      </c>
    </row>
    <row r="179" spans="1:24">
      <c r="A179" s="60" t="s">
        <v>832</v>
      </c>
      <c r="B179" s="60" t="s">
        <v>565</v>
      </c>
      <c r="C179" s="60" t="s">
        <v>566</v>
      </c>
      <c r="D179" s="60" t="s">
        <v>567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f>4110</f>
        <v>4110</v>
      </c>
      <c r="L179" s="67" t="s">
        <v>833</v>
      </c>
      <c r="M179" s="66">
        <f>4675</f>
        <v>4675</v>
      </c>
      <c r="N179" s="67" t="s">
        <v>816</v>
      </c>
      <c r="O179" s="66">
        <f>3705</f>
        <v>3705</v>
      </c>
      <c r="P179" s="67" t="s">
        <v>820</v>
      </c>
      <c r="Q179" s="66">
        <f>4300</f>
        <v>4300</v>
      </c>
      <c r="R179" s="67" t="s">
        <v>51</v>
      </c>
      <c r="S179" s="68">
        <f>4172.37</f>
        <v>4172.37</v>
      </c>
      <c r="T179" s="65">
        <f>4560</f>
        <v>4560</v>
      </c>
      <c r="U179" s="65" t="str">
        <f>"－"</f>
        <v>－</v>
      </c>
      <c r="V179" s="65">
        <f>19030750</f>
        <v>19030750</v>
      </c>
      <c r="W179" s="65" t="str">
        <f>"－"</f>
        <v>－</v>
      </c>
      <c r="X179" s="69">
        <f>19</f>
        <v>19</v>
      </c>
    </row>
    <row r="180" spans="1:24">
      <c r="A180" s="60" t="s">
        <v>832</v>
      </c>
      <c r="B180" s="60" t="s">
        <v>752</v>
      </c>
      <c r="C180" s="60" t="s">
        <v>753</v>
      </c>
      <c r="D180" s="60" t="s">
        <v>754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>
        <f>835</f>
        <v>835</v>
      </c>
      <c r="L180" s="67" t="s">
        <v>834</v>
      </c>
      <c r="M180" s="66">
        <f>835</f>
        <v>835</v>
      </c>
      <c r="N180" s="67" t="s">
        <v>834</v>
      </c>
      <c r="O180" s="66">
        <f>590</f>
        <v>590</v>
      </c>
      <c r="P180" s="67" t="s">
        <v>819</v>
      </c>
      <c r="Q180" s="66">
        <f>590</f>
        <v>590</v>
      </c>
      <c r="R180" s="67" t="s">
        <v>819</v>
      </c>
      <c r="S180" s="68">
        <f>715</f>
        <v>715</v>
      </c>
      <c r="T180" s="65">
        <f>280</f>
        <v>280</v>
      </c>
      <c r="U180" s="65" t="str">
        <f>"－"</f>
        <v>－</v>
      </c>
      <c r="V180" s="65">
        <f>197550</f>
        <v>197550</v>
      </c>
      <c r="W180" s="65" t="str">
        <f>"－"</f>
        <v>－</v>
      </c>
      <c r="X180" s="69">
        <f>3</f>
        <v>3</v>
      </c>
    </row>
    <row r="181" spans="1:24">
      <c r="A181" s="60" t="s">
        <v>832</v>
      </c>
      <c r="B181" s="60" t="s">
        <v>755</v>
      </c>
      <c r="C181" s="60" t="s">
        <v>756</v>
      </c>
      <c r="D181" s="60" t="s">
        <v>757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256</f>
        <v>256</v>
      </c>
      <c r="L181" s="67" t="s">
        <v>119</v>
      </c>
      <c r="M181" s="66">
        <f>353</f>
        <v>353</v>
      </c>
      <c r="N181" s="67" t="s">
        <v>61</v>
      </c>
      <c r="O181" s="66">
        <f>157</f>
        <v>157</v>
      </c>
      <c r="P181" s="67" t="s">
        <v>50</v>
      </c>
      <c r="Q181" s="66">
        <f>187</f>
        <v>187</v>
      </c>
      <c r="R181" s="67" t="s">
        <v>50</v>
      </c>
      <c r="S181" s="68">
        <f>265.8</f>
        <v>265.8</v>
      </c>
      <c r="T181" s="65">
        <f>1160</f>
        <v>1160</v>
      </c>
      <c r="U181" s="65" t="str">
        <f>"－"</f>
        <v>－</v>
      </c>
      <c r="V181" s="65">
        <f>287080</f>
        <v>287080</v>
      </c>
      <c r="W181" s="65" t="str">
        <f>"－"</f>
        <v>－</v>
      </c>
      <c r="X181" s="69">
        <f>10</f>
        <v>10</v>
      </c>
    </row>
    <row r="182" spans="1:24">
      <c r="A182" s="60" t="s">
        <v>832</v>
      </c>
      <c r="B182" s="60" t="s">
        <v>758</v>
      </c>
      <c r="C182" s="60" t="s">
        <v>759</v>
      </c>
      <c r="D182" s="60" t="s">
        <v>760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</v>
      </c>
      <c r="K182" s="66">
        <f>861</f>
        <v>861</v>
      </c>
      <c r="L182" s="67" t="s">
        <v>833</v>
      </c>
      <c r="M182" s="66">
        <f>1416</f>
        <v>1416</v>
      </c>
      <c r="N182" s="67" t="s">
        <v>833</v>
      </c>
      <c r="O182" s="66">
        <f>861</f>
        <v>861</v>
      </c>
      <c r="P182" s="67" t="s">
        <v>833</v>
      </c>
      <c r="Q182" s="66">
        <f>1362</f>
        <v>1362</v>
      </c>
      <c r="R182" s="67" t="s">
        <v>814</v>
      </c>
      <c r="S182" s="68">
        <f>1389</f>
        <v>1389</v>
      </c>
      <c r="T182" s="65">
        <f>310</f>
        <v>310</v>
      </c>
      <c r="U182" s="65" t="str">
        <f>"－"</f>
        <v>－</v>
      </c>
      <c r="V182" s="65">
        <f>381590</f>
        <v>381590</v>
      </c>
      <c r="W182" s="65" t="str">
        <f>"－"</f>
        <v>－</v>
      </c>
      <c r="X182" s="69">
        <f>2</f>
        <v>2</v>
      </c>
    </row>
    <row r="183" spans="1:24">
      <c r="A183" s="60" t="s">
        <v>832</v>
      </c>
      <c r="B183" s="60" t="s">
        <v>761</v>
      </c>
      <c r="C183" s="60" t="s">
        <v>762</v>
      </c>
      <c r="D183" s="60" t="s">
        <v>763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</v>
      </c>
      <c r="K183" s="66">
        <f>422</f>
        <v>422</v>
      </c>
      <c r="L183" s="67" t="s">
        <v>833</v>
      </c>
      <c r="M183" s="66">
        <f>455</f>
        <v>455</v>
      </c>
      <c r="N183" s="67" t="s">
        <v>119</v>
      </c>
      <c r="O183" s="66">
        <f>345</f>
        <v>345</v>
      </c>
      <c r="P183" s="67" t="s">
        <v>79</v>
      </c>
      <c r="Q183" s="66">
        <f>385</f>
        <v>385</v>
      </c>
      <c r="R183" s="67" t="s">
        <v>51</v>
      </c>
      <c r="S183" s="68">
        <f>393.19</f>
        <v>393.19</v>
      </c>
      <c r="T183" s="65">
        <f>5000</f>
        <v>5000</v>
      </c>
      <c r="U183" s="65">
        <f>330</f>
        <v>330</v>
      </c>
      <c r="V183" s="65">
        <f>1989250</f>
        <v>1989250</v>
      </c>
      <c r="W183" s="65">
        <f>132250</f>
        <v>132250</v>
      </c>
      <c r="X183" s="69">
        <f>21</f>
        <v>21</v>
      </c>
    </row>
    <row r="184" spans="1:24">
      <c r="A184" s="60" t="s">
        <v>832</v>
      </c>
      <c r="B184" s="60" t="s">
        <v>764</v>
      </c>
      <c r="C184" s="60" t="s">
        <v>765</v>
      </c>
      <c r="D184" s="60" t="s">
        <v>766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</v>
      </c>
      <c r="K184" s="66">
        <f>313</f>
        <v>313</v>
      </c>
      <c r="L184" s="67" t="s">
        <v>833</v>
      </c>
      <c r="M184" s="66">
        <f>330</f>
        <v>330</v>
      </c>
      <c r="N184" s="67" t="s">
        <v>818</v>
      </c>
      <c r="O184" s="66">
        <f>288</f>
        <v>288</v>
      </c>
      <c r="P184" s="67" t="s">
        <v>819</v>
      </c>
      <c r="Q184" s="66">
        <f>322</f>
        <v>322</v>
      </c>
      <c r="R184" s="67" t="s">
        <v>51</v>
      </c>
      <c r="S184" s="68">
        <f>316.62</f>
        <v>316.62</v>
      </c>
      <c r="T184" s="65">
        <f>45060</f>
        <v>45060</v>
      </c>
      <c r="U184" s="65">
        <f>310</f>
        <v>310</v>
      </c>
      <c r="V184" s="65">
        <f>14183510</f>
        <v>14183510</v>
      </c>
      <c r="W184" s="65">
        <f>102300</f>
        <v>102300</v>
      </c>
      <c r="X184" s="69">
        <f>21</f>
        <v>21</v>
      </c>
    </row>
    <row r="185" spans="1:24">
      <c r="A185" s="60" t="s">
        <v>832</v>
      </c>
      <c r="B185" s="60" t="s">
        <v>767</v>
      </c>
      <c r="C185" s="60" t="s">
        <v>768</v>
      </c>
      <c r="D185" s="60" t="s">
        <v>769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100</v>
      </c>
      <c r="K185" s="66">
        <f>2</f>
        <v>2</v>
      </c>
      <c r="L185" s="67" t="s">
        <v>833</v>
      </c>
      <c r="M185" s="66">
        <f>2</f>
        <v>2</v>
      </c>
      <c r="N185" s="67" t="s">
        <v>833</v>
      </c>
      <c r="O185" s="66">
        <f>1</f>
        <v>1</v>
      </c>
      <c r="P185" s="67" t="s">
        <v>833</v>
      </c>
      <c r="Q185" s="66">
        <f>2</f>
        <v>2</v>
      </c>
      <c r="R185" s="67" t="s">
        <v>51</v>
      </c>
      <c r="S185" s="68">
        <f>1.95</f>
        <v>1.95</v>
      </c>
      <c r="T185" s="65">
        <f>84617100</f>
        <v>84617100</v>
      </c>
      <c r="U185" s="65" t="str">
        <f t="shared" ref="U185:U193" si="4">"－"</f>
        <v>－</v>
      </c>
      <c r="V185" s="65">
        <f>162999200</f>
        <v>162999200</v>
      </c>
      <c r="W185" s="65" t="str">
        <f t="shared" ref="W185:W193" si="5">"－"</f>
        <v>－</v>
      </c>
      <c r="X185" s="69">
        <f>21</f>
        <v>21</v>
      </c>
    </row>
    <row r="186" spans="1:24">
      <c r="A186" s="60" t="s">
        <v>832</v>
      </c>
      <c r="B186" s="60" t="s">
        <v>770</v>
      </c>
      <c r="C186" s="60" t="s">
        <v>771</v>
      </c>
      <c r="D186" s="60" t="s">
        <v>772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10</v>
      </c>
      <c r="K186" s="66">
        <f>770</f>
        <v>770</v>
      </c>
      <c r="L186" s="67" t="s">
        <v>833</v>
      </c>
      <c r="M186" s="66">
        <f>927</f>
        <v>927</v>
      </c>
      <c r="N186" s="67" t="s">
        <v>833</v>
      </c>
      <c r="O186" s="66">
        <f>403</f>
        <v>403</v>
      </c>
      <c r="P186" s="67" t="s">
        <v>51</v>
      </c>
      <c r="Q186" s="66">
        <f>405</f>
        <v>405</v>
      </c>
      <c r="R186" s="67" t="s">
        <v>51</v>
      </c>
      <c r="S186" s="68">
        <f>588.33</f>
        <v>588.33000000000004</v>
      </c>
      <c r="T186" s="65">
        <f>843020</f>
        <v>843020</v>
      </c>
      <c r="U186" s="65" t="str">
        <f t="shared" si="4"/>
        <v>－</v>
      </c>
      <c r="V186" s="65">
        <f>412613290</f>
        <v>412613290</v>
      </c>
      <c r="W186" s="65" t="str">
        <f t="shared" si="5"/>
        <v>－</v>
      </c>
      <c r="X186" s="69">
        <f>21</f>
        <v>21</v>
      </c>
    </row>
    <row r="187" spans="1:24">
      <c r="A187" s="60" t="s">
        <v>832</v>
      </c>
      <c r="B187" s="60" t="s">
        <v>773</v>
      </c>
      <c r="C187" s="60" t="s">
        <v>774</v>
      </c>
      <c r="D187" s="60" t="s">
        <v>775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</v>
      </c>
      <c r="K187" s="66">
        <f>2398</f>
        <v>2398</v>
      </c>
      <c r="L187" s="67" t="s">
        <v>833</v>
      </c>
      <c r="M187" s="66">
        <f>2585</f>
        <v>2585</v>
      </c>
      <c r="N187" s="67" t="s">
        <v>119</v>
      </c>
      <c r="O187" s="66">
        <f>1036</f>
        <v>1036</v>
      </c>
      <c r="P187" s="67" t="s">
        <v>816</v>
      </c>
      <c r="Q187" s="66">
        <f>1326</f>
        <v>1326</v>
      </c>
      <c r="R187" s="67" t="s">
        <v>50</v>
      </c>
      <c r="S187" s="68">
        <f>1742.41</f>
        <v>1742.41</v>
      </c>
      <c r="T187" s="65">
        <f>3682</f>
        <v>3682</v>
      </c>
      <c r="U187" s="65" t="str">
        <f t="shared" si="4"/>
        <v>－</v>
      </c>
      <c r="V187" s="65">
        <f>5255195</f>
        <v>5255195</v>
      </c>
      <c r="W187" s="65" t="str">
        <f t="shared" si="5"/>
        <v>－</v>
      </c>
      <c r="X187" s="69">
        <f>17</f>
        <v>17</v>
      </c>
    </row>
    <row r="188" spans="1:24">
      <c r="A188" s="60" t="s">
        <v>832</v>
      </c>
      <c r="B188" s="60" t="s">
        <v>776</v>
      </c>
      <c r="C188" s="60" t="s">
        <v>777</v>
      </c>
      <c r="D188" s="60" t="s">
        <v>778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100</v>
      </c>
      <c r="K188" s="66">
        <f>260</f>
        <v>260</v>
      </c>
      <c r="L188" s="67" t="s">
        <v>833</v>
      </c>
      <c r="M188" s="66">
        <f>273</f>
        <v>273</v>
      </c>
      <c r="N188" s="67" t="s">
        <v>834</v>
      </c>
      <c r="O188" s="66">
        <f>212</f>
        <v>212</v>
      </c>
      <c r="P188" s="67" t="s">
        <v>815</v>
      </c>
      <c r="Q188" s="66">
        <f>260</f>
        <v>260</v>
      </c>
      <c r="R188" s="67" t="s">
        <v>816</v>
      </c>
      <c r="S188" s="68">
        <f>259.71</f>
        <v>259.70999999999998</v>
      </c>
      <c r="T188" s="65">
        <f>1600</f>
        <v>1600</v>
      </c>
      <c r="U188" s="65" t="str">
        <f t="shared" si="4"/>
        <v>－</v>
      </c>
      <c r="V188" s="65">
        <f>397800</f>
        <v>397800</v>
      </c>
      <c r="W188" s="65" t="str">
        <f t="shared" si="5"/>
        <v>－</v>
      </c>
      <c r="X188" s="69">
        <f>7</f>
        <v>7</v>
      </c>
    </row>
    <row r="189" spans="1:24">
      <c r="A189" s="60" t="s">
        <v>832</v>
      </c>
      <c r="B189" s="60" t="s">
        <v>779</v>
      </c>
      <c r="C189" s="60" t="s">
        <v>780</v>
      </c>
      <c r="D189" s="60" t="s">
        <v>781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</v>
      </c>
      <c r="K189" s="66">
        <f>2680</f>
        <v>2680</v>
      </c>
      <c r="L189" s="67" t="s">
        <v>833</v>
      </c>
      <c r="M189" s="66">
        <f>2680</f>
        <v>2680</v>
      </c>
      <c r="N189" s="67" t="s">
        <v>833</v>
      </c>
      <c r="O189" s="66">
        <f>2430</f>
        <v>2430</v>
      </c>
      <c r="P189" s="67" t="s">
        <v>51</v>
      </c>
      <c r="Q189" s="66">
        <f>2430</f>
        <v>2430</v>
      </c>
      <c r="R189" s="67" t="s">
        <v>51</v>
      </c>
      <c r="S189" s="68">
        <f>2573.18</f>
        <v>2573.1799999999998</v>
      </c>
      <c r="T189" s="65">
        <f>530</f>
        <v>530</v>
      </c>
      <c r="U189" s="65" t="str">
        <f t="shared" si="4"/>
        <v>－</v>
      </c>
      <c r="V189" s="65">
        <f>1355700</f>
        <v>1355700</v>
      </c>
      <c r="W189" s="65" t="str">
        <f t="shared" si="5"/>
        <v>－</v>
      </c>
      <c r="X189" s="69">
        <f>11</f>
        <v>11</v>
      </c>
    </row>
    <row r="190" spans="1:24">
      <c r="A190" s="60" t="s">
        <v>832</v>
      </c>
      <c r="B190" s="60" t="s">
        <v>782</v>
      </c>
      <c r="C190" s="60" t="s">
        <v>783</v>
      </c>
      <c r="D190" s="60" t="s">
        <v>784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</v>
      </c>
      <c r="K190" s="66">
        <f>1220</f>
        <v>1220</v>
      </c>
      <c r="L190" s="67" t="s">
        <v>814</v>
      </c>
      <c r="M190" s="66">
        <f>1296</f>
        <v>1296</v>
      </c>
      <c r="N190" s="67" t="s">
        <v>79</v>
      </c>
      <c r="O190" s="66">
        <f>1140</f>
        <v>1140</v>
      </c>
      <c r="P190" s="67" t="s">
        <v>99</v>
      </c>
      <c r="Q190" s="66">
        <f>1206</f>
        <v>1206</v>
      </c>
      <c r="R190" s="67" t="s">
        <v>50</v>
      </c>
      <c r="S190" s="68">
        <f>1214.44</f>
        <v>1214.44</v>
      </c>
      <c r="T190" s="65">
        <f>970</f>
        <v>970</v>
      </c>
      <c r="U190" s="65" t="str">
        <f t="shared" si="4"/>
        <v>－</v>
      </c>
      <c r="V190" s="65">
        <f>1187340</f>
        <v>1187340</v>
      </c>
      <c r="W190" s="65" t="str">
        <f t="shared" si="5"/>
        <v>－</v>
      </c>
      <c r="X190" s="69">
        <f>9</f>
        <v>9</v>
      </c>
    </row>
    <row r="191" spans="1:24">
      <c r="A191" s="60" t="s">
        <v>832</v>
      </c>
      <c r="B191" s="60" t="s">
        <v>785</v>
      </c>
      <c r="C191" s="60" t="s">
        <v>786</v>
      </c>
      <c r="D191" s="60" t="s">
        <v>787</v>
      </c>
      <c r="E191" s="61" t="s">
        <v>46</v>
      </c>
      <c r="F191" s="62" t="s">
        <v>46</v>
      </c>
      <c r="G191" s="63" t="s">
        <v>46</v>
      </c>
      <c r="H191" s="64"/>
      <c r="I191" s="64" t="s">
        <v>47</v>
      </c>
      <c r="J191" s="65">
        <v>100</v>
      </c>
      <c r="K191" s="66">
        <f>68</f>
        <v>68</v>
      </c>
      <c r="L191" s="67" t="s">
        <v>833</v>
      </c>
      <c r="M191" s="66">
        <f>76</f>
        <v>76</v>
      </c>
      <c r="N191" s="67" t="s">
        <v>821</v>
      </c>
      <c r="O191" s="66">
        <f>61</f>
        <v>61</v>
      </c>
      <c r="P191" s="67" t="s">
        <v>119</v>
      </c>
      <c r="Q191" s="66">
        <f>73</f>
        <v>73</v>
      </c>
      <c r="R191" s="67" t="s">
        <v>51</v>
      </c>
      <c r="S191" s="68">
        <f>67.67</f>
        <v>67.67</v>
      </c>
      <c r="T191" s="65">
        <f>1689800</f>
        <v>1689800</v>
      </c>
      <c r="U191" s="65" t="str">
        <f t="shared" si="4"/>
        <v>－</v>
      </c>
      <c r="V191" s="65">
        <f>114928300</f>
        <v>114928300</v>
      </c>
      <c r="W191" s="65" t="str">
        <f t="shared" si="5"/>
        <v>－</v>
      </c>
      <c r="X191" s="69">
        <f>21</f>
        <v>21</v>
      </c>
    </row>
    <row r="192" spans="1:24">
      <c r="A192" s="60" t="s">
        <v>832</v>
      </c>
      <c r="B192" s="60" t="s">
        <v>788</v>
      </c>
      <c r="C192" s="60" t="s">
        <v>789</v>
      </c>
      <c r="D192" s="60" t="s">
        <v>790</v>
      </c>
      <c r="E192" s="61" t="s">
        <v>46</v>
      </c>
      <c r="F192" s="62" t="s">
        <v>46</v>
      </c>
      <c r="G192" s="63" t="s">
        <v>46</v>
      </c>
      <c r="H192" s="64"/>
      <c r="I192" s="64" t="s">
        <v>47</v>
      </c>
      <c r="J192" s="65">
        <v>100</v>
      </c>
      <c r="K192" s="66">
        <f>78</f>
        <v>78</v>
      </c>
      <c r="L192" s="67" t="s">
        <v>833</v>
      </c>
      <c r="M192" s="66">
        <f>79</f>
        <v>79</v>
      </c>
      <c r="N192" s="67" t="s">
        <v>833</v>
      </c>
      <c r="O192" s="66">
        <f>70</f>
        <v>70</v>
      </c>
      <c r="P192" s="67" t="s">
        <v>820</v>
      </c>
      <c r="Q192" s="66">
        <f>71</f>
        <v>71</v>
      </c>
      <c r="R192" s="67" t="s">
        <v>51</v>
      </c>
      <c r="S192" s="68">
        <f>74.57</f>
        <v>74.569999999999993</v>
      </c>
      <c r="T192" s="65">
        <f>490200</f>
        <v>490200</v>
      </c>
      <c r="U192" s="65" t="str">
        <f t="shared" si="4"/>
        <v>－</v>
      </c>
      <c r="V192" s="65">
        <f>35882800</f>
        <v>35882800</v>
      </c>
      <c r="W192" s="65" t="str">
        <f t="shared" si="5"/>
        <v>－</v>
      </c>
      <c r="X192" s="69">
        <f>21</f>
        <v>21</v>
      </c>
    </row>
    <row r="193" spans="1:24">
      <c r="A193" s="60" t="s">
        <v>832</v>
      </c>
      <c r="B193" s="60" t="s">
        <v>791</v>
      </c>
      <c r="C193" s="60" t="s">
        <v>792</v>
      </c>
      <c r="D193" s="60" t="s">
        <v>793</v>
      </c>
      <c r="E193" s="61" t="s">
        <v>46</v>
      </c>
      <c r="F193" s="62" t="s">
        <v>46</v>
      </c>
      <c r="G193" s="63" t="s">
        <v>46</v>
      </c>
      <c r="H193" s="64"/>
      <c r="I193" s="64" t="s">
        <v>47</v>
      </c>
      <c r="J193" s="65">
        <v>10</v>
      </c>
      <c r="K193" s="66">
        <f>1900</f>
        <v>1900</v>
      </c>
      <c r="L193" s="67" t="s">
        <v>818</v>
      </c>
      <c r="M193" s="66">
        <f>2130</f>
        <v>2130</v>
      </c>
      <c r="N193" s="67" t="s">
        <v>817</v>
      </c>
      <c r="O193" s="66">
        <f>1800</f>
        <v>1800</v>
      </c>
      <c r="P193" s="67" t="s">
        <v>91</v>
      </c>
      <c r="Q193" s="66">
        <f>1860</f>
        <v>1860</v>
      </c>
      <c r="R193" s="67" t="s">
        <v>51</v>
      </c>
      <c r="S193" s="68">
        <f>1894.88</f>
        <v>1894.88</v>
      </c>
      <c r="T193" s="65">
        <f>1740</f>
        <v>1740</v>
      </c>
      <c r="U193" s="65" t="str">
        <f t="shared" si="4"/>
        <v>－</v>
      </c>
      <c r="V193" s="65">
        <f>3349870</f>
        <v>3349870</v>
      </c>
      <c r="W193" s="65" t="str">
        <f t="shared" si="5"/>
        <v>－</v>
      </c>
      <c r="X193" s="69">
        <f>17</f>
        <v>17</v>
      </c>
    </row>
    <row r="194" spans="1:24">
      <c r="A194" s="60" t="s">
        <v>832</v>
      </c>
      <c r="B194" s="60" t="s">
        <v>568</v>
      </c>
      <c r="C194" s="60" t="s">
        <v>569</v>
      </c>
      <c r="D194" s="60" t="s">
        <v>570</v>
      </c>
      <c r="E194" s="61" t="s">
        <v>46</v>
      </c>
      <c r="F194" s="62" t="s">
        <v>46</v>
      </c>
      <c r="G194" s="63" t="s">
        <v>46</v>
      </c>
      <c r="H194" s="64"/>
      <c r="I194" s="64" t="s">
        <v>47</v>
      </c>
      <c r="J194" s="65">
        <v>10</v>
      </c>
      <c r="K194" s="66">
        <f>1534</f>
        <v>1534</v>
      </c>
      <c r="L194" s="67" t="s">
        <v>833</v>
      </c>
      <c r="M194" s="66">
        <f>1600</f>
        <v>1600</v>
      </c>
      <c r="N194" s="67" t="s">
        <v>48</v>
      </c>
      <c r="O194" s="66">
        <f>1214</f>
        <v>1214</v>
      </c>
      <c r="P194" s="67" t="s">
        <v>79</v>
      </c>
      <c r="Q194" s="66">
        <f>1430</f>
        <v>1430</v>
      </c>
      <c r="R194" s="67" t="s">
        <v>51</v>
      </c>
      <c r="S194" s="68">
        <f>1411.05</f>
        <v>1411.05</v>
      </c>
      <c r="T194" s="65">
        <f>260990</f>
        <v>260990</v>
      </c>
      <c r="U194" s="65">
        <f>180</f>
        <v>180</v>
      </c>
      <c r="V194" s="65">
        <f>359465130</f>
        <v>359465130</v>
      </c>
      <c r="W194" s="65">
        <f>241920</f>
        <v>241920</v>
      </c>
      <c r="X194" s="69">
        <f>21</f>
        <v>21</v>
      </c>
    </row>
    <row r="195" spans="1:24">
      <c r="A195" s="60" t="s">
        <v>832</v>
      </c>
      <c r="B195" s="60" t="s">
        <v>571</v>
      </c>
      <c r="C195" s="60" t="s">
        <v>572</v>
      </c>
      <c r="D195" s="60" t="s">
        <v>573</v>
      </c>
      <c r="E195" s="61" t="s">
        <v>46</v>
      </c>
      <c r="F195" s="62" t="s">
        <v>46</v>
      </c>
      <c r="G195" s="63" t="s">
        <v>46</v>
      </c>
      <c r="H195" s="64"/>
      <c r="I195" s="64" t="s">
        <v>47</v>
      </c>
      <c r="J195" s="65">
        <v>10</v>
      </c>
      <c r="K195" s="66">
        <f>294</f>
        <v>294</v>
      </c>
      <c r="L195" s="67" t="s">
        <v>833</v>
      </c>
      <c r="M195" s="66">
        <f>320</f>
        <v>320</v>
      </c>
      <c r="N195" s="67" t="s">
        <v>814</v>
      </c>
      <c r="O195" s="66">
        <f>132</f>
        <v>132</v>
      </c>
      <c r="P195" s="67" t="s">
        <v>50</v>
      </c>
      <c r="Q195" s="66">
        <f>140</f>
        <v>140</v>
      </c>
      <c r="R195" s="67" t="s">
        <v>51</v>
      </c>
      <c r="S195" s="68">
        <f>210.29</f>
        <v>210.29</v>
      </c>
      <c r="T195" s="65">
        <f>290781990</f>
        <v>290781990</v>
      </c>
      <c r="U195" s="65">
        <f>3642730</f>
        <v>3642730</v>
      </c>
      <c r="V195" s="65">
        <f>51828637512</f>
        <v>51828637512</v>
      </c>
      <c r="W195" s="65">
        <f>776824902</f>
        <v>776824902</v>
      </c>
      <c r="X195" s="69">
        <f>21</f>
        <v>21</v>
      </c>
    </row>
    <row r="196" spans="1:24">
      <c r="A196" s="60" t="s">
        <v>832</v>
      </c>
      <c r="B196" s="60" t="s">
        <v>574</v>
      </c>
      <c r="C196" s="60" t="s">
        <v>575</v>
      </c>
      <c r="D196" s="60" t="s">
        <v>576</v>
      </c>
      <c r="E196" s="61" t="s">
        <v>46</v>
      </c>
      <c r="F196" s="62" t="s">
        <v>46</v>
      </c>
      <c r="G196" s="63" t="s">
        <v>46</v>
      </c>
      <c r="H196" s="64"/>
      <c r="I196" s="64" t="s">
        <v>577</v>
      </c>
      <c r="J196" s="65">
        <v>1</v>
      </c>
      <c r="K196" s="66">
        <f>10650</f>
        <v>10650</v>
      </c>
      <c r="L196" s="67" t="s">
        <v>833</v>
      </c>
      <c r="M196" s="66">
        <f>10980</f>
        <v>10980</v>
      </c>
      <c r="N196" s="67" t="s">
        <v>814</v>
      </c>
      <c r="O196" s="66">
        <f>6850</f>
        <v>6850</v>
      </c>
      <c r="P196" s="67" t="s">
        <v>819</v>
      </c>
      <c r="Q196" s="66">
        <f>8360</f>
        <v>8360</v>
      </c>
      <c r="R196" s="67" t="s">
        <v>51</v>
      </c>
      <c r="S196" s="68">
        <f>8911.9</f>
        <v>8911.9</v>
      </c>
      <c r="T196" s="65">
        <f>5813</f>
        <v>5813</v>
      </c>
      <c r="U196" s="65" t="str">
        <f>"－"</f>
        <v>－</v>
      </c>
      <c r="V196" s="65">
        <f>50785740</f>
        <v>50785740</v>
      </c>
      <c r="W196" s="65" t="str">
        <f>"－"</f>
        <v>－</v>
      </c>
      <c r="X196" s="69">
        <f>21</f>
        <v>21</v>
      </c>
    </row>
    <row r="197" spans="1:24">
      <c r="A197" s="60" t="s">
        <v>832</v>
      </c>
      <c r="B197" s="60" t="s">
        <v>578</v>
      </c>
      <c r="C197" s="60" t="s">
        <v>579</v>
      </c>
      <c r="D197" s="60" t="s">
        <v>580</v>
      </c>
      <c r="E197" s="61" t="s">
        <v>46</v>
      </c>
      <c r="F197" s="62" t="s">
        <v>46</v>
      </c>
      <c r="G197" s="63" t="s">
        <v>46</v>
      </c>
      <c r="H197" s="64"/>
      <c r="I197" s="64" t="s">
        <v>577</v>
      </c>
      <c r="J197" s="65">
        <v>1</v>
      </c>
      <c r="K197" s="66">
        <f>6320</f>
        <v>6320</v>
      </c>
      <c r="L197" s="67" t="s">
        <v>833</v>
      </c>
      <c r="M197" s="66">
        <f>8090</f>
        <v>8090</v>
      </c>
      <c r="N197" s="67" t="s">
        <v>99</v>
      </c>
      <c r="O197" s="66">
        <f>6050</f>
        <v>6050</v>
      </c>
      <c r="P197" s="67" t="s">
        <v>48</v>
      </c>
      <c r="Q197" s="66">
        <f>6950</f>
        <v>6950</v>
      </c>
      <c r="R197" s="67" t="s">
        <v>51</v>
      </c>
      <c r="S197" s="68">
        <f>6796.67</f>
        <v>6796.67</v>
      </c>
      <c r="T197" s="65">
        <f>22448</f>
        <v>22448</v>
      </c>
      <c r="U197" s="65" t="str">
        <f>"－"</f>
        <v>－</v>
      </c>
      <c r="V197" s="65">
        <f>154524340</f>
        <v>154524340</v>
      </c>
      <c r="W197" s="65" t="str">
        <f>"－"</f>
        <v>－</v>
      </c>
      <c r="X197" s="69">
        <f>21</f>
        <v>21</v>
      </c>
    </row>
    <row r="198" spans="1:24">
      <c r="A198" s="60" t="s">
        <v>832</v>
      </c>
      <c r="B198" s="60" t="s">
        <v>581</v>
      </c>
      <c r="C198" s="60" t="s">
        <v>582</v>
      </c>
      <c r="D198" s="60" t="s">
        <v>583</v>
      </c>
      <c r="E198" s="61" t="s">
        <v>46</v>
      </c>
      <c r="F198" s="62" t="s">
        <v>46</v>
      </c>
      <c r="G198" s="63" t="s">
        <v>46</v>
      </c>
      <c r="H198" s="64"/>
      <c r="I198" s="64" t="s">
        <v>577</v>
      </c>
      <c r="J198" s="65">
        <v>1</v>
      </c>
      <c r="K198" s="66">
        <f>7970</f>
        <v>7970</v>
      </c>
      <c r="L198" s="67" t="s">
        <v>833</v>
      </c>
      <c r="M198" s="66">
        <f>8910</f>
        <v>8910</v>
      </c>
      <c r="N198" s="67" t="s">
        <v>817</v>
      </c>
      <c r="O198" s="66">
        <f>4120</f>
        <v>4120</v>
      </c>
      <c r="P198" s="67" t="s">
        <v>99</v>
      </c>
      <c r="Q198" s="66">
        <f>5850</f>
        <v>5850</v>
      </c>
      <c r="R198" s="67" t="s">
        <v>51</v>
      </c>
      <c r="S198" s="68">
        <f>6499.76</f>
        <v>6499.76</v>
      </c>
      <c r="T198" s="65">
        <f>7977</f>
        <v>7977</v>
      </c>
      <c r="U198" s="65" t="str">
        <f>"－"</f>
        <v>－</v>
      </c>
      <c r="V198" s="65">
        <f>46097515</f>
        <v>46097515</v>
      </c>
      <c r="W198" s="65" t="str">
        <f>"－"</f>
        <v>－</v>
      </c>
      <c r="X198" s="69">
        <f>21</f>
        <v>21</v>
      </c>
    </row>
    <row r="199" spans="1:24">
      <c r="A199" s="60" t="s">
        <v>832</v>
      </c>
      <c r="B199" s="60" t="s">
        <v>584</v>
      </c>
      <c r="C199" s="60" t="s">
        <v>585</v>
      </c>
      <c r="D199" s="60" t="s">
        <v>586</v>
      </c>
      <c r="E199" s="61" t="s">
        <v>46</v>
      </c>
      <c r="F199" s="62" t="s">
        <v>46</v>
      </c>
      <c r="G199" s="63" t="s">
        <v>46</v>
      </c>
      <c r="H199" s="64"/>
      <c r="I199" s="64" t="s">
        <v>577</v>
      </c>
      <c r="J199" s="65">
        <v>1</v>
      </c>
      <c r="K199" s="66">
        <f>9650</f>
        <v>9650</v>
      </c>
      <c r="L199" s="67" t="s">
        <v>833</v>
      </c>
      <c r="M199" s="66">
        <f>12790</f>
        <v>12790</v>
      </c>
      <c r="N199" s="67" t="s">
        <v>175</v>
      </c>
      <c r="O199" s="66">
        <f>9310</f>
        <v>9310</v>
      </c>
      <c r="P199" s="67" t="s">
        <v>119</v>
      </c>
      <c r="Q199" s="66">
        <f>10700</f>
        <v>10700</v>
      </c>
      <c r="R199" s="67" t="s">
        <v>51</v>
      </c>
      <c r="S199" s="68">
        <f>10524.76</f>
        <v>10524.76</v>
      </c>
      <c r="T199" s="65">
        <f>120943</f>
        <v>120943</v>
      </c>
      <c r="U199" s="65">
        <f>21</f>
        <v>21</v>
      </c>
      <c r="V199" s="65">
        <f>1322102720</f>
        <v>1322102720</v>
      </c>
      <c r="W199" s="65">
        <f>197400</f>
        <v>197400</v>
      </c>
      <c r="X199" s="69">
        <f>21</f>
        <v>21</v>
      </c>
    </row>
    <row r="200" spans="1:24">
      <c r="A200" s="60" t="s">
        <v>832</v>
      </c>
      <c r="B200" s="60" t="s">
        <v>587</v>
      </c>
      <c r="C200" s="60" t="s">
        <v>588</v>
      </c>
      <c r="D200" s="60" t="s">
        <v>589</v>
      </c>
      <c r="E200" s="61" t="s">
        <v>46</v>
      </c>
      <c r="F200" s="62" t="s">
        <v>46</v>
      </c>
      <c r="G200" s="63" t="s">
        <v>46</v>
      </c>
      <c r="H200" s="64"/>
      <c r="I200" s="64" t="s">
        <v>577</v>
      </c>
      <c r="J200" s="65">
        <v>1</v>
      </c>
      <c r="K200" s="66">
        <f>749</f>
        <v>749</v>
      </c>
      <c r="L200" s="67" t="s">
        <v>833</v>
      </c>
      <c r="M200" s="66">
        <f>2825</f>
        <v>2825</v>
      </c>
      <c r="N200" s="67" t="s">
        <v>819</v>
      </c>
      <c r="O200" s="66">
        <f>638</f>
        <v>638</v>
      </c>
      <c r="P200" s="67" t="s">
        <v>814</v>
      </c>
      <c r="Q200" s="66">
        <f>1800</f>
        <v>1800</v>
      </c>
      <c r="R200" s="67" t="s">
        <v>51</v>
      </c>
      <c r="S200" s="68">
        <f>1462.86</f>
        <v>1462.86</v>
      </c>
      <c r="T200" s="65">
        <f>24119583</f>
        <v>24119583</v>
      </c>
      <c r="U200" s="65">
        <f>598</f>
        <v>598</v>
      </c>
      <c r="V200" s="65">
        <f>42202905409</f>
        <v>42202905409</v>
      </c>
      <c r="W200" s="65">
        <f>989870</f>
        <v>989870</v>
      </c>
      <c r="X200" s="69">
        <f>21</f>
        <v>21</v>
      </c>
    </row>
    <row r="201" spans="1:24">
      <c r="A201" s="60" t="s">
        <v>832</v>
      </c>
      <c r="B201" s="60" t="s">
        <v>590</v>
      </c>
      <c r="C201" s="60" t="s">
        <v>591</v>
      </c>
      <c r="D201" s="60" t="s">
        <v>592</v>
      </c>
      <c r="E201" s="61" t="s">
        <v>46</v>
      </c>
      <c r="F201" s="62" t="s">
        <v>46</v>
      </c>
      <c r="G201" s="63" t="s">
        <v>46</v>
      </c>
      <c r="H201" s="64"/>
      <c r="I201" s="64" t="s">
        <v>577</v>
      </c>
      <c r="J201" s="65">
        <v>1</v>
      </c>
      <c r="K201" s="66">
        <f>13840</f>
        <v>13840</v>
      </c>
      <c r="L201" s="67" t="s">
        <v>833</v>
      </c>
      <c r="M201" s="66">
        <f>15450</f>
        <v>15450</v>
      </c>
      <c r="N201" s="67" t="s">
        <v>816</v>
      </c>
      <c r="O201" s="66">
        <f>11690</f>
        <v>11690</v>
      </c>
      <c r="P201" s="67" t="s">
        <v>79</v>
      </c>
      <c r="Q201" s="66">
        <f>14310</f>
        <v>14310</v>
      </c>
      <c r="R201" s="67" t="s">
        <v>51</v>
      </c>
      <c r="S201" s="68">
        <f>13900</f>
        <v>13900</v>
      </c>
      <c r="T201" s="65">
        <f>104273</f>
        <v>104273</v>
      </c>
      <c r="U201" s="65" t="str">
        <f>"－"</f>
        <v>－</v>
      </c>
      <c r="V201" s="65">
        <f>1466431930</f>
        <v>1466431930</v>
      </c>
      <c r="W201" s="65" t="str">
        <f>"－"</f>
        <v>－</v>
      </c>
      <c r="X201" s="69">
        <f>21</f>
        <v>21</v>
      </c>
    </row>
    <row r="202" spans="1:24">
      <c r="A202" s="60" t="s">
        <v>832</v>
      </c>
      <c r="B202" s="60" t="s">
        <v>593</v>
      </c>
      <c r="C202" s="60" t="s">
        <v>594</v>
      </c>
      <c r="D202" s="60" t="s">
        <v>595</v>
      </c>
      <c r="E202" s="61" t="s">
        <v>46</v>
      </c>
      <c r="F202" s="62" t="s">
        <v>46</v>
      </c>
      <c r="G202" s="63" t="s">
        <v>46</v>
      </c>
      <c r="H202" s="64"/>
      <c r="I202" s="64" t="s">
        <v>577</v>
      </c>
      <c r="J202" s="65">
        <v>1</v>
      </c>
      <c r="K202" s="66">
        <f>6790</f>
        <v>6790</v>
      </c>
      <c r="L202" s="67" t="s">
        <v>833</v>
      </c>
      <c r="M202" s="66">
        <f>7300</f>
        <v>7300</v>
      </c>
      <c r="N202" s="67" t="s">
        <v>79</v>
      </c>
      <c r="O202" s="66">
        <f>6230</f>
        <v>6230</v>
      </c>
      <c r="P202" s="67" t="s">
        <v>816</v>
      </c>
      <c r="Q202" s="66">
        <f>6620</f>
        <v>6620</v>
      </c>
      <c r="R202" s="67" t="s">
        <v>51</v>
      </c>
      <c r="S202" s="68">
        <f>6727.14</f>
        <v>6727.14</v>
      </c>
      <c r="T202" s="65">
        <f>37228</f>
        <v>37228</v>
      </c>
      <c r="U202" s="65" t="str">
        <f>"－"</f>
        <v>－</v>
      </c>
      <c r="V202" s="65">
        <f>255594630</f>
        <v>255594630</v>
      </c>
      <c r="W202" s="65" t="str">
        <f>"－"</f>
        <v>－</v>
      </c>
      <c r="X202" s="69">
        <f>21</f>
        <v>21</v>
      </c>
    </row>
    <row r="203" spans="1:24">
      <c r="A203" s="60" t="s">
        <v>832</v>
      </c>
      <c r="B203" s="60" t="s">
        <v>596</v>
      </c>
      <c r="C203" s="60" t="s">
        <v>597</v>
      </c>
      <c r="D203" s="60" t="s">
        <v>598</v>
      </c>
      <c r="E203" s="61" t="s">
        <v>46</v>
      </c>
      <c r="F203" s="62" t="s">
        <v>46</v>
      </c>
      <c r="G203" s="63" t="s">
        <v>46</v>
      </c>
      <c r="H203" s="64"/>
      <c r="I203" s="64" t="s">
        <v>577</v>
      </c>
      <c r="J203" s="65">
        <v>1</v>
      </c>
      <c r="K203" s="66">
        <f>949</f>
        <v>949</v>
      </c>
      <c r="L203" s="67" t="s">
        <v>833</v>
      </c>
      <c r="M203" s="66">
        <f>1069</f>
        <v>1069</v>
      </c>
      <c r="N203" s="67" t="s">
        <v>814</v>
      </c>
      <c r="O203" s="66">
        <f>289</f>
        <v>289</v>
      </c>
      <c r="P203" s="67" t="s">
        <v>819</v>
      </c>
      <c r="Q203" s="66">
        <f>346</f>
        <v>346</v>
      </c>
      <c r="R203" s="67" t="s">
        <v>51</v>
      </c>
      <c r="S203" s="68">
        <f>578.62</f>
        <v>578.62</v>
      </c>
      <c r="T203" s="65">
        <f>215128976</f>
        <v>215128976</v>
      </c>
      <c r="U203" s="65">
        <f>21393</f>
        <v>21393</v>
      </c>
      <c r="V203" s="65">
        <f>86612644989</f>
        <v>86612644989</v>
      </c>
      <c r="W203" s="65">
        <f>9220216</f>
        <v>9220216</v>
      </c>
      <c r="X203" s="69">
        <f>21</f>
        <v>21</v>
      </c>
    </row>
    <row r="204" spans="1:24">
      <c r="A204" s="60" t="s">
        <v>832</v>
      </c>
      <c r="B204" s="60" t="s">
        <v>599</v>
      </c>
      <c r="C204" s="60" t="s">
        <v>600</v>
      </c>
      <c r="D204" s="60" t="s">
        <v>601</v>
      </c>
      <c r="E204" s="61" t="s">
        <v>46</v>
      </c>
      <c r="F204" s="62" t="s">
        <v>46</v>
      </c>
      <c r="G204" s="63" t="s">
        <v>46</v>
      </c>
      <c r="H204" s="64"/>
      <c r="I204" s="64" t="s">
        <v>577</v>
      </c>
      <c r="J204" s="65">
        <v>1</v>
      </c>
      <c r="K204" s="66">
        <f>8010</f>
        <v>8010</v>
      </c>
      <c r="L204" s="67" t="s">
        <v>833</v>
      </c>
      <c r="M204" s="66">
        <f>9900</f>
        <v>9900</v>
      </c>
      <c r="N204" s="67" t="s">
        <v>819</v>
      </c>
      <c r="O204" s="66">
        <f>7410</f>
        <v>7410</v>
      </c>
      <c r="P204" s="67" t="s">
        <v>814</v>
      </c>
      <c r="Q204" s="66">
        <f>8770</f>
        <v>8770</v>
      </c>
      <c r="R204" s="67" t="s">
        <v>51</v>
      </c>
      <c r="S204" s="68">
        <f>8641.9</f>
        <v>8641.9</v>
      </c>
      <c r="T204" s="65">
        <f>536445</f>
        <v>536445</v>
      </c>
      <c r="U204" s="65">
        <f>52</f>
        <v>52</v>
      </c>
      <c r="V204" s="65">
        <f>4825864880</f>
        <v>4825864880</v>
      </c>
      <c r="W204" s="65">
        <f>475860</f>
        <v>475860</v>
      </c>
      <c r="X204" s="69">
        <f>21</f>
        <v>21</v>
      </c>
    </row>
    <row r="205" spans="1:24">
      <c r="A205" s="60" t="s">
        <v>832</v>
      </c>
      <c r="B205" s="60" t="s">
        <v>602</v>
      </c>
      <c r="C205" s="60" t="s">
        <v>603</v>
      </c>
      <c r="D205" s="60" t="s">
        <v>604</v>
      </c>
      <c r="E205" s="61" t="s">
        <v>46</v>
      </c>
      <c r="F205" s="62" t="s">
        <v>46</v>
      </c>
      <c r="G205" s="63" t="s">
        <v>46</v>
      </c>
      <c r="H205" s="64"/>
      <c r="I205" s="64" t="s">
        <v>577</v>
      </c>
      <c r="J205" s="65">
        <v>1</v>
      </c>
      <c r="K205" s="66">
        <f>19790</f>
        <v>19790</v>
      </c>
      <c r="L205" s="67" t="s">
        <v>833</v>
      </c>
      <c r="M205" s="66">
        <f>22000</f>
        <v>22000</v>
      </c>
      <c r="N205" s="67" t="s">
        <v>817</v>
      </c>
      <c r="O205" s="66">
        <f>9370</f>
        <v>9370</v>
      </c>
      <c r="P205" s="67" t="s">
        <v>99</v>
      </c>
      <c r="Q205" s="66">
        <f>13790</f>
        <v>13790</v>
      </c>
      <c r="R205" s="67" t="s">
        <v>51</v>
      </c>
      <c r="S205" s="68">
        <f>15539.52</f>
        <v>15539.52</v>
      </c>
      <c r="T205" s="65">
        <f>1804550</f>
        <v>1804550</v>
      </c>
      <c r="U205" s="65">
        <f>3578</f>
        <v>3578</v>
      </c>
      <c r="V205" s="65">
        <f>25928885730</f>
        <v>25928885730</v>
      </c>
      <c r="W205" s="65">
        <f>74447260</f>
        <v>74447260</v>
      </c>
      <c r="X205" s="69">
        <f>21</f>
        <v>21</v>
      </c>
    </row>
    <row r="206" spans="1:24">
      <c r="A206" s="60" t="s">
        <v>832</v>
      </c>
      <c r="B206" s="60" t="s">
        <v>605</v>
      </c>
      <c r="C206" s="60" t="s">
        <v>606</v>
      </c>
      <c r="D206" s="60" t="s">
        <v>607</v>
      </c>
      <c r="E206" s="61" t="s">
        <v>46</v>
      </c>
      <c r="F206" s="62" t="s">
        <v>46</v>
      </c>
      <c r="G206" s="63" t="s">
        <v>46</v>
      </c>
      <c r="H206" s="64"/>
      <c r="I206" s="64" t="s">
        <v>577</v>
      </c>
      <c r="J206" s="65">
        <v>1</v>
      </c>
      <c r="K206" s="66">
        <f>4805</f>
        <v>4805</v>
      </c>
      <c r="L206" s="67" t="s">
        <v>833</v>
      </c>
      <c r="M206" s="66">
        <f>6350</f>
        <v>6350</v>
      </c>
      <c r="N206" s="67" t="s">
        <v>99</v>
      </c>
      <c r="O206" s="66">
        <f>4465</f>
        <v>4465</v>
      </c>
      <c r="P206" s="67" t="s">
        <v>817</v>
      </c>
      <c r="Q206" s="66">
        <f>5100</f>
        <v>5100</v>
      </c>
      <c r="R206" s="67" t="s">
        <v>51</v>
      </c>
      <c r="S206" s="68">
        <f>5189.29</f>
        <v>5189.29</v>
      </c>
      <c r="T206" s="65">
        <f>2105606</f>
        <v>2105606</v>
      </c>
      <c r="U206" s="65">
        <f>100</f>
        <v>100</v>
      </c>
      <c r="V206" s="65">
        <f>11160254025</f>
        <v>11160254025</v>
      </c>
      <c r="W206" s="65">
        <f>518000</f>
        <v>518000</v>
      </c>
      <c r="X206" s="69">
        <f>21</f>
        <v>21</v>
      </c>
    </row>
    <row r="207" spans="1:24">
      <c r="A207" s="60" t="s">
        <v>832</v>
      </c>
      <c r="B207" s="60" t="s">
        <v>608</v>
      </c>
      <c r="C207" s="60" t="s">
        <v>609</v>
      </c>
      <c r="D207" s="60" t="s">
        <v>610</v>
      </c>
      <c r="E207" s="61" t="s">
        <v>46</v>
      </c>
      <c r="F207" s="62" t="s">
        <v>46</v>
      </c>
      <c r="G207" s="63" t="s">
        <v>46</v>
      </c>
      <c r="H207" s="64"/>
      <c r="I207" s="64" t="s">
        <v>577</v>
      </c>
      <c r="J207" s="65">
        <v>1</v>
      </c>
      <c r="K207" s="66">
        <f>7730</f>
        <v>7730</v>
      </c>
      <c r="L207" s="67" t="s">
        <v>833</v>
      </c>
      <c r="M207" s="66">
        <f>8290</f>
        <v>8290</v>
      </c>
      <c r="N207" s="67" t="s">
        <v>814</v>
      </c>
      <c r="O207" s="66">
        <f>5640</f>
        <v>5640</v>
      </c>
      <c r="P207" s="67" t="s">
        <v>820</v>
      </c>
      <c r="Q207" s="66">
        <f>6630</f>
        <v>6630</v>
      </c>
      <c r="R207" s="67" t="s">
        <v>51</v>
      </c>
      <c r="S207" s="68">
        <f>6835.71</f>
        <v>6835.71</v>
      </c>
      <c r="T207" s="65">
        <f>109371</f>
        <v>109371</v>
      </c>
      <c r="U207" s="65" t="str">
        <f>"－"</f>
        <v>－</v>
      </c>
      <c r="V207" s="65">
        <f>746408620</f>
        <v>746408620</v>
      </c>
      <c r="W207" s="65" t="str">
        <f>"－"</f>
        <v>－</v>
      </c>
      <c r="X207" s="69">
        <f>21</f>
        <v>21</v>
      </c>
    </row>
    <row r="208" spans="1:24">
      <c r="A208" s="60" t="s">
        <v>832</v>
      </c>
      <c r="B208" s="60" t="s">
        <v>611</v>
      </c>
      <c r="C208" s="60" t="s">
        <v>612</v>
      </c>
      <c r="D208" s="60" t="s">
        <v>613</v>
      </c>
      <c r="E208" s="61" t="s">
        <v>46</v>
      </c>
      <c r="F208" s="62" t="s">
        <v>46</v>
      </c>
      <c r="G208" s="63" t="s">
        <v>46</v>
      </c>
      <c r="H208" s="64"/>
      <c r="I208" s="64" t="s">
        <v>577</v>
      </c>
      <c r="J208" s="65">
        <v>1</v>
      </c>
      <c r="K208" s="66">
        <f>11280</f>
        <v>11280</v>
      </c>
      <c r="L208" s="67" t="s">
        <v>833</v>
      </c>
      <c r="M208" s="66">
        <f>11280</f>
        <v>11280</v>
      </c>
      <c r="N208" s="67" t="s">
        <v>833</v>
      </c>
      <c r="O208" s="66">
        <f>8110</f>
        <v>8110</v>
      </c>
      <c r="P208" s="67" t="s">
        <v>99</v>
      </c>
      <c r="Q208" s="66">
        <f>8890</f>
        <v>8890</v>
      </c>
      <c r="R208" s="67" t="s">
        <v>51</v>
      </c>
      <c r="S208" s="68">
        <f>9598.24</f>
        <v>9598.24</v>
      </c>
      <c r="T208" s="65">
        <f>1063</f>
        <v>1063</v>
      </c>
      <c r="U208" s="65" t="str">
        <f>"－"</f>
        <v>－</v>
      </c>
      <c r="V208" s="65">
        <f>10790620</f>
        <v>10790620</v>
      </c>
      <c r="W208" s="65" t="str">
        <f>"－"</f>
        <v>－</v>
      </c>
      <c r="X208" s="69">
        <f>17</f>
        <v>17</v>
      </c>
    </row>
    <row r="209" spans="1:24">
      <c r="A209" s="60" t="s">
        <v>832</v>
      </c>
      <c r="B209" s="60" t="s">
        <v>614</v>
      </c>
      <c r="C209" s="60" t="s">
        <v>615</v>
      </c>
      <c r="D209" s="60" t="s">
        <v>616</v>
      </c>
      <c r="E209" s="61" t="s">
        <v>46</v>
      </c>
      <c r="F209" s="62" t="s">
        <v>46</v>
      </c>
      <c r="G209" s="63" t="s">
        <v>46</v>
      </c>
      <c r="H209" s="64"/>
      <c r="I209" s="64" t="s">
        <v>577</v>
      </c>
      <c r="J209" s="65">
        <v>1</v>
      </c>
      <c r="K209" s="66">
        <f>13330</f>
        <v>13330</v>
      </c>
      <c r="L209" s="67" t="s">
        <v>833</v>
      </c>
      <c r="M209" s="66">
        <f>14150</f>
        <v>14150</v>
      </c>
      <c r="N209" s="67" t="s">
        <v>817</v>
      </c>
      <c r="O209" s="66">
        <f>10020</f>
        <v>10020</v>
      </c>
      <c r="P209" s="67" t="s">
        <v>99</v>
      </c>
      <c r="Q209" s="66">
        <f>11600</f>
        <v>11600</v>
      </c>
      <c r="R209" s="67" t="s">
        <v>51</v>
      </c>
      <c r="S209" s="68">
        <f>11943.81</f>
        <v>11943.81</v>
      </c>
      <c r="T209" s="65">
        <f>47565</f>
        <v>47565</v>
      </c>
      <c r="U209" s="65" t="str">
        <f>"－"</f>
        <v>－</v>
      </c>
      <c r="V209" s="65">
        <f>571717320</f>
        <v>571717320</v>
      </c>
      <c r="W209" s="65" t="str">
        <f>"－"</f>
        <v>－</v>
      </c>
      <c r="X209" s="69">
        <f>21</f>
        <v>21</v>
      </c>
    </row>
    <row r="210" spans="1:24">
      <c r="A210" s="60" t="s">
        <v>832</v>
      </c>
      <c r="B210" s="60" t="s">
        <v>617</v>
      </c>
      <c r="C210" s="60" t="s">
        <v>618</v>
      </c>
      <c r="D210" s="60" t="s">
        <v>619</v>
      </c>
      <c r="E210" s="61" t="s">
        <v>46</v>
      </c>
      <c r="F210" s="62" t="s">
        <v>46</v>
      </c>
      <c r="G210" s="63" t="s">
        <v>46</v>
      </c>
      <c r="H210" s="64"/>
      <c r="I210" s="64" t="s">
        <v>577</v>
      </c>
      <c r="J210" s="65">
        <v>1</v>
      </c>
      <c r="K210" s="66">
        <f>13200</f>
        <v>13200</v>
      </c>
      <c r="L210" s="67" t="s">
        <v>833</v>
      </c>
      <c r="M210" s="66">
        <f>13730</f>
        <v>13730</v>
      </c>
      <c r="N210" s="67" t="s">
        <v>48</v>
      </c>
      <c r="O210" s="66">
        <f>8680</f>
        <v>8680</v>
      </c>
      <c r="P210" s="67" t="s">
        <v>175</v>
      </c>
      <c r="Q210" s="66">
        <f>10000</f>
        <v>10000</v>
      </c>
      <c r="R210" s="67" t="s">
        <v>51</v>
      </c>
      <c r="S210" s="68">
        <f>11249.52</f>
        <v>11249.52</v>
      </c>
      <c r="T210" s="65">
        <f>5731</f>
        <v>5731</v>
      </c>
      <c r="U210" s="65" t="str">
        <f>"－"</f>
        <v>－</v>
      </c>
      <c r="V210" s="65">
        <f>58405200</f>
        <v>58405200</v>
      </c>
      <c r="W210" s="65" t="str">
        <f>"－"</f>
        <v>－</v>
      </c>
      <c r="X210" s="69">
        <f>21</f>
        <v>21</v>
      </c>
    </row>
    <row r="211" spans="1:24">
      <c r="A211" s="60" t="s">
        <v>832</v>
      </c>
      <c r="B211" s="60" t="s">
        <v>620</v>
      </c>
      <c r="C211" s="60" t="s">
        <v>621</v>
      </c>
      <c r="D211" s="60" t="s">
        <v>622</v>
      </c>
      <c r="E211" s="61" t="s">
        <v>46</v>
      </c>
      <c r="F211" s="62" t="s">
        <v>46</v>
      </c>
      <c r="G211" s="63" t="s">
        <v>46</v>
      </c>
      <c r="H211" s="64"/>
      <c r="I211" s="64" t="s">
        <v>577</v>
      </c>
      <c r="J211" s="65">
        <v>1</v>
      </c>
      <c r="K211" s="66">
        <f>8970</f>
        <v>8970</v>
      </c>
      <c r="L211" s="67" t="s">
        <v>833</v>
      </c>
      <c r="M211" s="66">
        <f>9110</f>
        <v>9110</v>
      </c>
      <c r="N211" s="67" t="s">
        <v>833</v>
      </c>
      <c r="O211" s="66">
        <f>3750</f>
        <v>3750</v>
      </c>
      <c r="P211" s="67" t="s">
        <v>175</v>
      </c>
      <c r="Q211" s="66">
        <f>4595</f>
        <v>4595</v>
      </c>
      <c r="R211" s="67" t="s">
        <v>51</v>
      </c>
      <c r="S211" s="68">
        <f>6156.43</f>
        <v>6156.43</v>
      </c>
      <c r="T211" s="65">
        <f>108778</f>
        <v>108778</v>
      </c>
      <c r="U211" s="65">
        <f>702</f>
        <v>702</v>
      </c>
      <c r="V211" s="65">
        <f>570469700</f>
        <v>570469700</v>
      </c>
      <c r="W211" s="65">
        <f>4813200</f>
        <v>4813200</v>
      </c>
      <c r="X211" s="69">
        <f>21</f>
        <v>21</v>
      </c>
    </row>
    <row r="212" spans="1:24">
      <c r="A212" s="60" t="s">
        <v>832</v>
      </c>
      <c r="B212" s="60" t="s">
        <v>623</v>
      </c>
      <c r="C212" s="60" t="s">
        <v>624</v>
      </c>
      <c r="D212" s="60" t="s">
        <v>625</v>
      </c>
      <c r="E212" s="61" t="s">
        <v>46</v>
      </c>
      <c r="F212" s="62" t="s">
        <v>46</v>
      </c>
      <c r="G212" s="63" t="s">
        <v>46</v>
      </c>
      <c r="H212" s="64"/>
      <c r="I212" s="64" t="s">
        <v>577</v>
      </c>
      <c r="J212" s="65">
        <v>1</v>
      </c>
      <c r="K212" s="66">
        <f>7100</f>
        <v>7100</v>
      </c>
      <c r="L212" s="67" t="s">
        <v>833</v>
      </c>
      <c r="M212" s="66">
        <f>10070</f>
        <v>10070</v>
      </c>
      <c r="N212" s="67" t="s">
        <v>99</v>
      </c>
      <c r="O212" s="66">
        <f>6480</f>
        <v>6480</v>
      </c>
      <c r="P212" s="67" t="s">
        <v>817</v>
      </c>
      <c r="Q212" s="66">
        <f>8040</f>
        <v>8040</v>
      </c>
      <c r="R212" s="67" t="s">
        <v>51</v>
      </c>
      <c r="S212" s="68">
        <f>7650.95</f>
        <v>7650.95</v>
      </c>
      <c r="T212" s="65">
        <f>31197</f>
        <v>31197</v>
      </c>
      <c r="U212" s="65">
        <f>26</f>
        <v>26</v>
      </c>
      <c r="V212" s="65">
        <f>264124270</f>
        <v>264124270</v>
      </c>
      <c r="W212" s="65">
        <f>207560</f>
        <v>207560</v>
      </c>
      <c r="X212" s="69">
        <f>21</f>
        <v>21</v>
      </c>
    </row>
    <row r="213" spans="1:24">
      <c r="A213" s="60" t="s">
        <v>832</v>
      </c>
      <c r="B213" s="60" t="s">
        <v>626</v>
      </c>
      <c r="C213" s="60" t="s">
        <v>627</v>
      </c>
      <c r="D213" s="60" t="s">
        <v>628</v>
      </c>
      <c r="E213" s="61" t="s">
        <v>46</v>
      </c>
      <c r="F213" s="62" t="s">
        <v>46</v>
      </c>
      <c r="G213" s="63" t="s">
        <v>46</v>
      </c>
      <c r="H213" s="64"/>
      <c r="I213" s="64" t="s">
        <v>577</v>
      </c>
      <c r="J213" s="65">
        <v>1</v>
      </c>
      <c r="K213" s="66">
        <f>9100</f>
        <v>9100</v>
      </c>
      <c r="L213" s="67" t="s">
        <v>833</v>
      </c>
      <c r="M213" s="66">
        <f>9300</f>
        <v>9300</v>
      </c>
      <c r="N213" s="67" t="s">
        <v>833</v>
      </c>
      <c r="O213" s="66">
        <f>6770</f>
        <v>6770</v>
      </c>
      <c r="P213" s="67" t="s">
        <v>820</v>
      </c>
      <c r="Q213" s="66">
        <f>8230</f>
        <v>8230</v>
      </c>
      <c r="R213" s="67" t="s">
        <v>51</v>
      </c>
      <c r="S213" s="68">
        <f>7991.67</f>
        <v>7991.67</v>
      </c>
      <c r="T213" s="65">
        <f>7081</f>
        <v>7081</v>
      </c>
      <c r="U213" s="65" t="str">
        <f>"－"</f>
        <v>－</v>
      </c>
      <c r="V213" s="65">
        <f>54253020</f>
        <v>54253020</v>
      </c>
      <c r="W213" s="65" t="str">
        <f>"－"</f>
        <v>－</v>
      </c>
      <c r="X213" s="69">
        <f>18</f>
        <v>18</v>
      </c>
    </row>
    <row r="214" spans="1:24">
      <c r="A214" s="60" t="s">
        <v>832</v>
      </c>
      <c r="B214" s="60" t="s">
        <v>629</v>
      </c>
      <c r="C214" s="60" t="s">
        <v>630</v>
      </c>
      <c r="D214" s="60" t="s">
        <v>631</v>
      </c>
      <c r="E214" s="61" t="s">
        <v>46</v>
      </c>
      <c r="F214" s="62" t="s">
        <v>46</v>
      </c>
      <c r="G214" s="63" t="s">
        <v>46</v>
      </c>
      <c r="H214" s="64"/>
      <c r="I214" s="64" t="s">
        <v>577</v>
      </c>
      <c r="J214" s="65">
        <v>1</v>
      </c>
      <c r="K214" s="66">
        <f>9180</f>
        <v>9180</v>
      </c>
      <c r="L214" s="67" t="s">
        <v>833</v>
      </c>
      <c r="M214" s="66">
        <f>9280</f>
        <v>9280</v>
      </c>
      <c r="N214" s="67" t="s">
        <v>817</v>
      </c>
      <c r="O214" s="66">
        <f>7120</f>
        <v>7120</v>
      </c>
      <c r="P214" s="67" t="s">
        <v>820</v>
      </c>
      <c r="Q214" s="66">
        <f>8580</f>
        <v>8580</v>
      </c>
      <c r="R214" s="67" t="s">
        <v>51</v>
      </c>
      <c r="S214" s="68">
        <f>8329.41</f>
        <v>8329.41</v>
      </c>
      <c r="T214" s="65">
        <f>6556</f>
        <v>6556</v>
      </c>
      <c r="U214" s="65">
        <f>4000</f>
        <v>4000</v>
      </c>
      <c r="V214" s="65">
        <f>58988990</f>
        <v>58988990</v>
      </c>
      <c r="W214" s="65">
        <f>37560000</f>
        <v>37560000</v>
      </c>
      <c r="X214" s="69">
        <f>17</f>
        <v>17</v>
      </c>
    </row>
    <row r="215" spans="1:24">
      <c r="A215" s="60" t="s">
        <v>832</v>
      </c>
      <c r="B215" s="60" t="s">
        <v>632</v>
      </c>
      <c r="C215" s="60" t="s">
        <v>633</v>
      </c>
      <c r="D215" s="60" t="s">
        <v>634</v>
      </c>
      <c r="E215" s="61" t="s">
        <v>46</v>
      </c>
      <c r="F215" s="62" t="s">
        <v>46</v>
      </c>
      <c r="G215" s="63" t="s">
        <v>46</v>
      </c>
      <c r="H215" s="64"/>
      <c r="I215" s="64" t="s">
        <v>577</v>
      </c>
      <c r="J215" s="65">
        <v>1</v>
      </c>
      <c r="K215" s="66">
        <f>10390</f>
        <v>10390</v>
      </c>
      <c r="L215" s="67" t="s">
        <v>833</v>
      </c>
      <c r="M215" s="66">
        <f>10440</f>
        <v>10440</v>
      </c>
      <c r="N215" s="67" t="s">
        <v>833</v>
      </c>
      <c r="O215" s="66">
        <f>7960</f>
        <v>7960</v>
      </c>
      <c r="P215" s="67" t="s">
        <v>820</v>
      </c>
      <c r="Q215" s="66">
        <f>9690</f>
        <v>9690</v>
      </c>
      <c r="R215" s="67" t="s">
        <v>51</v>
      </c>
      <c r="S215" s="68">
        <f>9273.33</f>
        <v>9273.33</v>
      </c>
      <c r="T215" s="65">
        <f>2584</f>
        <v>2584</v>
      </c>
      <c r="U215" s="65" t="str">
        <f>"－"</f>
        <v>－</v>
      </c>
      <c r="V215" s="65">
        <f>24355090</f>
        <v>24355090</v>
      </c>
      <c r="W215" s="65" t="str">
        <f>"－"</f>
        <v>－</v>
      </c>
      <c r="X215" s="69">
        <f>18</f>
        <v>18</v>
      </c>
    </row>
    <row r="216" spans="1:24">
      <c r="A216" s="60" t="s">
        <v>832</v>
      </c>
      <c r="B216" s="60" t="s">
        <v>635</v>
      </c>
      <c r="C216" s="60" t="s">
        <v>636</v>
      </c>
      <c r="D216" s="60" t="s">
        <v>637</v>
      </c>
      <c r="E216" s="61" t="s">
        <v>46</v>
      </c>
      <c r="F216" s="62" t="s">
        <v>46</v>
      </c>
      <c r="G216" s="63" t="s">
        <v>46</v>
      </c>
      <c r="H216" s="64"/>
      <c r="I216" s="64" t="s">
        <v>577</v>
      </c>
      <c r="J216" s="65">
        <v>1</v>
      </c>
      <c r="K216" s="66">
        <f>12430</f>
        <v>12430</v>
      </c>
      <c r="L216" s="67" t="s">
        <v>833</v>
      </c>
      <c r="M216" s="66">
        <f>13140</f>
        <v>13140</v>
      </c>
      <c r="N216" s="67" t="s">
        <v>814</v>
      </c>
      <c r="O216" s="66">
        <f>7350</f>
        <v>7350</v>
      </c>
      <c r="P216" s="67" t="s">
        <v>819</v>
      </c>
      <c r="Q216" s="66">
        <f>9970</f>
        <v>9970</v>
      </c>
      <c r="R216" s="67" t="s">
        <v>51</v>
      </c>
      <c r="S216" s="68">
        <f>10459.44</f>
        <v>10459.44</v>
      </c>
      <c r="T216" s="65">
        <f>5763</f>
        <v>5763</v>
      </c>
      <c r="U216" s="65" t="str">
        <f>"－"</f>
        <v>－</v>
      </c>
      <c r="V216" s="65">
        <f>58236270</f>
        <v>58236270</v>
      </c>
      <c r="W216" s="65" t="str">
        <f>"－"</f>
        <v>－</v>
      </c>
      <c r="X216" s="69">
        <f>18</f>
        <v>18</v>
      </c>
    </row>
    <row r="217" spans="1:24">
      <c r="A217" s="60" t="s">
        <v>832</v>
      </c>
      <c r="B217" s="60" t="s">
        <v>638</v>
      </c>
      <c r="C217" s="60" t="s">
        <v>639</v>
      </c>
      <c r="D217" s="60" t="s">
        <v>640</v>
      </c>
      <c r="E217" s="61" t="s">
        <v>46</v>
      </c>
      <c r="F217" s="62" t="s">
        <v>46</v>
      </c>
      <c r="G217" s="63" t="s">
        <v>46</v>
      </c>
      <c r="H217" s="64"/>
      <c r="I217" s="64" t="s">
        <v>577</v>
      </c>
      <c r="J217" s="65">
        <v>1</v>
      </c>
      <c r="K217" s="66">
        <f>9760</f>
        <v>9760</v>
      </c>
      <c r="L217" s="67" t="s">
        <v>833</v>
      </c>
      <c r="M217" s="66">
        <f>9980</f>
        <v>9980</v>
      </c>
      <c r="N217" s="67" t="s">
        <v>814</v>
      </c>
      <c r="O217" s="66">
        <f>7480</f>
        <v>7480</v>
      </c>
      <c r="P217" s="67" t="s">
        <v>79</v>
      </c>
      <c r="Q217" s="66">
        <f>8720</f>
        <v>8720</v>
      </c>
      <c r="R217" s="67" t="s">
        <v>51</v>
      </c>
      <c r="S217" s="68">
        <f>8732.78</f>
        <v>8732.7800000000007</v>
      </c>
      <c r="T217" s="65">
        <f>3880</f>
        <v>3880</v>
      </c>
      <c r="U217" s="65" t="str">
        <f>"－"</f>
        <v>－</v>
      </c>
      <c r="V217" s="65">
        <f>34024230</f>
        <v>34024230</v>
      </c>
      <c r="W217" s="65" t="str">
        <f>"－"</f>
        <v>－</v>
      </c>
      <c r="X217" s="69">
        <f>18</f>
        <v>18</v>
      </c>
    </row>
    <row r="218" spans="1:24">
      <c r="A218" s="60" t="s">
        <v>832</v>
      </c>
      <c r="B218" s="60" t="s">
        <v>641</v>
      </c>
      <c r="C218" s="60" t="s">
        <v>642</v>
      </c>
      <c r="D218" s="60" t="s">
        <v>643</v>
      </c>
      <c r="E218" s="61" t="s">
        <v>46</v>
      </c>
      <c r="F218" s="62" t="s">
        <v>46</v>
      </c>
      <c r="G218" s="63" t="s">
        <v>46</v>
      </c>
      <c r="H218" s="64"/>
      <c r="I218" s="64" t="s">
        <v>577</v>
      </c>
      <c r="J218" s="65">
        <v>1</v>
      </c>
      <c r="K218" s="66">
        <f>8840</f>
        <v>8840</v>
      </c>
      <c r="L218" s="67" t="s">
        <v>833</v>
      </c>
      <c r="M218" s="66">
        <f>8850</f>
        <v>8850</v>
      </c>
      <c r="N218" s="67" t="s">
        <v>818</v>
      </c>
      <c r="O218" s="66">
        <f>6710</f>
        <v>6710</v>
      </c>
      <c r="P218" s="67" t="s">
        <v>99</v>
      </c>
      <c r="Q218" s="66">
        <f>6710</f>
        <v>6710</v>
      </c>
      <c r="R218" s="67" t="s">
        <v>99</v>
      </c>
      <c r="S218" s="68">
        <f>7550</f>
        <v>7550</v>
      </c>
      <c r="T218" s="65">
        <f>382</f>
        <v>382</v>
      </c>
      <c r="U218" s="65" t="str">
        <f>"－"</f>
        <v>－</v>
      </c>
      <c r="V218" s="65">
        <f>2657210</f>
        <v>2657210</v>
      </c>
      <c r="W218" s="65" t="str">
        <f>"－"</f>
        <v>－</v>
      </c>
      <c r="X218" s="69">
        <f>6</f>
        <v>6</v>
      </c>
    </row>
    <row r="219" spans="1:24">
      <c r="A219" s="60" t="s">
        <v>832</v>
      </c>
      <c r="B219" s="60" t="s">
        <v>644</v>
      </c>
      <c r="C219" s="60" t="s">
        <v>645</v>
      </c>
      <c r="D219" s="60" t="s">
        <v>646</v>
      </c>
      <c r="E219" s="61" t="s">
        <v>46</v>
      </c>
      <c r="F219" s="62" t="s">
        <v>46</v>
      </c>
      <c r="G219" s="63" t="s">
        <v>46</v>
      </c>
      <c r="H219" s="64"/>
      <c r="I219" s="64" t="s">
        <v>577</v>
      </c>
      <c r="J219" s="65">
        <v>1</v>
      </c>
      <c r="K219" s="66">
        <f>10620</f>
        <v>10620</v>
      </c>
      <c r="L219" s="67" t="s">
        <v>833</v>
      </c>
      <c r="M219" s="66">
        <f>10860</f>
        <v>10860</v>
      </c>
      <c r="N219" s="67" t="s">
        <v>91</v>
      </c>
      <c r="O219" s="66">
        <f>9020</f>
        <v>9020</v>
      </c>
      <c r="P219" s="67" t="s">
        <v>79</v>
      </c>
      <c r="Q219" s="66">
        <f>10780</f>
        <v>10780</v>
      </c>
      <c r="R219" s="67" t="s">
        <v>50</v>
      </c>
      <c r="S219" s="68">
        <f>10009</f>
        <v>10009</v>
      </c>
      <c r="T219" s="65">
        <f>942</f>
        <v>942</v>
      </c>
      <c r="U219" s="65" t="str">
        <f>"－"</f>
        <v>－</v>
      </c>
      <c r="V219" s="65">
        <f>9716030</f>
        <v>9716030</v>
      </c>
      <c r="W219" s="65" t="str">
        <f>"－"</f>
        <v>－</v>
      </c>
      <c r="X219" s="69">
        <f>10</f>
        <v>10</v>
      </c>
    </row>
    <row r="220" spans="1:24">
      <c r="A220" s="60" t="s">
        <v>832</v>
      </c>
      <c r="B220" s="60" t="s">
        <v>647</v>
      </c>
      <c r="C220" s="60" t="s">
        <v>648</v>
      </c>
      <c r="D220" s="60" t="s">
        <v>649</v>
      </c>
      <c r="E220" s="61" t="s">
        <v>46</v>
      </c>
      <c r="F220" s="62" t="s">
        <v>46</v>
      </c>
      <c r="G220" s="63" t="s">
        <v>46</v>
      </c>
      <c r="H220" s="64"/>
      <c r="I220" s="64" t="s">
        <v>47</v>
      </c>
      <c r="J220" s="65">
        <v>10</v>
      </c>
      <c r="K220" s="66">
        <f>1031</f>
        <v>1031</v>
      </c>
      <c r="L220" s="67" t="s">
        <v>833</v>
      </c>
      <c r="M220" s="66">
        <f>1031</f>
        <v>1031</v>
      </c>
      <c r="N220" s="67" t="s">
        <v>833</v>
      </c>
      <c r="O220" s="66">
        <f>985</f>
        <v>985</v>
      </c>
      <c r="P220" s="67" t="s">
        <v>815</v>
      </c>
      <c r="Q220" s="66">
        <f>1006</f>
        <v>1006</v>
      </c>
      <c r="R220" s="67" t="s">
        <v>51</v>
      </c>
      <c r="S220" s="68">
        <f>1007.33</f>
        <v>1007.33</v>
      </c>
      <c r="T220" s="65">
        <f>612210</f>
        <v>612210</v>
      </c>
      <c r="U220" s="65">
        <f>526580</f>
        <v>526580</v>
      </c>
      <c r="V220" s="65">
        <f>619319180</f>
        <v>619319180</v>
      </c>
      <c r="W220" s="65">
        <f>533010940</f>
        <v>533010940</v>
      </c>
      <c r="X220" s="69">
        <f>21</f>
        <v>21</v>
      </c>
    </row>
    <row r="221" spans="1:24">
      <c r="A221" s="60" t="s">
        <v>832</v>
      </c>
      <c r="B221" s="60" t="s">
        <v>650</v>
      </c>
      <c r="C221" s="60" t="s">
        <v>651</v>
      </c>
      <c r="D221" s="60" t="s">
        <v>652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f>1010</f>
        <v>1010</v>
      </c>
      <c r="L221" s="67" t="s">
        <v>833</v>
      </c>
      <c r="M221" s="66">
        <f>1010</f>
        <v>1010</v>
      </c>
      <c r="N221" s="67" t="s">
        <v>833</v>
      </c>
      <c r="O221" s="66">
        <f>935</f>
        <v>935</v>
      </c>
      <c r="P221" s="67" t="s">
        <v>819</v>
      </c>
      <c r="Q221" s="66">
        <f>986</f>
        <v>986</v>
      </c>
      <c r="R221" s="67" t="s">
        <v>51</v>
      </c>
      <c r="S221" s="68">
        <f>972.57</f>
        <v>972.57</v>
      </c>
      <c r="T221" s="65">
        <f>140260</f>
        <v>140260</v>
      </c>
      <c r="U221" s="65" t="str">
        <f>"－"</f>
        <v>－</v>
      </c>
      <c r="V221" s="65">
        <f>136623820</f>
        <v>136623820</v>
      </c>
      <c r="W221" s="65" t="str">
        <f>"－"</f>
        <v>－</v>
      </c>
      <c r="X221" s="69">
        <f>21</f>
        <v>21</v>
      </c>
    </row>
    <row r="222" spans="1:24">
      <c r="A222" s="60" t="s">
        <v>832</v>
      </c>
      <c r="B222" s="60" t="s">
        <v>653</v>
      </c>
      <c r="C222" s="60" t="s">
        <v>654</v>
      </c>
      <c r="D222" s="60" t="s">
        <v>655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1050</f>
        <v>1050</v>
      </c>
      <c r="L222" s="67" t="s">
        <v>833</v>
      </c>
      <c r="M222" s="66">
        <f>1061</f>
        <v>1061</v>
      </c>
      <c r="N222" s="67" t="s">
        <v>834</v>
      </c>
      <c r="O222" s="66">
        <f>1020</f>
        <v>1020</v>
      </c>
      <c r="P222" s="67" t="s">
        <v>819</v>
      </c>
      <c r="Q222" s="66">
        <f>1050</f>
        <v>1050</v>
      </c>
      <c r="R222" s="67" t="s">
        <v>51</v>
      </c>
      <c r="S222" s="68">
        <f>1043.33</f>
        <v>1043.33</v>
      </c>
      <c r="T222" s="65">
        <f>1067440</f>
        <v>1067440</v>
      </c>
      <c r="U222" s="65">
        <f>1020000</f>
        <v>1020000</v>
      </c>
      <c r="V222" s="65">
        <f>1084612626</f>
        <v>1084612626</v>
      </c>
      <c r="W222" s="65">
        <f>1035183516</f>
        <v>1035183516</v>
      </c>
      <c r="X222" s="69">
        <f>21</f>
        <v>21</v>
      </c>
    </row>
    <row r="223" spans="1:24">
      <c r="A223" s="60" t="s">
        <v>832</v>
      </c>
      <c r="B223" s="60" t="s">
        <v>656</v>
      </c>
      <c r="C223" s="60" t="s">
        <v>657</v>
      </c>
      <c r="D223" s="60" t="s">
        <v>658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1039</f>
        <v>1039</v>
      </c>
      <c r="L223" s="67" t="s">
        <v>833</v>
      </c>
      <c r="M223" s="66">
        <f>1173</f>
        <v>1173</v>
      </c>
      <c r="N223" s="67" t="s">
        <v>814</v>
      </c>
      <c r="O223" s="66">
        <f>757</f>
        <v>757</v>
      </c>
      <c r="P223" s="67" t="s">
        <v>99</v>
      </c>
      <c r="Q223" s="66">
        <f>890</f>
        <v>890</v>
      </c>
      <c r="R223" s="67" t="s">
        <v>51</v>
      </c>
      <c r="S223" s="68">
        <f>920.29</f>
        <v>920.29</v>
      </c>
      <c r="T223" s="65">
        <f>970570</f>
        <v>970570</v>
      </c>
      <c r="U223" s="65">
        <f>599000</f>
        <v>599000</v>
      </c>
      <c r="V223" s="65">
        <f>851119380</f>
        <v>851119380</v>
      </c>
      <c r="W223" s="65">
        <f>526313100</f>
        <v>526313100</v>
      </c>
      <c r="X223" s="69">
        <f>21</f>
        <v>21</v>
      </c>
    </row>
    <row r="224" spans="1:24">
      <c r="A224" s="60" t="s">
        <v>832</v>
      </c>
      <c r="B224" s="60" t="s">
        <v>659</v>
      </c>
      <c r="C224" s="60" t="s">
        <v>660</v>
      </c>
      <c r="D224" s="60" t="s">
        <v>661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1058</f>
        <v>1058</v>
      </c>
      <c r="L224" s="67" t="s">
        <v>833</v>
      </c>
      <c r="M224" s="66">
        <f>1150</f>
        <v>1150</v>
      </c>
      <c r="N224" s="67" t="s">
        <v>817</v>
      </c>
      <c r="O224" s="66">
        <f>773</f>
        <v>773</v>
      </c>
      <c r="P224" s="67" t="s">
        <v>99</v>
      </c>
      <c r="Q224" s="66">
        <f>913</f>
        <v>913</v>
      </c>
      <c r="R224" s="67" t="s">
        <v>51</v>
      </c>
      <c r="S224" s="68">
        <f>938.29</f>
        <v>938.29</v>
      </c>
      <c r="T224" s="65">
        <f>702700</f>
        <v>702700</v>
      </c>
      <c r="U224" s="65">
        <f>171000</f>
        <v>171000</v>
      </c>
      <c r="V224" s="65">
        <f>609117990</f>
        <v>609117990</v>
      </c>
      <c r="W224" s="65">
        <f>155912000</f>
        <v>155912000</v>
      </c>
      <c r="X224" s="69">
        <f>21</f>
        <v>21</v>
      </c>
    </row>
    <row r="225" spans="1:24">
      <c r="A225" s="60" t="s">
        <v>832</v>
      </c>
      <c r="B225" s="60" t="s">
        <v>662</v>
      </c>
      <c r="C225" s="60" t="s">
        <v>663</v>
      </c>
      <c r="D225" s="60" t="s">
        <v>664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1032</f>
        <v>1032</v>
      </c>
      <c r="L225" s="67" t="s">
        <v>833</v>
      </c>
      <c r="M225" s="66">
        <f>1150</f>
        <v>1150</v>
      </c>
      <c r="N225" s="67" t="s">
        <v>814</v>
      </c>
      <c r="O225" s="66">
        <f>639</f>
        <v>639</v>
      </c>
      <c r="P225" s="67" t="s">
        <v>819</v>
      </c>
      <c r="Q225" s="66">
        <f>765</f>
        <v>765</v>
      </c>
      <c r="R225" s="67" t="s">
        <v>51</v>
      </c>
      <c r="S225" s="68">
        <f>849.14</f>
        <v>849.14</v>
      </c>
      <c r="T225" s="65">
        <f>1459210</f>
        <v>1459210</v>
      </c>
      <c r="U225" s="65">
        <f>157860</f>
        <v>157860</v>
      </c>
      <c r="V225" s="65">
        <f>1154132114</f>
        <v>1154132114</v>
      </c>
      <c r="W225" s="65">
        <f>126208544</f>
        <v>126208544</v>
      </c>
      <c r="X225" s="69">
        <f>21</f>
        <v>21</v>
      </c>
    </row>
    <row r="226" spans="1:24">
      <c r="A226" s="60" t="s">
        <v>832</v>
      </c>
      <c r="B226" s="60" t="s">
        <v>665</v>
      </c>
      <c r="C226" s="60" t="s">
        <v>666</v>
      </c>
      <c r="D226" s="60" t="s">
        <v>667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10</v>
      </c>
      <c r="K226" s="66">
        <f>548</f>
        <v>548</v>
      </c>
      <c r="L226" s="67" t="s">
        <v>833</v>
      </c>
      <c r="M226" s="66">
        <f>589</f>
        <v>589</v>
      </c>
      <c r="N226" s="67" t="s">
        <v>814</v>
      </c>
      <c r="O226" s="66">
        <f>404</f>
        <v>404</v>
      </c>
      <c r="P226" s="67" t="s">
        <v>79</v>
      </c>
      <c r="Q226" s="66">
        <f>475</f>
        <v>475</v>
      </c>
      <c r="R226" s="67" t="s">
        <v>51</v>
      </c>
      <c r="S226" s="68">
        <f>485.29</f>
        <v>485.29</v>
      </c>
      <c r="T226" s="65">
        <f>4693280</f>
        <v>4693280</v>
      </c>
      <c r="U226" s="65">
        <f>101090</f>
        <v>101090</v>
      </c>
      <c r="V226" s="65">
        <f>2287233240</f>
        <v>2287233240</v>
      </c>
      <c r="W226" s="65">
        <f>56269420</f>
        <v>56269420</v>
      </c>
      <c r="X226" s="69">
        <f>21</f>
        <v>21</v>
      </c>
    </row>
    <row r="227" spans="1:24">
      <c r="A227" s="60" t="s">
        <v>832</v>
      </c>
      <c r="B227" s="60" t="s">
        <v>668</v>
      </c>
      <c r="C227" s="60" t="s">
        <v>669</v>
      </c>
      <c r="D227" s="60" t="s">
        <v>670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1167</f>
        <v>1167</v>
      </c>
      <c r="L227" s="67" t="s">
        <v>833</v>
      </c>
      <c r="M227" s="66">
        <f>1233</f>
        <v>1233</v>
      </c>
      <c r="N227" s="67" t="s">
        <v>817</v>
      </c>
      <c r="O227" s="66">
        <f>694</f>
        <v>694</v>
      </c>
      <c r="P227" s="67" t="s">
        <v>819</v>
      </c>
      <c r="Q227" s="66">
        <f>919</f>
        <v>919</v>
      </c>
      <c r="R227" s="67" t="s">
        <v>51</v>
      </c>
      <c r="S227" s="68">
        <f>1000.95</f>
        <v>1000.95</v>
      </c>
      <c r="T227" s="65">
        <f>14427060</f>
        <v>14427060</v>
      </c>
      <c r="U227" s="65">
        <f>13451260</f>
        <v>13451260</v>
      </c>
      <c r="V227" s="65">
        <f>14933853100</f>
        <v>14933853100</v>
      </c>
      <c r="W227" s="65">
        <f>13933021990</f>
        <v>13933021990</v>
      </c>
      <c r="X227" s="69">
        <f>21</f>
        <v>21</v>
      </c>
    </row>
    <row r="228" spans="1:24">
      <c r="A228" s="60" t="s">
        <v>832</v>
      </c>
      <c r="B228" s="60" t="s">
        <v>671</v>
      </c>
      <c r="C228" s="60" t="s">
        <v>672</v>
      </c>
      <c r="D228" s="60" t="s">
        <v>673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</v>
      </c>
      <c r="K228" s="66">
        <f>866</f>
        <v>866</v>
      </c>
      <c r="L228" s="67" t="s">
        <v>833</v>
      </c>
      <c r="M228" s="66">
        <f>901</f>
        <v>901</v>
      </c>
      <c r="N228" s="67" t="s">
        <v>814</v>
      </c>
      <c r="O228" s="66">
        <f>707</f>
        <v>707</v>
      </c>
      <c r="P228" s="67" t="s">
        <v>820</v>
      </c>
      <c r="Q228" s="66">
        <f>843</f>
        <v>843</v>
      </c>
      <c r="R228" s="67" t="s">
        <v>51</v>
      </c>
      <c r="S228" s="68">
        <f>816.1</f>
        <v>816.1</v>
      </c>
      <c r="T228" s="65">
        <f>403904</f>
        <v>403904</v>
      </c>
      <c r="U228" s="65" t="str">
        <f>"－"</f>
        <v>－</v>
      </c>
      <c r="V228" s="65">
        <f>322875288</f>
        <v>322875288</v>
      </c>
      <c r="W228" s="65" t="str">
        <f>"－"</f>
        <v>－</v>
      </c>
      <c r="X228" s="69">
        <f>21</f>
        <v>21</v>
      </c>
    </row>
    <row r="229" spans="1:24">
      <c r="A229" s="60" t="s">
        <v>832</v>
      </c>
      <c r="B229" s="60" t="s">
        <v>674</v>
      </c>
      <c r="C229" s="60" t="s">
        <v>675</v>
      </c>
      <c r="D229" s="60" t="s">
        <v>676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10</v>
      </c>
      <c r="K229" s="66">
        <f>1081</f>
        <v>1081</v>
      </c>
      <c r="L229" s="67" t="s">
        <v>833</v>
      </c>
      <c r="M229" s="66">
        <f>1094</f>
        <v>1094</v>
      </c>
      <c r="N229" s="67" t="s">
        <v>818</v>
      </c>
      <c r="O229" s="66">
        <f>855</f>
        <v>855</v>
      </c>
      <c r="P229" s="67" t="s">
        <v>99</v>
      </c>
      <c r="Q229" s="66">
        <f>945</f>
        <v>945</v>
      </c>
      <c r="R229" s="67" t="s">
        <v>51</v>
      </c>
      <c r="S229" s="68">
        <f>983.57</f>
        <v>983.57</v>
      </c>
      <c r="T229" s="65">
        <f>92240</f>
        <v>92240</v>
      </c>
      <c r="U229" s="65" t="str">
        <f>"－"</f>
        <v>－</v>
      </c>
      <c r="V229" s="65">
        <f>91543630</f>
        <v>91543630</v>
      </c>
      <c r="W229" s="65" t="str">
        <f>"－"</f>
        <v>－</v>
      </c>
      <c r="X229" s="69">
        <f>21</f>
        <v>21</v>
      </c>
    </row>
    <row r="230" spans="1:24">
      <c r="A230" s="60" t="s">
        <v>832</v>
      </c>
      <c r="B230" s="60" t="s">
        <v>677</v>
      </c>
      <c r="C230" s="60" t="s">
        <v>678</v>
      </c>
      <c r="D230" s="60" t="s">
        <v>679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10</v>
      </c>
      <c r="K230" s="66">
        <f>934</f>
        <v>934</v>
      </c>
      <c r="L230" s="67" t="s">
        <v>833</v>
      </c>
      <c r="M230" s="66">
        <f>964</f>
        <v>964</v>
      </c>
      <c r="N230" s="67" t="s">
        <v>814</v>
      </c>
      <c r="O230" s="66">
        <f>694</f>
        <v>694</v>
      </c>
      <c r="P230" s="67" t="s">
        <v>819</v>
      </c>
      <c r="Q230" s="66">
        <f>779</f>
        <v>779</v>
      </c>
      <c r="R230" s="67" t="s">
        <v>51</v>
      </c>
      <c r="S230" s="68">
        <f>825.05</f>
        <v>825.05</v>
      </c>
      <c r="T230" s="65">
        <f>290820</f>
        <v>290820</v>
      </c>
      <c r="U230" s="65" t="str">
        <f>"－"</f>
        <v>－</v>
      </c>
      <c r="V230" s="65">
        <f>253002750</f>
        <v>253002750</v>
      </c>
      <c r="W230" s="65" t="str">
        <f>"－"</f>
        <v>－</v>
      </c>
      <c r="X230" s="69">
        <f>21</f>
        <v>21</v>
      </c>
    </row>
    <row r="231" spans="1:24">
      <c r="A231" s="60" t="s">
        <v>832</v>
      </c>
      <c r="B231" s="60" t="s">
        <v>680</v>
      </c>
      <c r="C231" s="60" t="s">
        <v>681</v>
      </c>
      <c r="D231" s="60" t="s">
        <v>682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1008</f>
        <v>1008</v>
      </c>
      <c r="L231" s="67" t="s">
        <v>833</v>
      </c>
      <c r="M231" s="66">
        <f>1081</f>
        <v>1081</v>
      </c>
      <c r="N231" s="67" t="s">
        <v>817</v>
      </c>
      <c r="O231" s="66">
        <f>768</f>
        <v>768</v>
      </c>
      <c r="P231" s="67" t="s">
        <v>99</v>
      </c>
      <c r="Q231" s="66">
        <f>920</f>
        <v>920</v>
      </c>
      <c r="R231" s="67" t="s">
        <v>51</v>
      </c>
      <c r="S231" s="68">
        <f>926.81</f>
        <v>926.81</v>
      </c>
      <c r="T231" s="65">
        <f>18896420</f>
        <v>18896420</v>
      </c>
      <c r="U231" s="65">
        <f>10723620</f>
        <v>10723620</v>
      </c>
      <c r="V231" s="65">
        <f>17807446880</f>
        <v>17807446880</v>
      </c>
      <c r="W231" s="65">
        <f>9860718910</f>
        <v>9860718910</v>
      </c>
      <c r="X231" s="69">
        <f>21</f>
        <v>21</v>
      </c>
    </row>
    <row r="232" spans="1:24">
      <c r="A232" s="60" t="s">
        <v>832</v>
      </c>
      <c r="B232" s="60" t="s">
        <v>683</v>
      </c>
      <c r="C232" s="60" t="s">
        <v>684</v>
      </c>
      <c r="D232" s="60" t="s">
        <v>685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</v>
      </c>
      <c r="K232" s="66">
        <f>2178</f>
        <v>2178</v>
      </c>
      <c r="L232" s="67" t="s">
        <v>833</v>
      </c>
      <c r="M232" s="66">
        <f>2380</f>
        <v>2380</v>
      </c>
      <c r="N232" s="67" t="s">
        <v>814</v>
      </c>
      <c r="O232" s="66">
        <f>1608</f>
        <v>1608</v>
      </c>
      <c r="P232" s="67" t="s">
        <v>819</v>
      </c>
      <c r="Q232" s="66">
        <f>1886</f>
        <v>1886</v>
      </c>
      <c r="R232" s="67" t="s">
        <v>51</v>
      </c>
      <c r="S232" s="68">
        <f>1928.57</f>
        <v>1928.57</v>
      </c>
      <c r="T232" s="65">
        <f>87129</f>
        <v>87129</v>
      </c>
      <c r="U232" s="65" t="str">
        <f>"－"</f>
        <v>－</v>
      </c>
      <c r="V232" s="65">
        <f>170140164</f>
        <v>170140164</v>
      </c>
      <c r="W232" s="65" t="str">
        <f>"－"</f>
        <v>－</v>
      </c>
      <c r="X232" s="69">
        <f>21</f>
        <v>21</v>
      </c>
    </row>
    <row r="233" spans="1:24">
      <c r="A233" s="60" t="s">
        <v>832</v>
      </c>
      <c r="B233" s="60" t="s">
        <v>686</v>
      </c>
      <c r="C233" s="60" t="s">
        <v>687</v>
      </c>
      <c r="D233" s="60" t="s">
        <v>688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10</v>
      </c>
      <c r="K233" s="66">
        <f>1350</f>
        <v>1350</v>
      </c>
      <c r="L233" s="67" t="s">
        <v>818</v>
      </c>
      <c r="M233" s="66">
        <f>1350</f>
        <v>1350</v>
      </c>
      <c r="N233" s="67" t="s">
        <v>818</v>
      </c>
      <c r="O233" s="66">
        <f>1084</f>
        <v>1084</v>
      </c>
      <c r="P233" s="67" t="s">
        <v>79</v>
      </c>
      <c r="Q233" s="66">
        <f>1265</f>
        <v>1265</v>
      </c>
      <c r="R233" s="67" t="s">
        <v>816</v>
      </c>
      <c r="S233" s="68">
        <f>1212.25</f>
        <v>1212.25</v>
      </c>
      <c r="T233" s="65">
        <f>250</f>
        <v>250</v>
      </c>
      <c r="U233" s="65" t="str">
        <f>"－"</f>
        <v>－</v>
      </c>
      <c r="V233" s="65">
        <f>292110</f>
        <v>292110</v>
      </c>
      <c r="W233" s="65" t="str">
        <f>"－"</f>
        <v>－</v>
      </c>
      <c r="X233" s="69">
        <f>8</f>
        <v>8</v>
      </c>
    </row>
    <row r="234" spans="1:24">
      <c r="A234" s="60" t="s">
        <v>832</v>
      </c>
      <c r="B234" s="60" t="s">
        <v>689</v>
      </c>
      <c r="C234" s="60" t="s">
        <v>690</v>
      </c>
      <c r="D234" s="60" t="s">
        <v>691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10</v>
      </c>
      <c r="K234" s="66">
        <f>1528</f>
        <v>1528</v>
      </c>
      <c r="L234" s="67" t="s">
        <v>833</v>
      </c>
      <c r="M234" s="66">
        <f>1529</f>
        <v>1529</v>
      </c>
      <c r="N234" s="67" t="s">
        <v>833</v>
      </c>
      <c r="O234" s="66">
        <f>1252</f>
        <v>1252</v>
      </c>
      <c r="P234" s="67" t="s">
        <v>72</v>
      </c>
      <c r="Q234" s="66">
        <f>1451</f>
        <v>1451</v>
      </c>
      <c r="R234" s="67" t="s">
        <v>821</v>
      </c>
      <c r="S234" s="68">
        <f>1411.43</f>
        <v>1411.43</v>
      </c>
      <c r="T234" s="65">
        <f>71260</f>
        <v>71260</v>
      </c>
      <c r="U234" s="65">
        <f>70000</f>
        <v>70000</v>
      </c>
      <c r="V234" s="65">
        <f>108535840</f>
        <v>108535840</v>
      </c>
      <c r="W234" s="65">
        <f>106841000</f>
        <v>106841000</v>
      </c>
      <c r="X234" s="69">
        <f>7</f>
        <v>7</v>
      </c>
    </row>
    <row r="235" spans="1:24">
      <c r="A235" s="60" t="s">
        <v>832</v>
      </c>
      <c r="B235" s="60" t="s">
        <v>692</v>
      </c>
      <c r="C235" s="60" t="s">
        <v>693</v>
      </c>
      <c r="D235" s="60" t="s">
        <v>694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</v>
      </c>
      <c r="K235" s="66">
        <f>21430</f>
        <v>21430</v>
      </c>
      <c r="L235" s="67" t="s">
        <v>814</v>
      </c>
      <c r="M235" s="66">
        <f>21430</f>
        <v>21430</v>
      </c>
      <c r="N235" s="67" t="s">
        <v>814</v>
      </c>
      <c r="O235" s="66">
        <f>16680</f>
        <v>16680</v>
      </c>
      <c r="P235" s="67" t="s">
        <v>99</v>
      </c>
      <c r="Q235" s="66">
        <f>19350</f>
        <v>19350</v>
      </c>
      <c r="R235" s="67" t="s">
        <v>91</v>
      </c>
      <c r="S235" s="68">
        <f>18997.69</f>
        <v>18997.689999999999</v>
      </c>
      <c r="T235" s="65">
        <f>25068</f>
        <v>25068</v>
      </c>
      <c r="U235" s="65">
        <f>24000</f>
        <v>24000</v>
      </c>
      <c r="V235" s="65">
        <f>525950810</f>
        <v>525950810</v>
      </c>
      <c r="W235" s="65">
        <f>505368000</f>
        <v>505368000</v>
      </c>
      <c r="X235" s="69">
        <f>13</f>
        <v>13</v>
      </c>
    </row>
    <row r="236" spans="1:24">
      <c r="A236" s="60" t="s">
        <v>832</v>
      </c>
      <c r="B236" s="60" t="s">
        <v>695</v>
      </c>
      <c r="C236" s="60" t="s">
        <v>696</v>
      </c>
      <c r="D236" s="60" t="s">
        <v>697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</v>
      </c>
      <c r="K236" s="66">
        <f>13580</f>
        <v>13580</v>
      </c>
      <c r="L236" s="67" t="s">
        <v>833</v>
      </c>
      <c r="M236" s="66">
        <f>16920</f>
        <v>16920</v>
      </c>
      <c r="N236" s="67" t="s">
        <v>91</v>
      </c>
      <c r="O236" s="66">
        <f>11220</f>
        <v>11220</v>
      </c>
      <c r="P236" s="67" t="s">
        <v>99</v>
      </c>
      <c r="Q236" s="66">
        <f>13610</f>
        <v>13610</v>
      </c>
      <c r="R236" s="67" t="s">
        <v>50</v>
      </c>
      <c r="S236" s="68">
        <f>13096.36</f>
        <v>13096.36</v>
      </c>
      <c r="T236" s="65">
        <f>1407</f>
        <v>1407</v>
      </c>
      <c r="U236" s="65" t="str">
        <f>"－"</f>
        <v>－</v>
      </c>
      <c r="V236" s="65">
        <f>18280750</f>
        <v>18280750</v>
      </c>
      <c r="W236" s="65" t="str">
        <f>"－"</f>
        <v>－</v>
      </c>
      <c r="X236" s="69">
        <f>11</f>
        <v>11</v>
      </c>
    </row>
    <row r="237" spans="1:24">
      <c r="A237" s="60" t="s">
        <v>832</v>
      </c>
      <c r="B237" s="60" t="s">
        <v>698</v>
      </c>
      <c r="C237" s="60" t="s">
        <v>699</v>
      </c>
      <c r="D237" s="60" t="s">
        <v>700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10</v>
      </c>
      <c r="K237" s="66">
        <f>1156</f>
        <v>1156</v>
      </c>
      <c r="L237" s="67" t="s">
        <v>833</v>
      </c>
      <c r="M237" s="66">
        <f>1201</f>
        <v>1201</v>
      </c>
      <c r="N237" s="67" t="s">
        <v>833</v>
      </c>
      <c r="O237" s="66">
        <f>733</f>
        <v>733</v>
      </c>
      <c r="P237" s="67" t="s">
        <v>99</v>
      </c>
      <c r="Q237" s="66">
        <f>927</f>
        <v>927</v>
      </c>
      <c r="R237" s="67" t="s">
        <v>51</v>
      </c>
      <c r="S237" s="68">
        <f>935.6</f>
        <v>935.6</v>
      </c>
      <c r="T237" s="65">
        <f>1626100</f>
        <v>1626100</v>
      </c>
      <c r="U237" s="65">
        <f>670000</f>
        <v>670000</v>
      </c>
      <c r="V237" s="65">
        <f>1695474590</f>
        <v>1695474590</v>
      </c>
      <c r="W237" s="65">
        <f>680505300</f>
        <v>680505300</v>
      </c>
      <c r="X237" s="69">
        <f>15</f>
        <v>15</v>
      </c>
    </row>
    <row r="238" spans="1:24">
      <c r="A238" s="60" t="s">
        <v>832</v>
      </c>
      <c r="B238" s="60" t="s">
        <v>701</v>
      </c>
      <c r="C238" s="60" t="s">
        <v>702</v>
      </c>
      <c r="D238" s="60" t="s">
        <v>703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10</v>
      </c>
      <c r="K238" s="66">
        <f>1160</f>
        <v>1160</v>
      </c>
      <c r="L238" s="67" t="s">
        <v>833</v>
      </c>
      <c r="M238" s="66">
        <f>1234</f>
        <v>1234</v>
      </c>
      <c r="N238" s="67" t="s">
        <v>817</v>
      </c>
      <c r="O238" s="66">
        <f>684</f>
        <v>684</v>
      </c>
      <c r="P238" s="67" t="s">
        <v>99</v>
      </c>
      <c r="Q238" s="66">
        <f>910</f>
        <v>910</v>
      </c>
      <c r="R238" s="67" t="s">
        <v>51</v>
      </c>
      <c r="S238" s="68">
        <f>990.65</f>
        <v>990.65</v>
      </c>
      <c r="T238" s="65">
        <f>298080</f>
        <v>298080</v>
      </c>
      <c r="U238" s="65">
        <f>218100</f>
        <v>218100</v>
      </c>
      <c r="V238" s="65">
        <f>240216580</f>
        <v>240216580</v>
      </c>
      <c r="W238" s="65">
        <f>157428700</f>
        <v>157428700</v>
      </c>
      <c r="X238" s="69">
        <f>20</f>
        <v>20</v>
      </c>
    </row>
    <row r="239" spans="1:24">
      <c r="A239" s="60" t="s">
        <v>832</v>
      </c>
      <c r="B239" s="60" t="s">
        <v>704</v>
      </c>
      <c r="C239" s="60" t="s">
        <v>705</v>
      </c>
      <c r="D239" s="60" t="s">
        <v>706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</v>
      </c>
      <c r="K239" s="66">
        <f>890</f>
        <v>890</v>
      </c>
      <c r="L239" s="67" t="s">
        <v>833</v>
      </c>
      <c r="M239" s="66">
        <f>927</f>
        <v>927</v>
      </c>
      <c r="N239" s="67" t="s">
        <v>814</v>
      </c>
      <c r="O239" s="66">
        <f>750</f>
        <v>750</v>
      </c>
      <c r="P239" s="67" t="s">
        <v>820</v>
      </c>
      <c r="Q239" s="66">
        <f>840</f>
        <v>840</v>
      </c>
      <c r="R239" s="67" t="s">
        <v>51</v>
      </c>
      <c r="S239" s="68">
        <f>841.29</f>
        <v>841.29</v>
      </c>
      <c r="T239" s="65">
        <f>74795</f>
        <v>74795</v>
      </c>
      <c r="U239" s="65" t="str">
        <f t="shared" ref="U239:U245" si="6">"－"</f>
        <v>－</v>
      </c>
      <c r="V239" s="65">
        <f>62034676</f>
        <v>62034676</v>
      </c>
      <c r="W239" s="65" t="str">
        <f t="shared" ref="W239:W245" si="7">"－"</f>
        <v>－</v>
      </c>
      <c r="X239" s="69">
        <f>21</f>
        <v>21</v>
      </c>
    </row>
    <row r="240" spans="1:24">
      <c r="A240" s="60" t="s">
        <v>832</v>
      </c>
      <c r="B240" s="60" t="s">
        <v>707</v>
      </c>
      <c r="C240" s="60" t="s">
        <v>708</v>
      </c>
      <c r="D240" s="60" t="s">
        <v>709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</v>
      </c>
      <c r="K240" s="66">
        <f>10200</f>
        <v>10200</v>
      </c>
      <c r="L240" s="67" t="s">
        <v>833</v>
      </c>
      <c r="M240" s="66">
        <f>10860</f>
        <v>10860</v>
      </c>
      <c r="N240" s="67" t="s">
        <v>119</v>
      </c>
      <c r="O240" s="66">
        <f>8710</f>
        <v>8710</v>
      </c>
      <c r="P240" s="67" t="s">
        <v>820</v>
      </c>
      <c r="Q240" s="66">
        <f>9120</f>
        <v>9120</v>
      </c>
      <c r="R240" s="67" t="s">
        <v>51</v>
      </c>
      <c r="S240" s="68">
        <f>9963</f>
        <v>9963</v>
      </c>
      <c r="T240" s="65">
        <f>1453</f>
        <v>1453</v>
      </c>
      <c r="U240" s="65" t="str">
        <f t="shared" si="6"/>
        <v>－</v>
      </c>
      <c r="V240" s="65">
        <f>14623920</f>
        <v>14623920</v>
      </c>
      <c r="W240" s="65" t="str">
        <f t="shared" si="7"/>
        <v>－</v>
      </c>
      <c r="X240" s="69">
        <f>20</f>
        <v>20</v>
      </c>
    </row>
    <row r="241" spans="1:24">
      <c r="A241" s="60" t="s">
        <v>832</v>
      </c>
      <c r="B241" s="60" t="s">
        <v>710</v>
      </c>
      <c r="C241" s="60" t="s">
        <v>711</v>
      </c>
      <c r="D241" s="60" t="s">
        <v>712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</v>
      </c>
      <c r="K241" s="66">
        <f>2100</f>
        <v>2100</v>
      </c>
      <c r="L241" s="67" t="s">
        <v>833</v>
      </c>
      <c r="M241" s="66">
        <f>2245</f>
        <v>2245</v>
      </c>
      <c r="N241" s="67" t="s">
        <v>817</v>
      </c>
      <c r="O241" s="66">
        <f>1330</f>
        <v>1330</v>
      </c>
      <c r="P241" s="67" t="s">
        <v>819</v>
      </c>
      <c r="Q241" s="66">
        <f>1666</f>
        <v>1666</v>
      </c>
      <c r="R241" s="67" t="s">
        <v>51</v>
      </c>
      <c r="S241" s="68">
        <f>1844.86</f>
        <v>1844.86</v>
      </c>
      <c r="T241" s="65">
        <f>21177</f>
        <v>21177</v>
      </c>
      <c r="U241" s="65" t="str">
        <f t="shared" si="6"/>
        <v>－</v>
      </c>
      <c r="V241" s="65">
        <f>36858170</f>
        <v>36858170</v>
      </c>
      <c r="W241" s="65" t="str">
        <f t="shared" si="7"/>
        <v>－</v>
      </c>
      <c r="X241" s="69">
        <f>21</f>
        <v>21</v>
      </c>
    </row>
    <row r="242" spans="1:24">
      <c r="A242" s="60" t="s">
        <v>832</v>
      </c>
      <c r="B242" s="60" t="s">
        <v>713</v>
      </c>
      <c r="C242" s="60" t="s">
        <v>714</v>
      </c>
      <c r="D242" s="60" t="s">
        <v>715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10</v>
      </c>
      <c r="K242" s="66">
        <f>1093</f>
        <v>1093</v>
      </c>
      <c r="L242" s="67" t="s">
        <v>833</v>
      </c>
      <c r="M242" s="66">
        <f>1149</f>
        <v>1149</v>
      </c>
      <c r="N242" s="67" t="s">
        <v>814</v>
      </c>
      <c r="O242" s="66">
        <f>999</f>
        <v>999</v>
      </c>
      <c r="P242" s="67" t="s">
        <v>816</v>
      </c>
      <c r="Q242" s="66">
        <f>1000</f>
        <v>1000</v>
      </c>
      <c r="R242" s="67" t="s">
        <v>821</v>
      </c>
      <c r="S242" s="68">
        <f>1070.46</f>
        <v>1070.46</v>
      </c>
      <c r="T242" s="65">
        <f>1710</f>
        <v>1710</v>
      </c>
      <c r="U242" s="65" t="str">
        <f t="shared" si="6"/>
        <v>－</v>
      </c>
      <c r="V242" s="65">
        <f>1822810</f>
        <v>1822810</v>
      </c>
      <c r="W242" s="65" t="str">
        <f t="shared" si="7"/>
        <v>－</v>
      </c>
      <c r="X242" s="69">
        <f>13</f>
        <v>13</v>
      </c>
    </row>
    <row r="243" spans="1:24">
      <c r="A243" s="60" t="s">
        <v>832</v>
      </c>
      <c r="B243" s="60" t="s">
        <v>716</v>
      </c>
      <c r="C243" s="60" t="s">
        <v>717</v>
      </c>
      <c r="D243" s="60" t="s">
        <v>718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f>1009</f>
        <v>1009</v>
      </c>
      <c r="L243" s="67" t="s">
        <v>833</v>
      </c>
      <c r="M243" s="66">
        <f>1053</f>
        <v>1053</v>
      </c>
      <c r="N243" s="67" t="s">
        <v>814</v>
      </c>
      <c r="O243" s="66">
        <f>906</f>
        <v>906</v>
      </c>
      <c r="P243" s="67" t="s">
        <v>175</v>
      </c>
      <c r="Q243" s="66">
        <f>954</f>
        <v>954</v>
      </c>
      <c r="R243" s="67" t="s">
        <v>51</v>
      </c>
      <c r="S243" s="68">
        <f>977.71</f>
        <v>977.71</v>
      </c>
      <c r="T243" s="65">
        <f>33430</f>
        <v>33430</v>
      </c>
      <c r="U243" s="65" t="str">
        <f t="shared" si="6"/>
        <v>－</v>
      </c>
      <c r="V243" s="65">
        <f>31378990</f>
        <v>31378990</v>
      </c>
      <c r="W243" s="65" t="str">
        <f t="shared" si="7"/>
        <v>－</v>
      </c>
      <c r="X243" s="69">
        <f>21</f>
        <v>21</v>
      </c>
    </row>
    <row r="244" spans="1:24">
      <c r="A244" s="60" t="s">
        <v>832</v>
      </c>
      <c r="B244" s="60" t="s">
        <v>719</v>
      </c>
      <c r="C244" s="60" t="s">
        <v>720</v>
      </c>
      <c r="D244" s="60" t="s">
        <v>721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2019</f>
        <v>2019</v>
      </c>
      <c r="L244" s="67" t="s">
        <v>833</v>
      </c>
      <c r="M244" s="66">
        <f>2200</f>
        <v>2200</v>
      </c>
      <c r="N244" s="67" t="s">
        <v>61</v>
      </c>
      <c r="O244" s="66">
        <f>1200</f>
        <v>1200</v>
      </c>
      <c r="P244" s="67" t="s">
        <v>819</v>
      </c>
      <c r="Q244" s="66">
        <f>1652</f>
        <v>1652</v>
      </c>
      <c r="R244" s="67" t="s">
        <v>51</v>
      </c>
      <c r="S244" s="68">
        <f>1782.05</f>
        <v>1782.05</v>
      </c>
      <c r="T244" s="65">
        <f>112080</f>
        <v>112080</v>
      </c>
      <c r="U244" s="65" t="str">
        <f t="shared" si="6"/>
        <v>－</v>
      </c>
      <c r="V244" s="65">
        <f>185086790</f>
        <v>185086790</v>
      </c>
      <c r="W244" s="65" t="str">
        <f t="shared" si="7"/>
        <v>－</v>
      </c>
      <c r="X244" s="69">
        <f>19</f>
        <v>19</v>
      </c>
    </row>
    <row r="245" spans="1:24">
      <c r="A245" s="60" t="s">
        <v>832</v>
      </c>
      <c r="B245" s="60" t="s">
        <v>722</v>
      </c>
      <c r="C245" s="60" t="s">
        <v>723</v>
      </c>
      <c r="D245" s="60" t="s">
        <v>724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10</v>
      </c>
      <c r="K245" s="66">
        <f>2007</f>
        <v>2007</v>
      </c>
      <c r="L245" s="67" t="s">
        <v>833</v>
      </c>
      <c r="M245" s="66">
        <f>2114</f>
        <v>2114</v>
      </c>
      <c r="N245" s="67" t="s">
        <v>817</v>
      </c>
      <c r="O245" s="66">
        <f>1304</f>
        <v>1304</v>
      </c>
      <c r="P245" s="67" t="s">
        <v>819</v>
      </c>
      <c r="Q245" s="66">
        <f>1572</f>
        <v>1572</v>
      </c>
      <c r="R245" s="67" t="s">
        <v>51</v>
      </c>
      <c r="S245" s="68">
        <f>1816.89</f>
        <v>1816.89</v>
      </c>
      <c r="T245" s="65">
        <f>35710</f>
        <v>35710</v>
      </c>
      <c r="U245" s="65" t="str">
        <f t="shared" si="6"/>
        <v>－</v>
      </c>
      <c r="V245" s="65">
        <f>60540720</f>
        <v>60540720</v>
      </c>
      <c r="W245" s="65" t="str">
        <f t="shared" si="7"/>
        <v>－</v>
      </c>
      <c r="X245" s="69">
        <f>18</f>
        <v>18</v>
      </c>
    </row>
    <row r="246" spans="1:24">
      <c r="A246" s="60" t="s">
        <v>832</v>
      </c>
      <c r="B246" s="60" t="s">
        <v>725</v>
      </c>
      <c r="C246" s="60" t="s">
        <v>726</v>
      </c>
      <c r="D246" s="60" t="s">
        <v>727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10</v>
      </c>
      <c r="K246" s="66">
        <f>1530</f>
        <v>1530</v>
      </c>
      <c r="L246" s="67" t="s">
        <v>814</v>
      </c>
      <c r="M246" s="66">
        <f>1530</f>
        <v>1530</v>
      </c>
      <c r="N246" s="67" t="s">
        <v>814</v>
      </c>
      <c r="O246" s="66">
        <f>1260</f>
        <v>1260</v>
      </c>
      <c r="P246" s="67" t="s">
        <v>79</v>
      </c>
      <c r="Q246" s="66">
        <f>1411</f>
        <v>1411</v>
      </c>
      <c r="R246" s="67" t="s">
        <v>816</v>
      </c>
      <c r="S246" s="68">
        <f>1367.13</f>
        <v>1367.13</v>
      </c>
      <c r="T246" s="65">
        <f>25540</f>
        <v>25540</v>
      </c>
      <c r="U246" s="65">
        <f>12300</f>
        <v>12300</v>
      </c>
      <c r="V246" s="65">
        <f>33782710</f>
        <v>33782710</v>
      </c>
      <c r="W246" s="65">
        <f>16531200</f>
        <v>16531200</v>
      </c>
      <c r="X246" s="69">
        <f>8</f>
        <v>8</v>
      </c>
    </row>
    <row r="247" spans="1:24">
      <c r="A247" s="60" t="s">
        <v>832</v>
      </c>
      <c r="B247" s="60" t="s">
        <v>728</v>
      </c>
      <c r="C247" s="60" t="s">
        <v>729</v>
      </c>
      <c r="D247" s="60" t="s">
        <v>730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</v>
      </c>
      <c r="K247" s="66">
        <f>9100</f>
        <v>9100</v>
      </c>
      <c r="L247" s="67" t="s">
        <v>833</v>
      </c>
      <c r="M247" s="66">
        <f>9710</f>
        <v>9710</v>
      </c>
      <c r="N247" s="67" t="s">
        <v>814</v>
      </c>
      <c r="O247" s="66">
        <f>6940</f>
        <v>6940</v>
      </c>
      <c r="P247" s="67" t="s">
        <v>99</v>
      </c>
      <c r="Q247" s="66">
        <f>8120</f>
        <v>8120</v>
      </c>
      <c r="R247" s="67" t="s">
        <v>51</v>
      </c>
      <c r="S247" s="68">
        <f>8180.48</f>
        <v>8180.48</v>
      </c>
      <c r="T247" s="65">
        <f>265552</f>
        <v>265552</v>
      </c>
      <c r="U247" s="65">
        <f>491</f>
        <v>491</v>
      </c>
      <c r="V247" s="65">
        <f>2160765880</f>
        <v>2160765880</v>
      </c>
      <c r="W247" s="65">
        <f>4075990</f>
        <v>4075990</v>
      </c>
      <c r="X247" s="69">
        <f>21</f>
        <v>21</v>
      </c>
    </row>
    <row r="248" spans="1:24">
      <c r="A248" s="60" t="s">
        <v>832</v>
      </c>
      <c r="B248" s="60" t="s">
        <v>734</v>
      </c>
      <c r="C248" s="60" t="s">
        <v>735</v>
      </c>
      <c r="D248" s="60" t="s">
        <v>736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</v>
      </c>
      <c r="K248" s="66">
        <f>9000</f>
        <v>9000</v>
      </c>
      <c r="L248" s="67" t="s">
        <v>833</v>
      </c>
      <c r="M248" s="66">
        <f>9500</f>
        <v>9500</v>
      </c>
      <c r="N248" s="67" t="s">
        <v>814</v>
      </c>
      <c r="O248" s="66">
        <f>6800</f>
        <v>6800</v>
      </c>
      <c r="P248" s="67" t="s">
        <v>99</v>
      </c>
      <c r="Q248" s="66">
        <f>7950</f>
        <v>7950</v>
      </c>
      <c r="R248" s="67" t="s">
        <v>51</v>
      </c>
      <c r="S248" s="68">
        <f>8064.29</f>
        <v>8064.29</v>
      </c>
      <c r="T248" s="65">
        <f>125390</f>
        <v>125390</v>
      </c>
      <c r="U248" s="65">
        <f>135</f>
        <v>135</v>
      </c>
      <c r="V248" s="65">
        <f>989321080</f>
        <v>989321080</v>
      </c>
      <c r="W248" s="65">
        <f>1005560</f>
        <v>1005560</v>
      </c>
      <c r="X248" s="69">
        <f>21</f>
        <v>21</v>
      </c>
    </row>
    <row r="249" spans="1:24">
      <c r="A249" s="60" t="s">
        <v>832</v>
      </c>
      <c r="B249" s="60" t="s">
        <v>824</v>
      </c>
      <c r="C249" s="60" t="s">
        <v>825</v>
      </c>
      <c r="D249" s="60" t="s">
        <v>826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</v>
      </c>
      <c r="K249" s="66">
        <f>20430</f>
        <v>20430</v>
      </c>
      <c r="L249" s="67" t="s">
        <v>833</v>
      </c>
      <c r="M249" s="66">
        <f>20490</f>
        <v>20490</v>
      </c>
      <c r="N249" s="67" t="s">
        <v>817</v>
      </c>
      <c r="O249" s="66">
        <f>16450</f>
        <v>16450</v>
      </c>
      <c r="P249" s="67" t="s">
        <v>72</v>
      </c>
      <c r="Q249" s="66">
        <f>18880</f>
        <v>18880</v>
      </c>
      <c r="R249" s="67" t="s">
        <v>51</v>
      </c>
      <c r="S249" s="68">
        <f>18375.63</f>
        <v>18375.63</v>
      </c>
      <c r="T249" s="65">
        <f>199</f>
        <v>199</v>
      </c>
      <c r="U249" s="65" t="str">
        <f>"－"</f>
        <v>－</v>
      </c>
      <c r="V249" s="65">
        <f>3716230</f>
        <v>3716230</v>
      </c>
      <c r="W249" s="65" t="str">
        <f>"－"</f>
        <v>－</v>
      </c>
      <c r="X249" s="69">
        <f>16</f>
        <v>16</v>
      </c>
    </row>
    <row r="250" spans="1:24">
      <c r="A250" s="60" t="s">
        <v>832</v>
      </c>
      <c r="B250" s="60" t="s">
        <v>828</v>
      </c>
      <c r="C250" s="60" t="s">
        <v>829</v>
      </c>
      <c r="D250" s="60" t="s">
        <v>830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2868</f>
        <v>2868</v>
      </c>
      <c r="L250" s="67" t="s">
        <v>833</v>
      </c>
      <c r="M250" s="66">
        <f>2868</f>
        <v>2868</v>
      </c>
      <c r="N250" s="67" t="s">
        <v>833</v>
      </c>
      <c r="O250" s="66">
        <f>2721</f>
        <v>2721</v>
      </c>
      <c r="P250" s="67" t="s">
        <v>99</v>
      </c>
      <c r="Q250" s="66">
        <f>2762</f>
        <v>2762</v>
      </c>
      <c r="R250" s="67" t="s">
        <v>51</v>
      </c>
      <c r="S250" s="68">
        <f>2785.76</f>
        <v>2785.76</v>
      </c>
      <c r="T250" s="65">
        <f>13587</f>
        <v>13587</v>
      </c>
      <c r="U250" s="65" t="str">
        <f>"－"</f>
        <v>－</v>
      </c>
      <c r="V250" s="65">
        <f>38096928</f>
        <v>38096928</v>
      </c>
      <c r="W250" s="65" t="str">
        <f>"－"</f>
        <v>－</v>
      </c>
      <c r="X250" s="69">
        <f>21</f>
        <v>21</v>
      </c>
    </row>
    <row r="251" spans="1:24">
      <c r="A251" s="60" t="s">
        <v>832</v>
      </c>
      <c r="B251" s="60" t="s">
        <v>835</v>
      </c>
      <c r="C251" s="60" t="s">
        <v>836</v>
      </c>
      <c r="D251" s="60" t="s">
        <v>837</v>
      </c>
      <c r="E251" s="61" t="s">
        <v>731</v>
      </c>
      <c r="F251" s="62" t="s">
        <v>732</v>
      </c>
      <c r="G251" s="63" t="s">
        <v>838</v>
      </c>
      <c r="H251" s="64"/>
      <c r="I251" s="64" t="s">
        <v>47</v>
      </c>
      <c r="J251" s="65">
        <v>10</v>
      </c>
      <c r="K251" s="66">
        <f>1800</f>
        <v>1800</v>
      </c>
      <c r="L251" s="67" t="s">
        <v>822</v>
      </c>
      <c r="M251" s="66">
        <f>1958</f>
        <v>1958</v>
      </c>
      <c r="N251" s="67" t="s">
        <v>91</v>
      </c>
      <c r="O251" s="66">
        <f>1576</f>
        <v>1576</v>
      </c>
      <c r="P251" s="67" t="s">
        <v>99</v>
      </c>
      <c r="Q251" s="66">
        <f>1922</f>
        <v>1922</v>
      </c>
      <c r="R251" s="67" t="s">
        <v>51</v>
      </c>
      <c r="S251" s="68">
        <f>1783.67</f>
        <v>1783.67</v>
      </c>
      <c r="T251" s="65">
        <f>314800</f>
        <v>314800</v>
      </c>
      <c r="U251" s="65" t="str">
        <f>"－"</f>
        <v>－</v>
      </c>
      <c r="V251" s="65">
        <f>601699790</f>
        <v>601699790</v>
      </c>
      <c r="W251" s="65" t="str">
        <f>"－"</f>
        <v>－</v>
      </c>
      <c r="X251" s="69">
        <f>9</f>
        <v>9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0"/>
  <sheetViews>
    <sheetView showGridLines="0" view="pageBreakPreview" zoomScaleNormal="70" zoomScaleSheetLayoutView="100" workbookViewId="0"/>
  </sheetViews>
  <sheetFormatPr defaultRowHeight="13.5"/>
  <cols>
    <col min="1" max="1" width="13.125" style="1" bestFit="1" customWidth="1"/>
    <col min="2" max="2" width="10.75" style="1" bestFit="1" customWidth="1"/>
    <col min="3" max="4" width="27.625" style="1" customWidth="1"/>
    <col min="5" max="5" width="13.75" style="3" bestFit="1" customWidth="1"/>
    <col min="6" max="6" width="20.75" style="3" bestFit="1" customWidth="1"/>
    <col min="7" max="7" width="11.25" style="3" customWidth="1"/>
    <col min="8" max="8" width="8.75" style="1" bestFit="1" customWidth="1"/>
    <col min="9" max="9" width="11.75" style="1" bestFit="1" customWidth="1"/>
    <col min="10" max="10" width="12.625" style="1" bestFit="1" customWidth="1"/>
    <col min="11" max="11" width="16.25" style="1" customWidth="1"/>
    <col min="12" max="12" width="5.625" style="1" bestFit="1" customWidth="1"/>
    <col min="13" max="13" width="16.25" style="1" customWidth="1"/>
    <col min="14" max="14" width="5.625" style="1" bestFit="1" customWidth="1"/>
    <col min="15" max="15" width="16.25" style="1" customWidth="1"/>
    <col min="16" max="16" width="5.625" style="1" bestFit="1" customWidth="1"/>
    <col min="17" max="17" width="16.25" style="1" customWidth="1"/>
    <col min="18" max="18" width="5.625" style="1" bestFit="1" customWidth="1"/>
    <col min="19" max="19" width="23.875" style="1" bestFit="1" customWidth="1"/>
    <col min="20" max="20" width="16.25" style="1" customWidth="1"/>
    <col min="21" max="21" width="24.125" style="1" customWidth="1"/>
    <col min="22" max="22" width="19.875" style="1" bestFit="1" customWidth="1"/>
    <col min="23" max="23" width="25" style="1" bestFit="1" customWidth="1"/>
    <col min="24" max="24" width="13.125" style="1" bestFit="1" customWidth="1"/>
    <col min="25" max="16384" width="9" style="1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80" t="s">
        <v>794</v>
      </c>
      <c r="O1" s="80"/>
      <c r="P1" s="80"/>
      <c r="Q1" s="80"/>
      <c r="R1" s="80"/>
      <c r="S1" s="80"/>
      <c r="T1" s="80"/>
      <c r="U1" s="80"/>
      <c r="V1" s="80"/>
      <c r="W1" s="80"/>
      <c r="X1" s="81"/>
    </row>
    <row r="2" spans="1:24" ht="99" customHeight="1">
      <c r="A2" s="86" t="s">
        <v>23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2"/>
      <c r="O2" s="82"/>
      <c r="P2" s="82"/>
      <c r="Q2" s="82"/>
      <c r="R2" s="82"/>
      <c r="S2" s="82"/>
      <c r="T2" s="82"/>
      <c r="U2" s="82"/>
      <c r="V2" s="82"/>
      <c r="W2" s="82"/>
      <c r="X2" s="83"/>
    </row>
    <row r="3" spans="1:24" ht="39" customHeight="1">
      <c r="A3" s="88" t="s">
        <v>795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</row>
    <row r="4" spans="1:24" s="2" customFormat="1" ht="13.5" customHeight="1">
      <c r="A4" s="7" t="s">
        <v>796</v>
      </c>
      <c r="B4" s="7" t="s">
        <v>0</v>
      </c>
      <c r="C4" s="7"/>
      <c r="D4" s="7"/>
      <c r="E4" s="8"/>
      <c r="F4" s="9"/>
      <c r="G4" s="10" t="s">
        <v>2</v>
      </c>
      <c r="H4" s="7" t="s">
        <v>797</v>
      </c>
      <c r="I4" s="7" t="s">
        <v>3</v>
      </c>
      <c r="J4" s="7" t="s">
        <v>4</v>
      </c>
      <c r="K4" s="11" t="s">
        <v>5</v>
      </c>
      <c r="L4" s="10" t="s">
        <v>2</v>
      </c>
      <c r="M4" s="11" t="s">
        <v>6</v>
      </c>
      <c r="N4" s="10" t="s">
        <v>2</v>
      </c>
      <c r="O4" s="11" t="s">
        <v>7</v>
      </c>
      <c r="P4" s="10" t="s">
        <v>2</v>
      </c>
      <c r="Q4" s="11" t="s">
        <v>8</v>
      </c>
      <c r="R4" s="10" t="s">
        <v>2</v>
      </c>
      <c r="S4" s="7" t="s">
        <v>9</v>
      </c>
      <c r="T4" s="7" t="s">
        <v>10</v>
      </c>
      <c r="U4" s="12" t="s">
        <v>11</v>
      </c>
      <c r="V4" s="7" t="s">
        <v>12</v>
      </c>
      <c r="W4" s="7" t="s">
        <v>13</v>
      </c>
      <c r="X4" s="7" t="s">
        <v>14</v>
      </c>
    </row>
    <row r="5" spans="1:24">
      <c r="A5" s="13" t="s">
        <v>798</v>
      </c>
      <c r="B5" s="13" t="s">
        <v>799</v>
      </c>
      <c r="C5" s="13" t="s">
        <v>800</v>
      </c>
      <c r="D5" s="13" t="s">
        <v>1</v>
      </c>
      <c r="E5" s="14" t="s">
        <v>30</v>
      </c>
      <c r="F5" s="15" t="s">
        <v>801</v>
      </c>
      <c r="G5" s="16" t="s">
        <v>802</v>
      </c>
      <c r="H5" s="17" t="s">
        <v>803</v>
      </c>
      <c r="I5" s="17" t="s">
        <v>804</v>
      </c>
      <c r="J5" s="17" t="s">
        <v>805</v>
      </c>
      <c r="K5" s="18" t="s">
        <v>16</v>
      </c>
      <c r="L5" s="16" t="s">
        <v>802</v>
      </c>
      <c r="M5" s="18" t="s">
        <v>806</v>
      </c>
      <c r="N5" s="16" t="s">
        <v>802</v>
      </c>
      <c r="O5" s="18" t="s">
        <v>17</v>
      </c>
      <c r="P5" s="16" t="s">
        <v>802</v>
      </c>
      <c r="Q5" s="18" t="s">
        <v>18</v>
      </c>
      <c r="R5" s="16" t="s">
        <v>802</v>
      </c>
      <c r="S5" s="19" t="s">
        <v>807</v>
      </c>
      <c r="T5" s="19" t="s">
        <v>19</v>
      </c>
      <c r="U5" s="13" t="s">
        <v>808</v>
      </c>
      <c r="V5" s="19" t="s">
        <v>20</v>
      </c>
      <c r="W5" s="19" t="s">
        <v>809</v>
      </c>
      <c r="X5" s="19" t="s">
        <v>810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811</v>
      </c>
      <c r="K6" s="25" t="s">
        <v>812</v>
      </c>
      <c r="L6" s="26"/>
      <c r="M6" s="25" t="s">
        <v>812</v>
      </c>
      <c r="N6" s="26"/>
      <c r="O6" s="25" t="s">
        <v>812</v>
      </c>
      <c r="P6" s="26"/>
      <c r="Q6" s="25" t="s">
        <v>812</v>
      </c>
      <c r="R6" s="26"/>
      <c r="S6" s="25" t="s">
        <v>812</v>
      </c>
      <c r="T6" s="24" t="s">
        <v>21</v>
      </c>
      <c r="U6" s="24" t="s">
        <v>21</v>
      </c>
      <c r="V6" s="25" t="s">
        <v>812</v>
      </c>
      <c r="W6" s="25" t="s">
        <v>812</v>
      </c>
      <c r="X6" s="24"/>
    </row>
    <row r="7" spans="1:24" s="28" customFormat="1" ht="13.5" customHeight="1">
      <c r="A7" s="29" t="s">
        <v>813</v>
      </c>
      <c r="B7" s="29" t="s">
        <v>43</v>
      </c>
      <c r="C7" s="29" t="s">
        <v>44</v>
      </c>
      <c r="D7" s="29" t="s">
        <v>45</v>
      </c>
      <c r="E7" s="30" t="s">
        <v>46</v>
      </c>
      <c r="F7" s="31" t="s">
        <v>46</v>
      </c>
      <c r="G7" s="32" t="s">
        <v>46</v>
      </c>
      <c r="H7" s="27"/>
      <c r="I7" s="27" t="s">
        <v>47</v>
      </c>
      <c r="J7" s="33">
        <v>10</v>
      </c>
      <c r="K7" s="37">
        <f>1739</f>
        <v>1739</v>
      </c>
      <c r="L7" s="34" t="s">
        <v>814</v>
      </c>
      <c r="M7" s="37">
        <f>1832</f>
        <v>1832</v>
      </c>
      <c r="N7" s="34" t="s">
        <v>48</v>
      </c>
      <c r="O7" s="37">
        <f>1576</f>
        <v>1576</v>
      </c>
      <c r="P7" s="34" t="s">
        <v>95</v>
      </c>
      <c r="Q7" s="37">
        <f>1589</f>
        <v>1589</v>
      </c>
      <c r="R7" s="34" t="s">
        <v>95</v>
      </c>
      <c r="S7" s="36">
        <f>1753.39</f>
        <v>1753.39</v>
      </c>
      <c r="T7" s="33">
        <f>8220720</f>
        <v>8220720</v>
      </c>
      <c r="U7" s="33">
        <f>1135950</f>
        <v>1135950</v>
      </c>
      <c r="V7" s="33">
        <f>14325608385</f>
        <v>14325608385</v>
      </c>
      <c r="W7" s="33">
        <f>1987250065</f>
        <v>1987250065</v>
      </c>
      <c r="X7" s="35">
        <f>18</f>
        <v>18</v>
      </c>
    </row>
    <row r="8" spans="1:24">
      <c r="A8" s="29" t="s">
        <v>813</v>
      </c>
      <c r="B8" s="29" t="s">
        <v>52</v>
      </c>
      <c r="C8" s="29" t="s">
        <v>53</v>
      </c>
      <c r="D8" s="29" t="s">
        <v>54</v>
      </c>
      <c r="E8" s="30" t="s">
        <v>46</v>
      </c>
      <c r="F8" s="31" t="s">
        <v>46</v>
      </c>
      <c r="G8" s="32" t="s">
        <v>46</v>
      </c>
      <c r="H8" s="27"/>
      <c r="I8" s="27" t="s">
        <v>47</v>
      </c>
      <c r="J8" s="33">
        <v>10</v>
      </c>
      <c r="K8" s="37">
        <f>1716</f>
        <v>1716</v>
      </c>
      <c r="L8" s="34" t="s">
        <v>814</v>
      </c>
      <c r="M8" s="37">
        <f>1809</f>
        <v>1809</v>
      </c>
      <c r="N8" s="34" t="s">
        <v>48</v>
      </c>
      <c r="O8" s="37">
        <f>1556</f>
        <v>1556</v>
      </c>
      <c r="P8" s="34" t="s">
        <v>95</v>
      </c>
      <c r="Q8" s="37">
        <f>1566</f>
        <v>1566</v>
      </c>
      <c r="R8" s="34" t="s">
        <v>95</v>
      </c>
      <c r="S8" s="36">
        <f>1730.94</f>
        <v>1730.94</v>
      </c>
      <c r="T8" s="33">
        <f>52197840</f>
        <v>52197840</v>
      </c>
      <c r="U8" s="33">
        <f>11730970</f>
        <v>11730970</v>
      </c>
      <c r="V8" s="33">
        <f>89978468920</f>
        <v>89978468920</v>
      </c>
      <c r="W8" s="33">
        <f>20332259760</f>
        <v>20332259760</v>
      </c>
      <c r="X8" s="35">
        <f>18</f>
        <v>18</v>
      </c>
    </row>
    <row r="9" spans="1:24">
      <c r="A9" s="29" t="s">
        <v>813</v>
      </c>
      <c r="B9" s="29" t="s">
        <v>55</v>
      </c>
      <c r="C9" s="29" t="s">
        <v>56</v>
      </c>
      <c r="D9" s="29" t="s">
        <v>57</v>
      </c>
      <c r="E9" s="30" t="s">
        <v>46</v>
      </c>
      <c r="F9" s="31" t="s">
        <v>46</v>
      </c>
      <c r="G9" s="32" t="s">
        <v>46</v>
      </c>
      <c r="H9" s="27"/>
      <c r="I9" s="27" t="s">
        <v>47</v>
      </c>
      <c r="J9" s="33">
        <v>100</v>
      </c>
      <c r="K9" s="37">
        <f>1698</f>
        <v>1698</v>
      </c>
      <c r="L9" s="34" t="s">
        <v>814</v>
      </c>
      <c r="M9" s="37">
        <f>1789</f>
        <v>1789</v>
      </c>
      <c r="N9" s="34" t="s">
        <v>48</v>
      </c>
      <c r="O9" s="37">
        <f>1540</f>
        <v>1540</v>
      </c>
      <c r="P9" s="34" t="s">
        <v>95</v>
      </c>
      <c r="Q9" s="37">
        <f>1554</f>
        <v>1554</v>
      </c>
      <c r="R9" s="34" t="s">
        <v>95</v>
      </c>
      <c r="S9" s="36">
        <f>1713.39</f>
        <v>1713.39</v>
      </c>
      <c r="T9" s="33">
        <f>5282600</f>
        <v>5282600</v>
      </c>
      <c r="U9" s="33">
        <f>600600</f>
        <v>600600</v>
      </c>
      <c r="V9" s="33">
        <f>8869717563</f>
        <v>8869717563</v>
      </c>
      <c r="W9" s="33">
        <f>1049471063</f>
        <v>1049471063</v>
      </c>
      <c r="X9" s="35">
        <f>18</f>
        <v>18</v>
      </c>
    </row>
    <row r="10" spans="1:24">
      <c r="A10" s="29" t="s">
        <v>813</v>
      </c>
      <c r="B10" s="29" t="s">
        <v>58</v>
      </c>
      <c r="C10" s="29" t="s">
        <v>59</v>
      </c>
      <c r="D10" s="29" t="s">
        <v>60</v>
      </c>
      <c r="E10" s="30" t="s">
        <v>46</v>
      </c>
      <c r="F10" s="31" t="s">
        <v>46</v>
      </c>
      <c r="G10" s="32" t="s">
        <v>46</v>
      </c>
      <c r="H10" s="27"/>
      <c r="I10" s="27" t="s">
        <v>47</v>
      </c>
      <c r="J10" s="33">
        <v>1</v>
      </c>
      <c r="K10" s="37">
        <f>30600</f>
        <v>30600</v>
      </c>
      <c r="L10" s="34" t="s">
        <v>814</v>
      </c>
      <c r="M10" s="37">
        <f>35050</f>
        <v>35050</v>
      </c>
      <c r="N10" s="34" t="s">
        <v>150</v>
      </c>
      <c r="O10" s="37">
        <f>30550</f>
        <v>30550</v>
      </c>
      <c r="P10" s="34" t="s">
        <v>814</v>
      </c>
      <c r="Q10" s="37">
        <f>32250</f>
        <v>32250</v>
      </c>
      <c r="R10" s="34" t="s">
        <v>95</v>
      </c>
      <c r="S10" s="36">
        <f>33275</f>
        <v>33275</v>
      </c>
      <c r="T10" s="33">
        <f>23725</f>
        <v>23725</v>
      </c>
      <c r="U10" s="33">
        <f>35</f>
        <v>35</v>
      </c>
      <c r="V10" s="33">
        <f>780520996</f>
        <v>780520996</v>
      </c>
      <c r="W10" s="33">
        <f>1128096</f>
        <v>1128096</v>
      </c>
      <c r="X10" s="35">
        <f>18</f>
        <v>18</v>
      </c>
    </row>
    <row r="11" spans="1:24">
      <c r="A11" s="29" t="s">
        <v>813</v>
      </c>
      <c r="B11" s="29" t="s">
        <v>62</v>
      </c>
      <c r="C11" s="29" t="s">
        <v>63</v>
      </c>
      <c r="D11" s="29" t="s">
        <v>64</v>
      </c>
      <c r="E11" s="30" t="s">
        <v>46</v>
      </c>
      <c r="F11" s="31" t="s">
        <v>46</v>
      </c>
      <c r="G11" s="32" t="s">
        <v>46</v>
      </c>
      <c r="H11" s="27"/>
      <c r="I11" s="27" t="s">
        <v>47</v>
      </c>
      <c r="J11" s="33">
        <v>10</v>
      </c>
      <c r="K11" s="37">
        <f>775</f>
        <v>775</v>
      </c>
      <c r="L11" s="34" t="s">
        <v>814</v>
      </c>
      <c r="M11" s="37">
        <f>811</f>
        <v>811</v>
      </c>
      <c r="N11" s="34" t="s">
        <v>48</v>
      </c>
      <c r="O11" s="37">
        <f>712</f>
        <v>712</v>
      </c>
      <c r="P11" s="34" t="s">
        <v>95</v>
      </c>
      <c r="Q11" s="37">
        <f>715</f>
        <v>715</v>
      </c>
      <c r="R11" s="34" t="s">
        <v>95</v>
      </c>
      <c r="S11" s="36">
        <f>784.94</f>
        <v>784.94</v>
      </c>
      <c r="T11" s="33">
        <f>2715280</f>
        <v>2715280</v>
      </c>
      <c r="U11" s="33">
        <f>2530770</f>
        <v>2530770</v>
      </c>
      <c r="V11" s="33">
        <f>2116345660</f>
        <v>2116345660</v>
      </c>
      <c r="W11" s="33">
        <f>1972039900</f>
        <v>1972039900</v>
      </c>
      <c r="X11" s="35">
        <f>18</f>
        <v>18</v>
      </c>
    </row>
    <row r="12" spans="1:24">
      <c r="A12" s="29" t="s">
        <v>813</v>
      </c>
      <c r="B12" s="29" t="s">
        <v>66</v>
      </c>
      <c r="C12" s="29" t="s">
        <v>67</v>
      </c>
      <c r="D12" s="29" t="s">
        <v>68</v>
      </c>
      <c r="E12" s="30" t="s">
        <v>46</v>
      </c>
      <c r="F12" s="31" t="s">
        <v>46</v>
      </c>
      <c r="G12" s="32" t="s">
        <v>46</v>
      </c>
      <c r="H12" s="27"/>
      <c r="I12" s="27" t="s">
        <v>47</v>
      </c>
      <c r="J12" s="33">
        <v>1</v>
      </c>
      <c r="K12" s="37">
        <f>19610</f>
        <v>19610</v>
      </c>
      <c r="L12" s="34" t="s">
        <v>814</v>
      </c>
      <c r="M12" s="37">
        <f>20250</f>
        <v>20250</v>
      </c>
      <c r="N12" s="34" t="s">
        <v>815</v>
      </c>
      <c r="O12" s="37">
        <f>17220</f>
        <v>17220</v>
      </c>
      <c r="P12" s="34" t="s">
        <v>95</v>
      </c>
      <c r="Q12" s="37">
        <f>17220</f>
        <v>17220</v>
      </c>
      <c r="R12" s="34" t="s">
        <v>95</v>
      </c>
      <c r="S12" s="36">
        <f>19237.14</f>
        <v>19237.14</v>
      </c>
      <c r="T12" s="33">
        <f>882</f>
        <v>882</v>
      </c>
      <c r="U12" s="33" t="str">
        <f>"－"</f>
        <v>－</v>
      </c>
      <c r="V12" s="33">
        <f>16217030</f>
        <v>16217030</v>
      </c>
      <c r="W12" s="33" t="str">
        <f>"－"</f>
        <v>－</v>
      </c>
      <c r="X12" s="35">
        <f>14</f>
        <v>14</v>
      </c>
    </row>
    <row r="13" spans="1:24">
      <c r="A13" s="29" t="s">
        <v>813</v>
      </c>
      <c r="B13" s="29" t="s">
        <v>69</v>
      </c>
      <c r="C13" s="29" t="s">
        <v>70</v>
      </c>
      <c r="D13" s="29" t="s">
        <v>71</v>
      </c>
      <c r="E13" s="30" t="s">
        <v>46</v>
      </c>
      <c r="F13" s="31" t="s">
        <v>46</v>
      </c>
      <c r="G13" s="32" t="s">
        <v>46</v>
      </c>
      <c r="H13" s="27"/>
      <c r="I13" s="27" t="s">
        <v>47</v>
      </c>
      <c r="J13" s="33">
        <v>10</v>
      </c>
      <c r="K13" s="37">
        <f>2611</f>
        <v>2611</v>
      </c>
      <c r="L13" s="34" t="s">
        <v>814</v>
      </c>
      <c r="M13" s="37">
        <f>2881</f>
        <v>2881</v>
      </c>
      <c r="N13" s="34" t="s">
        <v>90</v>
      </c>
      <c r="O13" s="37">
        <f>2420</f>
        <v>2420</v>
      </c>
      <c r="P13" s="34" t="s">
        <v>95</v>
      </c>
      <c r="Q13" s="37">
        <f>2440</f>
        <v>2440</v>
      </c>
      <c r="R13" s="34" t="s">
        <v>95</v>
      </c>
      <c r="S13" s="36">
        <f>2736.53</f>
        <v>2736.53</v>
      </c>
      <c r="T13" s="33">
        <f>5860</f>
        <v>5860</v>
      </c>
      <c r="U13" s="33" t="str">
        <f>"－"</f>
        <v>－</v>
      </c>
      <c r="V13" s="33">
        <f>14995830</f>
        <v>14995830</v>
      </c>
      <c r="W13" s="33" t="str">
        <f>"－"</f>
        <v>－</v>
      </c>
      <c r="X13" s="35">
        <f>17</f>
        <v>17</v>
      </c>
    </row>
    <row r="14" spans="1:24">
      <c r="A14" s="29" t="s">
        <v>813</v>
      </c>
      <c r="B14" s="29" t="s">
        <v>73</v>
      </c>
      <c r="C14" s="29" t="s">
        <v>74</v>
      </c>
      <c r="D14" s="29" t="s">
        <v>75</v>
      </c>
      <c r="E14" s="30" t="s">
        <v>46</v>
      </c>
      <c r="F14" s="31" t="s">
        <v>46</v>
      </c>
      <c r="G14" s="32" t="s">
        <v>46</v>
      </c>
      <c r="H14" s="27"/>
      <c r="I14" s="27" t="s">
        <v>47</v>
      </c>
      <c r="J14" s="33">
        <v>1000</v>
      </c>
      <c r="K14" s="37">
        <f>328</f>
        <v>328</v>
      </c>
      <c r="L14" s="34" t="s">
        <v>814</v>
      </c>
      <c r="M14" s="37">
        <f>345</f>
        <v>345</v>
      </c>
      <c r="N14" s="34" t="s">
        <v>48</v>
      </c>
      <c r="O14" s="37">
        <f>300</f>
        <v>300</v>
      </c>
      <c r="P14" s="34" t="s">
        <v>95</v>
      </c>
      <c r="Q14" s="37">
        <f>301</f>
        <v>301</v>
      </c>
      <c r="R14" s="34" t="s">
        <v>95</v>
      </c>
      <c r="S14" s="36">
        <f>330.57</f>
        <v>330.57</v>
      </c>
      <c r="T14" s="33">
        <f>95000</f>
        <v>95000</v>
      </c>
      <c r="U14" s="33" t="str">
        <f>"－"</f>
        <v>－</v>
      </c>
      <c r="V14" s="33">
        <f>31258000</f>
        <v>31258000</v>
      </c>
      <c r="W14" s="33" t="str">
        <f>"－"</f>
        <v>－</v>
      </c>
      <c r="X14" s="35">
        <f>14</f>
        <v>14</v>
      </c>
    </row>
    <row r="15" spans="1:24">
      <c r="A15" s="29" t="s">
        <v>813</v>
      </c>
      <c r="B15" s="29" t="s">
        <v>76</v>
      </c>
      <c r="C15" s="29" t="s">
        <v>77</v>
      </c>
      <c r="D15" s="29" t="s">
        <v>78</v>
      </c>
      <c r="E15" s="30" t="s">
        <v>46</v>
      </c>
      <c r="F15" s="31" t="s">
        <v>46</v>
      </c>
      <c r="G15" s="32" t="s">
        <v>46</v>
      </c>
      <c r="H15" s="27"/>
      <c r="I15" s="27" t="s">
        <v>47</v>
      </c>
      <c r="J15" s="33">
        <v>1</v>
      </c>
      <c r="K15" s="37">
        <f>23450</f>
        <v>23450</v>
      </c>
      <c r="L15" s="34" t="s">
        <v>814</v>
      </c>
      <c r="M15" s="37">
        <f>24690</f>
        <v>24690</v>
      </c>
      <c r="N15" s="34" t="s">
        <v>48</v>
      </c>
      <c r="O15" s="37">
        <f>21540</f>
        <v>21540</v>
      </c>
      <c r="P15" s="34" t="s">
        <v>95</v>
      </c>
      <c r="Q15" s="37">
        <f>21750</f>
        <v>21750</v>
      </c>
      <c r="R15" s="34" t="s">
        <v>95</v>
      </c>
      <c r="S15" s="36">
        <f>23853.89</f>
        <v>23853.89</v>
      </c>
      <c r="T15" s="33">
        <f>1626468</f>
        <v>1626468</v>
      </c>
      <c r="U15" s="33">
        <f>146850</f>
        <v>146850</v>
      </c>
      <c r="V15" s="33">
        <f>38065418413</f>
        <v>38065418413</v>
      </c>
      <c r="W15" s="33">
        <f>3579860893</f>
        <v>3579860893</v>
      </c>
      <c r="X15" s="35">
        <f>18</f>
        <v>18</v>
      </c>
    </row>
    <row r="16" spans="1:24">
      <c r="A16" s="29" t="s">
        <v>813</v>
      </c>
      <c r="B16" s="29" t="s">
        <v>80</v>
      </c>
      <c r="C16" s="29" t="s">
        <v>81</v>
      </c>
      <c r="D16" s="29" t="s">
        <v>82</v>
      </c>
      <c r="E16" s="30" t="s">
        <v>46</v>
      </c>
      <c r="F16" s="31" t="s">
        <v>46</v>
      </c>
      <c r="G16" s="32" t="s">
        <v>46</v>
      </c>
      <c r="H16" s="27"/>
      <c r="I16" s="27" t="s">
        <v>47</v>
      </c>
      <c r="J16" s="33">
        <v>1</v>
      </c>
      <c r="K16" s="37">
        <f>23480</f>
        <v>23480</v>
      </c>
      <c r="L16" s="34" t="s">
        <v>814</v>
      </c>
      <c r="M16" s="37">
        <f>24730</f>
        <v>24730</v>
      </c>
      <c r="N16" s="34" t="s">
        <v>48</v>
      </c>
      <c r="O16" s="37">
        <f>21590</f>
        <v>21590</v>
      </c>
      <c r="P16" s="34" t="s">
        <v>95</v>
      </c>
      <c r="Q16" s="37">
        <f>21790</f>
        <v>21790</v>
      </c>
      <c r="R16" s="34" t="s">
        <v>95</v>
      </c>
      <c r="S16" s="36">
        <f>23892.78</f>
        <v>23892.78</v>
      </c>
      <c r="T16" s="33">
        <f>5300968</f>
        <v>5300968</v>
      </c>
      <c r="U16" s="33">
        <f>348404</f>
        <v>348404</v>
      </c>
      <c r="V16" s="33">
        <f>124727417409</f>
        <v>124727417409</v>
      </c>
      <c r="W16" s="33">
        <f>8343715979</f>
        <v>8343715979</v>
      </c>
      <c r="X16" s="35">
        <f>18</f>
        <v>18</v>
      </c>
    </row>
    <row r="17" spans="1:24">
      <c r="A17" s="29" t="s">
        <v>813</v>
      </c>
      <c r="B17" s="29" t="s">
        <v>83</v>
      </c>
      <c r="C17" s="29" t="s">
        <v>84</v>
      </c>
      <c r="D17" s="29" t="s">
        <v>85</v>
      </c>
      <c r="E17" s="30" t="s">
        <v>46</v>
      </c>
      <c r="F17" s="31" t="s">
        <v>46</v>
      </c>
      <c r="G17" s="32" t="s">
        <v>46</v>
      </c>
      <c r="H17" s="27"/>
      <c r="I17" s="27" t="s">
        <v>47</v>
      </c>
      <c r="J17" s="33">
        <v>10</v>
      </c>
      <c r="K17" s="37">
        <f>5660</f>
        <v>5660</v>
      </c>
      <c r="L17" s="34" t="s">
        <v>814</v>
      </c>
      <c r="M17" s="37">
        <f>6180</f>
        <v>6180</v>
      </c>
      <c r="N17" s="34" t="s">
        <v>150</v>
      </c>
      <c r="O17" s="37">
        <f>5440</f>
        <v>5440</v>
      </c>
      <c r="P17" s="34" t="s">
        <v>814</v>
      </c>
      <c r="Q17" s="37">
        <f>5700</f>
        <v>5700</v>
      </c>
      <c r="R17" s="34" t="s">
        <v>95</v>
      </c>
      <c r="S17" s="36">
        <f>5820.56</f>
        <v>5820.56</v>
      </c>
      <c r="T17" s="33">
        <f>13590</f>
        <v>13590</v>
      </c>
      <c r="U17" s="33">
        <f>60</f>
        <v>60</v>
      </c>
      <c r="V17" s="33">
        <f>79241700</f>
        <v>79241700</v>
      </c>
      <c r="W17" s="33">
        <f>345600</f>
        <v>345600</v>
      </c>
      <c r="X17" s="35">
        <f>18</f>
        <v>18</v>
      </c>
    </row>
    <row r="18" spans="1:24">
      <c r="A18" s="29" t="s">
        <v>813</v>
      </c>
      <c r="B18" s="29" t="s">
        <v>87</v>
      </c>
      <c r="C18" s="29" t="s">
        <v>88</v>
      </c>
      <c r="D18" s="29" t="s">
        <v>89</v>
      </c>
      <c r="E18" s="30" t="s">
        <v>46</v>
      </c>
      <c r="F18" s="31" t="s">
        <v>46</v>
      </c>
      <c r="G18" s="32" t="s">
        <v>46</v>
      </c>
      <c r="H18" s="27"/>
      <c r="I18" s="27" t="s">
        <v>47</v>
      </c>
      <c r="J18" s="33">
        <v>100</v>
      </c>
      <c r="K18" s="37">
        <f>355</f>
        <v>355</v>
      </c>
      <c r="L18" s="34" t="s">
        <v>814</v>
      </c>
      <c r="M18" s="37">
        <f>365</f>
        <v>365</v>
      </c>
      <c r="N18" s="34" t="s">
        <v>48</v>
      </c>
      <c r="O18" s="37">
        <f>335</f>
        <v>335</v>
      </c>
      <c r="P18" s="34" t="s">
        <v>95</v>
      </c>
      <c r="Q18" s="37">
        <f>337</f>
        <v>337</v>
      </c>
      <c r="R18" s="34" t="s">
        <v>95</v>
      </c>
      <c r="S18" s="36">
        <f>358.83</f>
        <v>358.83</v>
      </c>
      <c r="T18" s="33">
        <f>37500</f>
        <v>37500</v>
      </c>
      <c r="U18" s="33" t="str">
        <f>"－"</f>
        <v>－</v>
      </c>
      <c r="V18" s="33">
        <f>13255500</f>
        <v>13255500</v>
      </c>
      <c r="W18" s="33" t="str">
        <f>"－"</f>
        <v>－</v>
      </c>
      <c r="X18" s="35">
        <f>18</f>
        <v>18</v>
      </c>
    </row>
    <row r="19" spans="1:24">
      <c r="A19" s="29" t="s">
        <v>813</v>
      </c>
      <c r="B19" s="29" t="s">
        <v>92</v>
      </c>
      <c r="C19" s="29" t="s">
        <v>93</v>
      </c>
      <c r="D19" s="29" t="s">
        <v>94</v>
      </c>
      <c r="E19" s="30" t="s">
        <v>46</v>
      </c>
      <c r="F19" s="31" t="s">
        <v>46</v>
      </c>
      <c r="G19" s="32" t="s">
        <v>46</v>
      </c>
      <c r="H19" s="27"/>
      <c r="I19" s="27" t="s">
        <v>47</v>
      </c>
      <c r="J19" s="33">
        <v>100</v>
      </c>
      <c r="K19" s="37">
        <f>161</f>
        <v>161</v>
      </c>
      <c r="L19" s="34" t="s">
        <v>814</v>
      </c>
      <c r="M19" s="37">
        <f>170</f>
        <v>170</v>
      </c>
      <c r="N19" s="34" t="s">
        <v>48</v>
      </c>
      <c r="O19" s="37">
        <f>134</f>
        <v>134</v>
      </c>
      <c r="P19" s="34" t="s">
        <v>95</v>
      </c>
      <c r="Q19" s="37">
        <f>139</f>
        <v>139</v>
      </c>
      <c r="R19" s="34" t="s">
        <v>95</v>
      </c>
      <c r="S19" s="36">
        <f>160.78</f>
        <v>160.78</v>
      </c>
      <c r="T19" s="33">
        <f>759000</f>
        <v>759000</v>
      </c>
      <c r="U19" s="33">
        <f>3900</f>
        <v>3900</v>
      </c>
      <c r="V19" s="33">
        <f>117745523</f>
        <v>117745523</v>
      </c>
      <c r="W19" s="33">
        <f>555123</f>
        <v>555123</v>
      </c>
      <c r="X19" s="35">
        <f>18</f>
        <v>18</v>
      </c>
    </row>
    <row r="20" spans="1:24">
      <c r="A20" s="29" t="s">
        <v>813</v>
      </c>
      <c r="B20" s="29" t="s">
        <v>96</v>
      </c>
      <c r="C20" s="29" t="s">
        <v>97</v>
      </c>
      <c r="D20" s="29" t="s">
        <v>98</v>
      </c>
      <c r="E20" s="30" t="s">
        <v>46</v>
      </c>
      <c r="F20" s="31" t="s">
        <v>46</v>
      </c>
      <c r="G20" s="32" t="s">
        <v>46</v>
      </c>
      <c r="H20" s="27"/>
      <c r="I20" s="27" t="s">
        <v>47</v>
      </c>
      <c r="J20" s="33">
        <v>100</v>
      </c>
      <c r="K20" s="37">
        <f>207</f>
        <v>207</v>
      </c>
      <c r="L20" s="34" t="s">
        <v>814</v>
      </c>
      <c r="M20" s="37">
        <f>217</f>
        <v>217</v>
      </c>
      <c r="N20" s="34" t="s">
        <v>48</v>
      </c>
      <c r="O20" s="37">
        <f>179</f>
        <v>179</v>
      </c>
      <c r="P20" s="34" t="s">
        <v>95</v>
      </c>
      <c r="Q20" s="37">
        <f>179</f>
        <v>179</v>
      </c>
      <c r="R20" s="34" t="s">
        <v>95</v>
      </c>
      <c r="S20" s="36">
        <f>207</f>
        <v>207</v>
      </c>
      <c r="T20" s="33">
        <f>432700</f>
        <v>432700</v>
      </c>
      <c r="U20" s="33">
        <f>100</f>
        <v>100</v>
      </c>
      <c r="V20" s="33">
        <f>86863590</f>
        <v>86863590</v>
      </c>
      <c r="W20" s="33">
        <f>21590</f>
        <v>21590</v>
      </c>
      <c r="X20" s="35">
        <f>18</f>
        <v>18</v>
      </c>
    </row>
    <row r="21" spans="1:24">
      <c r="A21" s="29" t="s">
        <v>813</v>
      </c>
      <c r="B21" s="29" t="s">
        <v>101</v>
      </c>
      <c r="C21" s="29" t="s">
        <v>102</v>
      </c>
      <c r="D21" s="29" t="s">
        <v>103</v>
      </c>
      <c r="E21" s="30" t="s">
        <v>46</v>
      </c>
      <c r="F21" s="31" t="s">
        <v>46</v>
      </c>
      <c r="G21" s="32" t="s">
        <v>46</v>
      </c>
      <c r="H21" s="27"/>
      <c r="I21" s="27" t="s">
        <v>47</v>
      </c>
      <c r="J21" s="33">
        <v>1</v>
      </c>
      <c r="K21" s="37">
        <f>16240</f>
        <v>16240</v>
      </c>
      <c r="L21" s="34" t="s">
        <v>814</v>
      </c>
      <c r="M21" s="37">
        <f>17410</f>
        <v>17410</v>
      </c>
      <c r="N21" s="34" t="s">
        <v>816</v>
      </c>
      <c r="O21" s="37">
        <f>16000</f>
        <v>16000</v>
      </c>
      <c r="P21" s="34" t="s">
        <v>817</v>
      </c>
      <c r="Q21" s="37">
        <f>16700</f>
        <v>16700</v>
      </c>
      <c r="R21" s="34" t="s">
        <v>95</v>
      </c>
      <c r="S21" s="36">
        <f>16512.22</f>
        <v>16512.22</v>
      </c>
      <c r="T21" s="33">
        <f>215168</f>
        <v>215168</v>
      </c>
      <c r="U21" s="33" t="str">
        <f>"－"</f>
        <v>－</v>
      </c>
      <c r="V21" s="33">
        <f>3583759860</f>
        <v>3583759860</v>
      </c>
      <c r="W21" s="33" t="str">
        <f>"－"</f>
        <v>－</v>
      </c>
      <c r="X21" s="35">
        <f>18</f>
        <v>18</v>
      </c>
    </row>
    <row r="22" spans="1:24">
      <c r="A22" s="29" t="s">
        <v>813</v>
      </c>
      <c r="B22" s="29" t="s">
        <v>104</v>
      </c>
      <c r="C22" s="29" t="s">
        <v>105</v>
      </c>
      <c r="D22" s="29" t="s">
        <v>106</v>
      </c>
      <c r="E22" s="30" t="s">
        <v>46</v>
      </c>
      <c r="F22" s="31" t="s">
        <v>46</v>
      </c>
      <c r="G22" s="32" t="s">
        <v>46</v>
      </c>
      <c r="H22" s="27"/>
      <c r="I22" s="27" t="s">
        <v>47</v>
      </c>
      <c r="J22" s="33">
        <v>1</v>
      </c>
      <c r="K22" s="37">
        <f>3115</f>
        <v>3115</v>
      </c>
      <c r="L22" s="34" t="s">
        <v>814</v>
      </c>
      <c r="M22" s="37">
        <f>3160</f>
        <v>3160</v>
      </c>
      <c r="N22" s="34" t="s">
        <v>818</v>
      </c>
      <c r="O22" s="37">
        <f>2989</f>
        <v>2989</v>
      </c>
      <c r="P22" s="34" t="s">
        <v>48</v>
      </c>
      <c r="Q22" s="37">
        <f>3005</f>
        <v>3005</v>
      </c>
      <c r="R22" s="34" t="s">
        <v>95</v>
      </c>
      <c r="S22" s="36">
        <f>3095.83</f>
        <v>3095.83</v>
      </c>
      <c r="T22" s="33">
        <f>944</f>
        <v>944</v>
      </c>
      <c r="U22" s="33" t="str">
        <f>"－"</f>
        <v>－</v>
      </c>
      <c r="V22" s="33">
        <f>2887405</f>
        <v>2887405</v>
      </c>
      <c r="W22" s="33" t="str">
        <f>"－"</f>
        <v>－</v>
      </c>
      <c r="X22" s="35">
        <f>18</f>
        <v>18</v>
      </c>
    </row>
    <row r="23" spans="1:24">
      <c r="A23" s="29" t="s">
        <v>813</v>
      </c>
      <c r="B23" s="29" t="s">
        <v>107</v>
      </c>
      <c r="C23" s="29" t="s">
        <v>108</v>
      </c>
      <c r="D23" s="29" t="s">
        <v>109</v>
      </c>
      <c r="E23" s="30" t="s">
        <v>46</v>
      </c>
      <c r="F23" s="31" t="s">
        <v>46</v>
      </c>
      <c r="G23" s="32" t="s">
        <v>46</v>
      </c>
      <c r="H23" s="27"/>
      <c r="I23" s="27" t="s">
        <v>47</v>
      </c>
      <c r="J23" s="33">
        <v>10</v>
      </c>
      <c r="K23" s="37">
        <f>4460</f>
        <v>4460</v>
      </c>
      <c r="L23" s="34" t="s">
        <v>814</v>
      </c>
      <c r="M23" s="37">
        <f>4840</f>
        <v>4840</v>
      </c>
      <c r="N23" s="34" t="s">
        <v>816</v>
      </c>
      <c r="O23" s="37">
        <f>4340</f>
        <v>4340</v>
      </c>
      <c r="P23" s="34" t="s">
        <v>48</v>
      </c>
      <c r="Q23" s="37">
        <f>4740</f>
        <v>4740</v>
      </c>
      <c r="R23" s="34" t="s">
        <v>95</v>
      </c>
      <c r="S23" s="36">
        <f>4519.17</f>
        <v>4519.17</v>
      </c>
      <c r="T23" s="33">
        <f>173000</f>
        <v>173000</v>
      </c>
      <c r="U23" s="33">
        <f>130</f>
        <v>130</v>
      </c>
      <c r="V23" s="33">
        <f>800558150</f>
        <v>800558150</v>
      </c>
      <c r="W23" s="33">
        <f>616200</f>
        <v>616200</v>
      </c>
      <c r="X23" s="35">
        <f>18</f>
        <v>18</v>
      </c>
    </row>
    <row r="24" spans="1:24">
      <c r="A24" s="29" t="s">
        <v>813</v>
      </c>
      <c r="B24" s="29" t="s">
        <v>110</v>
      </c>
      <c r="C24" s="29" t="s">
        <v>111</v>
      </c>
      <c r="D24" s="29" t="s">
        <v>112</v>
      </c>
      <c r="E24" s="30" t="s">
        <v>46</v>
      </c>
      <c r="F24" s="31" t="s">
        <v>46</v>
      </c>
      <c r="G24" s="32" t="s">
        <v>46</v>
      </c>
      <c r="H24" s="27"/>
      <c r="I24" s="27" t="s">
        <v>47</v>
      </c>
      <c r="J24" s="33">
        <v>1</v>
      </c>
      <c r="K24" s="37">
        <f>23570</f>
        <v>23570</v>
      </c>
      <c r="L24" s="34" t="s">
        <v>814</v>
      </c>
      <c r="M24" s="37">
        <f>24660</f>
        <v>24660</v>
      </c>
      <c r="N24" s="34" t="s">
        <v>48</v>
      </c>
      <c r="O24" s="37">
        <f>21470</f>
        <v>21470</v>
      </c>
      <c r="P24" s="34" t="s">
        <v>95</v>
      </c>
      <c r="Q24" s="37">
        <f>21620</f>
        <v>21620</v>
      </c>
      <c r="R24" s="34" t="s">
        <v>95</v>
      </c>
      <c r="S24" s="36">
        <f>23810.56</f>
        <v>23810.560000000001</v>
      </c>
      <c r="T24" s="33">
        <f>1042061</f>
        <v>1042061</v>
      </c>
      <c r="U24" s="33">
        <f>472267</f>
        <v>472267</v>
      </c>
      <c r="V24" s="33">
        <f>24748406450</f>
        <v>24748406450</v>
      </c>
      <c r="W24" s="33">
        <f>11342896750</f>
        <v>11342896750</v>
      </c>
      <c r="X24" s="35">
        <f>18</f>
        <v>18</v>
      </c>
    </row>
    <row r="25" spans="1:24">
      <c r="A25" s="29" t="s">
        <v>813</v>
      </c>
      <c r="B25" s="29" t="s">
        <v>113</v>
      </c>
      <c r="C25" s="29" t="s">
        <v>114</v>
      </c>
      <c r="D25" s="29" t="s">
        <v>115</v>
      </c>
      <c r="E25" s="30" t="s">
        <v>46</v>
      </c>
      <c r="F25" s="31" t="s">
        <v>46</v>
      </c>
      <c r="G25" s="32" t="s">
        <v>46</v>
      </c>
      <c r="H25" s="27"/>
      <c r="I25" s="27" t="s">
        <v>47</v>
      </c>
      <c r="J25" s="33">
        <v>10</v>
      </c>
      <c r="K25" s="37">
        <f>23530</f>
        <v>23530</v>
      </c>
      <c r="L25" s="34" t="s">
        <v>814</v>
      </c>
      <c r="M25" s="37">
        <f>24800</f>
        <v>24800</v>
      </c>
      <c r="N25" s="34" t="s">
        <v>48</v>
      </c>
      <c r="O25" s="37">
        <f>21640</f>
        <v>21640</v>
      </c>
      <c r="P25" s="34" t="s">
        <v>95</v>
      </c>
      <c r="Q25" s="37">
        <f>21770</f>
        <v>21770</v>
      </c>
      <c r="R25" s="34" t="s">
        <v>95</v>
      </c>
      <c r="S25" s="36">
        <f>23949.44</f>
        <v>23949.439999999999</v>
      </c>
      <c r="T25" s="33">
        <f>1485040</f>
        <v>1485040</v>
      </c>
      <c r="U25" s="33">
        <f>142440</f>
        <v>142440</v>
      </c>
      <c r="V25" s="33">
        <f>34870251743</f>
        <v>34870251743</v>
      </c>
      <c r="W25" s="33">
        <f>3458349843</f>
        <v>3458349843</v>
      </c>
      <c r="X25" s="35">
        <f>18</f>
        <v>18</v>
      </c>
    </row>
    <row r="26" spans="1:24">
      <c r="A26" s="29" t="s">
        <v>813</v>
      </c>
      <c r="B26" s="29" t="s">
        <v>116</v>
      </c>
      <c r="C26" s="29" t="s">
        <v>117</v>
      </c>
      <c r="D26" s="29" t="s">
        <v>118</v>
      </c>
      <c r="E26" s="30" t="s">
        <v>46</v>
      </c>
      <c r="F26" s="31" t="s">
        <v>46</v>
      </c>
      <c r="G26" s="32" t="s">
        <v>46</v>
      </c>
      <c r="H26" s="27"/>
      <c r="I26" s="27" t="s">
        <v>47</v>
      </c>
      <c r="J26" s="33">
        <v>10</v>
      </c>
      <c r="K26" s="37">
        <f>2373</f>
        <v>2373</v>
      </c>
      <c r="L26" s="34" t="s">
        <v>814</v>
      </c>
      <c r="M26" s="37">
        <f>2402</f>
        <v>2402</v>
      </c>
      <c r="N26" s="34" t="s">
        <v>819</v>
      </c>
      <c r="O26" s="37">
        <f>2150</f>
        <v>2150</v>
      </c>
      <c r="P26" s="34" t="s">
        <v>95</v>
      </c>
      <c r="Q26" s="37">
        <f>2159</f>
        <v>2159</v>
      </c>
      <c r="R26" s="34" t="s">
        <v>95</v>
      </c>
      <c r="S26" s="36">
        <f>2354.39</f>
        <v>2354.39</v>
      </c>
      <c r="T26" s="33">
        <f>8247950</f>
        <v>8247950</v>
      </c>
      <c r="U26" s="33">
        <f>1066210</f>
        <v>1066210</v>
      </c>
      <c r="V26" s="33">
        <f>19225591450</f>
        <v>19225591450</v>
      </c>
      <c r="W26" s="33">
        <f>2480688110</f>
        <v>2480688110</v>
      </c>
      <c r="X26" s="35">
        <f>18</f>
        <v>18</v>
      </c>
    </row>
    <row r="27" spans="1:24">
      <c r="A27" s="29" t="s">
        <v>813</v>
      </c>
      <c r="B27" s="29" t="s">
        <v>120</v>
      </c>
      <c r="C27" s="29" t="s">
        <v>121</v>
      </c>
      <c r="D27" s="29" t="s">
        <v>122</v>
      </c>
      <c r="E27" s="30" t="s">
        <v>46</v>
      </c>
      <c r="F27" s="31" t="s">
        <v>46</v>
      </c>
      <c r="G27" s="32" t="s">
        <v>46</v>
      </c>
      <c r="H27" s="27"/>
      <c r="I27" s="27" t="s">
        <v>47</v>
      </c>
      <c r="J27" s="33">
        <v>10</v>
      </c>
      <c r="K27" s="37">
        <f>744</f>
        <v>744</v>
      </c>
      <c r="L27" s="34" t="s">
        <v>814</v>
      </c>
      <c r="M27" s="37">
        <f>776</f>
        <v>776</v>
      </c>
      <c r="N27" s="34" t="s">
        <v>816</v>
      </c>
      <c r="O27" s="37">
        <f>692</f>
        <v>692</v>
      </c>
      <c r="P27" s="34" t="s">
        <v>95</v>
      </c>
      <c r="Q27" s="37">
        <f>726</f>
        <v>726</v>
      </c>
      <c r="R27" s="34" t="s">
        <v>95</v>
      </c>
      <c r="S27" s="36">
        <f>745.61</f>
        <v>745.61</v>
      </c>
      <c r="T27" s="33">
        <f>44640</f>
        <v>44640</v>
      </c>
      <c r="U27" s="33" t="str">
        <f>"－"</f>
        <v>－</v>
      </c>
      <c r="V27" s="33">
        <f>33623410</f>
        <v>33623410</v>
      </c>
      <c r="W27" s="33" t="str">
        <f>"－"</f>
        <v>－</v>
      </c>
      <c r="X27" s="35">
        <f>18</f>
        <v>18</v>
      </c>
    </row>
    <row r="28" spans="1:24">
      <c r="A28" s="29" t="s">
        <v>813</v>
      </c>
      <c r="B28" s="29" t="s">
        <v>123</v>
      </c>
      <c r="C28" s="29" t="s">
        <v>124</v>
      </c>
      <c r="D28" s="29" t="s">
        <v>125</v>
      </c>
      <c r="E28" s="30" t="s">
        <v>46</v>
      </c>
      <c r="F28" s="31" t="s">
        <v>46</v>
      </c>
      <c r="G28" s="32" t="s">
        <v>46</v>
      </c>
      <c r="H28" s="27"/>
      <c r="I28" s="27" t="s">
        <v>47</v>
      </c>
      <c r="J28" s="33">
        <v>100</v>
      </c>
      <c r="K28" s="37">
        <f>2229</f>
        <v>2229</v>
      </c>
      <c r="L28" s="34" t="s">
        <v>814</v>
      </c>
      <c r="M28" s="37">
        <f>2280</f>
        <v>2280</v>
      </c>
      <c r="N28" s="34" t="s">
        <v>150</v>
      </c>
      <c r="O28" s="37">
        <f>2039</f>
        <v>2039</v>
      </c>
      <c r="P28" s="34" t="s">
        <v>95</v>
      </c>
      <c r="Q28" s="37">
        <f>2048</f>
        <v>2048</v>
      </c>
      <c r="R28" s="34" t="s">
        <v>95</v>
      </c>
      <c r="S28" s="36">
        <f>2228.78</f>
        <v>2228.7800000000002</v>
      </c>
      <c r="T28" s="33">
        <f>1703100</f>
        <v>1703100</v>
      </c>
      <c r="U28" s="33">
        <f>68700</f>
        <v>68700</v>
      </c>
      <c r="V28" s="33">
        <f>3760655935</f>
        <v>3760655935</v>
      </c>
      <c r="W28" s="33">
        <f>154939335</f>
        <v>154939335</v>
      </c>
      <c r="X28" s="35">
        <f>18</f>
        <v>18</v>
      </c>
    </row>
    <row r="29" spans="1:24">
      <c r="A29" s="29" t="s">
        <v>813</v>
      </c>
      <c r="B29" s="29" t="s">
        <v>126</v>
      </c>
      <c r="C29" s="29" t="s">
        <v>127</v>
      </c>
      <c r="D29" s="29" t="s">
        <v>128</v>
      </c>
      <c r="E29" s="30" t="s">
        <v>46</v>
      </c>
      <c r="F29" s="31" t="s">
        <v>46</v>
      </c>
      <c r="G29" s="32" t="s">
        <v>46</v>
      </c>
      <c r="H29" s="27"/>
      <c r="I29" s="27" t="s">
        <v>47</v>
      </c>
      <c r="J29" s="33">
        <v>1</v>
      </c>
      <c r="K29" s="37">
        <f>23400</f>
        <v>23400</v>
      </c>
      <c r="L29" s="34" t="s">
        <v>814</v>
      </c>
      <c r="M29" s="37">
        <f>24650</f>
        <v>24650</v>
      </c>
      <c r="N29" s="34" t="s">
        <v>48</v>
      </c>
      <c r="O29" s="37">
        <f>21530</f>
        <v>21530</v>
      </c>
      <c r="P29" s="34" t="s">
        <v>95</v>
      </c>
      <c r="Q29" s="37">
        <f>21690</f>
        <v>21690</v>
      </c>
      <c r="R29" s="34" t="s">
        <v>95</v>
      </c>
      <c r="S29" s="36">
        <f>23813.33</f>
        <v>23813.33</v>
      </c>
      <c r="T29" s="33">
        <f>587969</f>
        <v>587969</v>
      </c>
      <c r="U29" s="33">
        <f>36112</f>
        <v>36112</v>
      </c>
      <c r="V29" s="33">
        <f>13758809796</f>
        <v>13758809796</v>
      </c>
      <c r="W29" s="33">
        <f>858555516</f>
        <v>858555516</v>
      </c>
      <c r="X29" s="35">
        <f>18</f>
        <v>18</v>
      </c>
    </row>
    <row r="30" spans="1:24">
      <c r="A30" s="29" t="s">
        <v>813</v>
      </c>
      <c r="B30" s="29" t="s">
        <v>129</v>
      </c>
      <c r="C30" s="29" t="s">
        <v>130</v>
      </c>
      <c r="D30" s="29" t="s">
        <v>131</v>
      </c>
      <c r="E30" s="30" t="s">
        <v>46</v>
      </c>
      <c r="F30" s="31" t="s">
        <v>46</v>
      </c>
      <c r="G30" s="32" t="s">
        <v>46</v>
      </c>
      <c r="H30" s="27"/>
      <c r="I30" s="27" t="s">
        <v>47</v>
      </c>
      <c r="J30" s="33">
        <v>10</v>
      </c>
      <c r="K30" s="37">
        <f>1702</f>
        <v>1702</v>
      </c>
      <c r="L30" s="34" t="s">
        <v>814</v>
      </c>
      <c r="M30" s="37">
        <f>1793</f>
        <v>1793</v>
      </c>
      <c r="N30" s="34" t="s">
        <v>48</v>
      </c>
      <c r="O30" s="37">
        <f>1542</f>
        <v>1542</v>
      </c>
      <c r="P30" s="34" t="s">
        <v>95</v>
      </c>
      <c r="Q30" s="37">
        <f>1554</f>
        <v>1554</v>
      </c>
      <c r="R30" s="34" t="s">
        <v>95</v>
      </c>
      <c r="S30" s="36">
        <f>1715.56</f>
        <v>1715.56</v>
      </c>
      <c r="T30" s="33">
        <f>2195040</f>
        <v>2195040</v>
      </c>
      <c r="U30" s="33">
        <f>480720</f>
        <v>480720</v>
      </c>
      <c r="V30" s="33">
        <f>3595557785</f>
        <v>3595557785</v>
      </c>
      <c r="W30" s="33">
        <f>782040125</f>
        <v>782040125</v>
      </c>
      <c r="X30" s="35">
        <f>18</f>
        <v>18</v>
      </c>
    </row>
    <row r="31" spans="1:24">
      <c r="A31" s="29" t="s">
        <v>813</v>
      </c>
      <c r="B31" s="29" t="s">
        <v>132</v>
      </c>
      <c r="C31" s="29" t="s">
        <v>133</v>
      </c>
      <c r="D31" s="29" t="s">
        <v>134</v>
      </c>
      <c r="E31" s="30" t="s">
        <v>46</v>
      </c>
      <c r="F31" s="31" t="s">
        <v>46</v>
      </c>
      <c r="G31" s="32" t="s">
        <v>46</v>
      </c>
      <c r="H31" s="27"/>
      <c r="I31" s="27" t="s">
        <v>47</v>
      </c>
      <c r="J31" s="33">
        <v>1</v>
      </c>
      <c r="K31" s="37">
        <f>12900</f>
        <v>12900</v>
      </c>
      <c r="L31" s="34" t="s">
        <v>814</v>
      </c>
      <c r="M31" s="37">
        <f>13210</f>
        <v>13210</v>
      </c>
      <c r="N31" s="34" t="s">
        <v>150</v>
      </c>
      <c r="O31" s="37">
        <f>12850</f>
        <v>12850</v>
      </c>
      <c r="P31" s="34" t="s">
        <v>814</v>
      </c>
      <c r="Q31" s="37">
        <f>12880</f>
        <v>12880</v>
      </c>
      <c r="R31" s="34" t="s">
        <v>95</v>
      </c>
      <c r="S31" s="36">
        <f>12996.67</f>
        <v>12996.67</v>
      </c>
      <c r="T31" s="33">
        <f>957</f>
        <v>957</v>
      </c>
      <c r="U31" s="33" t="str">
        <f>"－"</f>
        <v>－</v>
      </c>
      <c r="V31" s="33">
        <f>12406500</f>
        <v>12406500</v>
      </c>
      <c r="W31" s="33" t="str">
        <f>"－"</f>
        <v>－</v>
      </c>
      <c r="X31" s="35">
        <f>18</f>
        <v>18</v>
      </c>
    </row>
    <row r="32" spans="1:24">
      <c r="A32" s="29" t="s">
        <v>813</v>
      </c>
      <c r="B32" s="29" t="s">
        <v>135</v>
      </c>
      <c r="C32" s="29" t="s">
        <v>136</v>
      </c>
      <c r="D32" s="29" t="s">
        <v>137</v>
      </c>
      <c r="E32" s="30" t="s">
        <v>46</v>
      </c>
      <c r="F32" s="31" t="s">
        <v>46</v>
      </c>
      <c r="G32" s="32" t="s">
        <v>46</v>
      </c>
      <c r="H32" s="27"/>
      <c r="I32" s="27" t="s">
        <v>47</v>
      </c>
      <c r="J32" s="33">
        <v>10</v>
      </c>
      <c r="K32" s="37">
        <f>2136</f>
        <v>2136</v>
      </c>
      <c r="L32" s="34" t="s">
        <v>814</v>
      </c>
      <c r="M32" s="37">
        <f>2562</f>
        <v>2562</v>
      </c>
      <c r="N32" s="34" t="s">
        <v>95</v>
      </c>
      <c r="O32" s="37">
        <f>1915</f>
        <v>1915</v>
      </c>
      <c r="P32" s="34" t="s">
        <v>48</v>
      </c>
      <c r="Q32" s="37">
        <f>2524</f>
        <v>2524</v>
      </c>
      <c r="R32" s="34" t="s">
        <v>95</v>
      </c>
      <c r="S32" s="36">
        <f>2096.22</f>
        <v>2096.2199999999998</v>
      </c>
      <c r="T32" s="33">
        <f>6944390</f>
        <v>6944390</v>
      </c>
      <c r="U32" s="33">
        <f>41170</f>
        <v>41170</v>
      </c>
      <c r="V32" s="33">
        <f>15133573257</f>
        <v>15133573257</v>
      </c>
      <c r="W32" s="33">
        <f>88029317</f>
        <v>88029317</v>
      </c>
      <c r="X32" s="35">
        <f>18</f>
        <v>18</v>
      </c>
    </row>
    <row r="33" spans="1:24">
      <c r="A33" s="29" t="s">
        <v>813</v>
      </c>
      <c r="B33" s="29" t="s">
        <v>138</v>
      </c>
      <c r="C33" s="29" t="s">
        <v>139</v>
      </c>
      <c r="D33" s="29" t="s">
        <v>140</v>
      </c>
      <c r="E33" s="30" t="s">
        <v>46</v>
      </c>
      <c r="F33" s="31" t="s">
        <v>46</v>
      </c>
      <c r="G33" s="32" t="s">
        <v>46</v>
      </c>
      <c r="H33" s="27"/>
      <c r="I33" s="27" t="s">
        <v>47</v>
      </c>
      <c r="J33" s="33">
        <v>1</v>
      </c>
      <c r="K33" s="37">
        <f>942</f>
        <v>942</v>
      </c>
      <c r="L33" s="34" t="s">
        <v>814</v>
      </c>
      <c r="M33" s="37">
        <f>1097</f>
        <v>1097</v>
      </c>
      <c r="N33" s="34" t="s">
        <v>95</v>
      </c>
      <c r="O33" s="37">
        <f>846</f>
        <v>846</v>
      </c>
      <c r="P33" s="34" t="s">
        <v>48</v>
      </c>
      <c r="Q33" s="37">
        <f>1081</f>
        <v>1081</v>
      </c>
      <c r="R33" s="34" t="s">
        <v>95</v>
      </c>
      <c r="S33" s="36">
        <f>907.28</f>
        <v>907.28</v>
      </c>
      <c r="T33" s="33">
        <f>868187619</f>
        <v>868187619</v>
      </c>
      <c r="U33" s="33">
        <f>5929729</f>
        <v>5929729</v>
      </c>
      <c r="V33" s="33">
        <f>812248036039</f>
        <v>812248036039</v>
      </c>
      <c r="W33" s="33">
        <f>5535040659</f>
        <v>5535040659</v>
      </c>
      <c r="X33" s="35">
        <f>18</f>
        <v>18</v>
      </c>
    </row>
    <row r="34" spans="1:24">
      <c r="A34" s="29" t="s">
        <v>813</v>
      </c>
      <c r="B34" s="29" t="s">
        <v>141</v>
      </c>
      <c r="C34" s="29" t="s">
        <v>142</v>
      </c>
      <c r="D34" s="29" t="s">
        <v>143</v>
      </c>
      <c r="E34" s="30" t="s">
        <v>46</v>
      </c>
      <c r="F34" s="31" t="s">
        <v>46</v>
      </c>
      <c r="G34" s="32" t="s">
        <v>46</v>
      </c>
      <c r="H34" s="27"/>
      <c r="I34" s="27" t="s">
        <v>47</v>
      </c>
      <c r="J34" s="33">
        <v>1</v>
      </c>
      <c r="K34" s="37">
        <f>19520</f>
        <v>19520</v>
      </c>
      <c r="L34" s="34" t="s">
        <v>814</v>
      </c>
      <c r="M34" s="37">
        <f>21590</f>
        <v>21590</v>
      </c>
      <c r="N34" s="34" t="s">
        <v>48</v>
      </c>
      <c r="O34" s="37">
        <f>16350</f>
        <v>16350</v>
      </c>
      <c r="P34" s="34" t="s">
        <v>95</v>
      </c>
      <c r="Q34" s="37">
        <f>16560</f>
        <v>16560</v>
      </c>
      <c r="R34" s="34" t="s">
        <v>95</v>
      </c>
      <c r="S34" s="36">
        <f>20162.22</f>
        <v>20162.22</v>
      </c>
      <c r="T34" s="33">
        <f>275597</f>
        <v>275597</v>
      </c>
      <c r="U34" s="33">
        <f>227</f>
        <v>227</v>
      </c>
      <c r="V34" s="33">
        <f>5330277926</f>
        <v>5330277926</v>
      </c>
      <c r="W34" s="33">
        <f>4477276</f>
        <v>4477276</v>
      </c>
      <c r="X34" s="35">
        <f>18</f>
        <v>18</v>
      </c>
    </row>
    <row r="35" spans="1:24">
      <c r="A35" s="29" t="s">
        <v>813</v>
      </c>
      <c r="B35" s="29" t="s">
        <v>144</v>
      </c>
      <c r="C35" s="29" t="s">
        <v>145</v>
      </c>
      <c r="D35" s="29" t="s">
        <v>146</v>
      </c>
      <c r="E35" s="30" t="s">
        <v>46</v>
      </c>
      <c r="F35" s="31" t="s">
        <v>46</v>
      </c>
      <c r="G35" s="32" t="s">
        <v>46</v>
      </c>
      <c r="H35" s="27"/>
      <c r="I35" s="27" t="s">
        <v>47</v>
      </c>
      <c r="J35" s="33">
        <v>10</v>
      </c>
      <c r="K35" s="37">
        <f>2260</f>
        <v>2260</v>
      </c>
      <c r="L35" s="34" t="s">
        <v>814</v>
      </c>
      <c r="M35" s="37">
        <f>2640</f>
        <v>2640</v>
      </c>
      <c r="N35" s="34" t="s">
        <v>95</v>
      </c>
      <c r="O35" s="37">
        <f>2033</f>
        <v>2033</v>
      </c>
      <c r="P35" s="34" t="s">
        <v>48</v>
      </c>
      <c r="Q35" s="37">
        <f>2608</f>
        <v>2608</v>
      </c>
      <c r="R35" s="34" t="s">
        <v>95</v>
      </c>
      <c r="S35" s="36">
        <f>2182.83</f>
        <v>2182.83</v>
      </c>
      <c r="T35" s="33">
        <f>58201280</f>
        <v>58201280</v>
      </c>
      <c r="U35" s="33">
        <f>22800</f>
        <v>22800</v>
      </c>
      <c r="V35" s="33">
        <f>132252501044</f>
        <v>132252501044</v>
      </c>
      <c r="W35" s="33">
        <f>49545044</f>
        <v>49545044</v>
      </c>
      <c r="X35" s="35">
        <f>18</f>
        <v>18</v>
      </c>
    </row>
    <row r="36" spans="1:24">
      <c r="A36" s="29" t="s">
        <v>813</v>
      </c>
      <c r="B36" s="29" t="s">
        <v>147</v>
      </c>
      <c r="C36" s="29" t="s">
        <v>148</v>
      </c>
      <c r="D36" s="29" t="s">
        <v>149</v>
      </c>
      <c r="E36" s="30" t="s">
        <v>46</v>
      </c>
      <c r="F36" s="31" t="s">
        <v>46</v>
      </c>
      <c r="G36" s="32" t="s">
        <v>46</v>
      </c>
      <c r="H36" s="27"/>
      <c r="I36" s="27" t="s">
        <v>47</v>
      </c>
      <c r="J36" s="33">
        <v>1</v>
      </c>
      <c r="K36" s="37">
        <f>15180</f>
        <v>15180</v>
      </c>
      <c r="L36" s="34" t="s">
        <v>814</v>
      </c>
      <c r="M36" s="37">
        <f>15850</f>
        <v>15850</v>
      </c>
      <c r="N36" s="34" t="s">
        <v>100</v>
      </c>
      <c r="O36" s="37">
        <f>13750</f>
        <v>13750</v>
      </c>
      <c r="P36" s="34" t="s">
        <v>95</v>
      </c>
      <c r="Q36" s="37">
        <f>13820</f>
        <v>13820</v>
      </c>
      <c r="R36" s="34" t="s">
        <v>95</v>
      </c>
      <c r="S36" s="36">
        <f>15224.44</f>
        <v>15224.44</v>
      </c>
      <c r="T36" s="33">
        <f>30489</f>
        <v>30489</v>
      </c>
      <c r="U36" s="33">
        <f>23740</f>
        <v>23740</v>
      </c>
      <c r="V36" s="33">
        <f>469638770</f>
        <v>469638770</v>
      </c>
      <c r="W36" s="33">
        <f>368205200</f>
        <v>368205200</v>
      </c>
      <c r="X36" s="35">
        <f>18</f>
        <v>18</v>
      </c>
    </row>
    <row r="37" spans="1:24">
      <c r="A37" s="29" t="s">
        <v>813</v>
      </c>
      <c r="B37" s="29" t="s">
        <v>151</v>
      </c>
      <c r="C37" s="29" t="s">
        <v>152</v>
      </c>
      <c r="D37" s="29" t="s">
        <v>153</v>
      </c>
      <c r="E37" s="30" t="s">
        <v>46</v>
      </c>
      <c r="F37" s="31" t="s">
        <v>46</v>
      </c>
      <c r="G37" s="32" t="s">
        <v>46</v>
      </c>
      <c r="H37" s="27"/>
      <c r="I37" s="27" t="s">
        <v>47</v>
      </c>
      <c r="J37" s="33">
        <v>1</v>
      </c>
      <c r="K37" s="37">
        <f>15860</f>
        <v>15860</v>
      </c>
      <c r="L37" s="34" t="s">
        <v>814</v>
      </c>
      <c r="M37" s="37">
        <f>17590</f>
        <v>17590</v>
      </c>
      <c r="N37" s="34" t="s">
        <v>48</v>
      </c>
      <c r="O37" s="37">
        <f>13300</f>
        <v>13300</v>
      </c>
      <c r="P37" s="34" t="s">
        <v>95</v>
      </c>
      <c r="Q37" s="37">
        <f>13500</f>
        <v>13500</v>
      </c>
      <c r="R37" s="34" t="s">
        <v>95</v>
      </c>
      <c r="S37" s="36">
        <f>16412.22</f>
        <v>16412.22</v>
      </c>
      <c r="T37" s="33">
        <f>839370</f>
        <v>839370</v>
      </c>
      <c r="U37" s="33">
        <f>1088</f>
        <v>1088</v>
      </c>
      <c r="V37" s="33">
        <f>13301349783</f>
        <v>13301349783</v>
      </c>
      <c r="W37" s="33">
        <f>17154103</f>
        <v>17154103</v>
      </c>
      <c r="X37" s="35">
        <f>18</f>
        <v>18</v>
      </c>
    </row>
    <row r="38" spans="1:24">
      <c r="A38" s="29" t="s">
        <v>813</v>
      </c>
      <c r="B38" s="29" t="s">
        <v>154</v>
      </c>
      <c r="C38" s="29" t="s">
        <v>155</v>
      </c>
      <c r="D38" s="29" t="s">
        <v>156</v>
      </c>
      <c r="E38" s="30" t="s">
        <v>46</v>
      </c>
      <c r="F38" s="31" t="s">
        <v>46</v>
      </c>
      <c r="G38" s="32" t="s">
        <v>46</v>
      </c>
      <c r="H38" s="27"/>
      <c r="I38" s="27" t="s">
        <v>47</v>
      </c>
      <c r="J38" s="33">
        <v>1</v>
      </c>
      <c r="K38" s="37">
        <f>2453</f>
        <v>2453</v>
      </c>
      <c r="L38" s="34" t="s">
        <v>814</v>
      </c>
      <c r="M38" s="37">
        <f>2855</f>
        <v>2855</v>
      </c>
      <c r="N38" s="34" t="s">
        <v>95</v>
      </c>
      <c r="O38" s="37">
        <f>2204</f>
        <v>2204</v>
      </c>
      <c r="P38" s="34" t="s">
        <v>48</v>
      </c>
      <c r="Q38" s="37">
        <f>2823</f>
        <v>2823</v>
      </c>
      <c r="R38" s="34" t="s">
        <v>95</v>
      </c>
      <c r="S38" s="36">
        <f>2364.89</f>
        <v>2364.89</v>
      </c>
      <c r="T38" s="33">
        <f>6172710</f>
        <v>6172710</v>
      </c>
      <c r="U38" s="33">
        <f>9294</f>
        <v>9294</v>
      </c>
      <c r="V38" s="33">
        <f>15266548881</f>
        <v>15266548881</v>
      </c>
      <c r="W38" s="33">
        <f>22045004</f>
        <v>22045004</v>
      </c>
      <c r="X38" s="35">
        <f>18</f>
        <v>18</v>
      </c>
    </row>
    <row r="39" spans="1:24">
      <c r="A39" s="29" t="s">
        <v>813</v>
      </c>
      <c r="B39" s="29" t="s">
        <v>157</v>
      </c>
      <c r="C39" s="29" t="s">
        <v>158</v>
      </c>
      <c r="D39" s="29" t="s">
        <v>159</v>
      </c>
      <c r="E39" s="30" t="s">
        <v>46</v>
      </c>
      <c r="F39" s="31" t="s">
        <v>46</v>
      </c>
      <c r="G39" s="32" t="s">
        <v>46</v>
      </c>
      <c r="H39" s="27"/>
      <c r="I39" s="27" t="s">
        <v>47</v>
      </c>
      <c r="J39" s="33">
        <v>1</v>
      </c>
      <c r="K39" s="37">
        <f>13550</f>
        <v>13550</v>
      </c>
      <c r="L39" s="34" t="s">
        <v>814</v>
      </c>
      <c r="M39" s="37">
        <f>15050</f>
        <v>15050</v>
      </c>
      <c r="N39" s="34" t="s">
        <v>48</v>
      </c>
      <c r="O39" s="37">
        <f>11080</f>
        <v>11080</v>
      </c>
      <c r="P39" s="34" t="s">
        <v>95</v>
      </c>
      <c r="Q39" s="37">
        <f>11430</f>
        <v>11430</v>
      </c>
      <c r="R39" s="34" t="s">
        <v>95</v>
      </c>
      <c r="S39" s="36">
        <f>13799.44</f>
        <v>13799.44</v>
      </c>
      <c r="T39" s="33">
        <f>114465</f>
        <v>114465</v>
      </c>
      <c r="U39" s="33">
        <f>123</f>
        <v>123</v>
      </c>
      <c r="V39" s="33">
        <f>1532842568</f>
        <v>1532842568</v>
      </c>
      <c r="W39" s="33">
        <f>1484758</f>
        <v>1484758</v>
      </c>
      <c r="X39" s="35">
        <f>18</f>
        <v>18</v>
      </c>
    </row>
    <row r="40" spans="1:24">
      <c r="A40" s="29" t="s">
        <v>813</v>
      </c>
      <c r="B40" s="29" t="s">
        <v>160</v>
      </c>
      <c r="C40" s="29" t="s">
        <v>161</v>
      </c>
      <c r="D40" s="29" t="s">
        <v>162</v>
      </c>
      <c r="E40" s="30" t="s">
        <v>46</v>
      </c>
      <c r="F40" s="31" t="s">
        <v>46</v>
      </c>
      <c r="G40" s="32" t="s">
        <v>46</v>
      </c>
      <c r="H40" s="27"/>
      <c r="I40" s="27" t="s">
        <v>47</v>
      </c>
      <c r="J40" s="33">
        <v>1</v>
      </c>
      <c r="K40" s="37">
        <f>3110</f>
        <v>3110</v>
      </c>
      <c r="L40" s="34" t="s">
        <v>814</v>
      </c>
      <c r="M40" s="37">
        <f>3730</f>
        <v>3730</v>
      </c>
      <c r="N40" s="34" t="s">
        <v>95</v>
      </c>
      <c r="O40" s="37">
        <f>2790</f>
        <v>2790</v>
      </c>
      <c r="P40" s="34" t="s">
        <v>48</v>
      </c>
      <c r="Q40" s="37">
        <f>3690</f>
        <v>3690</v>
      </c>
      <c r="R40" s="34" t="s">
        <v>95</v>
      </c>
      <c r="S40" s="36">
        <f>3052.28</f>
        <v>3052.28</v>
      </c>
      <c r="T40" s="33">
        <f>929274</f>
        <v>929274</v>
      </c>
      <c r="U40" s="33">
        <f>2572</f>
        <v>2572</v>
      </c>
      <c r="V40" s="33">
        <f>2942350134</f>
        <v>2942350134</v>
      </c>
      <c r="W40" s="33">
        <f>7934300</f>
        <v>7934300</v>
      </c>
      <c r="X40" s="35">
        <f>18</f>
        <v>18</v>
      </c>
    </row>
    <row r="41" spans="1:24">
      <c r="A41" s="29" t="s">
        <v>813</v>
      </c>
      <c r="B41" s="29" t="s">
        <v>163</v>
      </c>
      <c r="C41" s="29" t="s">
        <v>164</v>
      </c>
      <c r="D41" s="29" t="s">
        <v>165</v>
      </c>
      <c r="E41" s="30" t="s">
        <v>46</v>
      </c>
      <c r="F41" s="31" t="s">
        <v>46</v>
      </c>
      <c r="G41" s="32" t="s">
        <v>46</v>
      </c>
      <c r="H41" s="27"/>
      <c r="I41" s="27" t="s">
        <v>47</v>
      </c>
      <c r="J41" s="33">
        <v>1</v>
      </c>
      <c r="K41" s="37">
        <f>22780</f>
        <v>22780</v>
      </c>
      <c r="L41" s="34" t="s">
        <v>814</v>
      </c>
      <c r="M41" s="37">
        <f>23980</f>
        <v>23980</v>
      </c>
      <c r="N41" s="34" t="s">
        <v>48</v>
      </c>
      <c r="O41" s="37">
        <f>20910</f>
        <v>20910</v>
      </c>
      <c r="P41" s="34" t="s">
        <v>95</v>
      </c>
      <c r="Q41" s="37">
        <f>21090</f>
        <v>21090</v>
      </c>
      <c r="R41" s="34" t="s">
        <v>95</v>
      </c>
      <c r="S41" s="36">
        <f>23161.67</f>
        <v>23161.67</v>
      </c>
      <c r="T41" s="33">
        <f>633105</f>
        <v>633105</v>
      </c>
      <c r="U41" s="33">
        <f>572000</f>
        <v>572000</v>
      </c>
      <c r="V41" s="33">
        <f>14483356890</f>
        <v>14483356890</v>
      </c>
      <c r="W41" s="33">
        <f>13099236800</f>
        <v>13099236800</v>
      </c>
      <c r="X41" s="35">
        <f>18</f>
        <v>18</v>
      </c>
    </row>
    <row r="42" spans="1:24">
      <c r="A42" s="29" t="s">
        <v>813</v>
      </c>
      <c r="B42" s="29" t="s">
        <v>166</v>
      </c>
      <c r="C42" s="29" t="s">
        <v>167</v>
      </c>
      <c r="D42" s="29" t="s">
        <v>168</v>
      </c>
      <c r="E42" s="30" t="s">
        <v>46</v>
      </c>
      <c r="F42" s="31" t="s">
        <v>46</v>
      </c>
      <c r="G42" s="32" t="s">
        <v>46</v>
      </c>
      <c r="H42" s="27"/>
      <c r="I42" s="27" t="s">
        <v>47</v>
      </c>
      <c r="J42" s="33">
        <v>1</v>
      </c>
      <c r="K42" s="37">
        <f>4530</f>
        <v>4530</v>
      </c>
      <c r="L42" s="34" t="s">
        <v>814</v>
      </c>
      <c r="M42" s="37">
        <f>4630</f>
        <v>4630</v>
      </c>
      <c r="N42" s="34" t="s">
        <v>49</v>
      </c>
      <c r="O42" s="37">
        <f>4020</f>
        <v>4020</v>
      </c>
      <c r="P42" s="34" t="s">
        <v>95</v>
      </c>
      <c r="Q42" s="37">
        <f>4020</f>
        <v>4020</v>
      </c>
      <c r="R42" s="34" t="s">
        <v>95</v>
      </c>
      <c r="S42" s="36">
        <f>4465.56</f>
        <v>4465.5600000000004</v>
      </c>
      <c r="T42" s="33">
        <f>5338</f>
        <v>5338</v>
      </c>
      <c r="U42" s="33" t="str">
        <f t="shared" ref="U42:U47" si="0">"－"</f>
        <v>－</v>
      </c>
      <c r="V42" s="33">
        <f>23715575</f>
        <v>23715575</v>
      </c>
      <c r="W42" s="33" t="str">
        <f t="shared" ref="W42:W47" si="1">"－"</f>
        <v>－</v>
      </c>
      <c r="X42" s="35">
        <f>18</f>
        <v>18</v>
      </c>
    </row>
    <row r="43" spans="1:24">
      <c r="A43" s="29" t="s">
        <v>813</v>
      </c>
      <c r="B43" s="29" t="s">
        <v>169</v>
      </c>
      <c r="C43" s="29" t="s">
        <v>170</v>
      </c>
      <c r="D43" s="29" t="s">
        <v>171</v>
      </c>
      <c r="E43" s="30" t="s">
        <v>46</v>
      </c>
      <c r="F43" s="31" t="s">
        <v>46</v>
      </c>
      <c r="G43" s="32" t="s">
        <v>46</v>
      </c>
      <c r="H43" s="27"/>
      <c r="I43" s="27" t="s">
        <v>47</v>
      </c>
      <c r="J43" s="33">
        <v>1</v>
      </c>
      <c r="K43" s="37">
        <f>8260</f>
        <v>8260</v>
      </c>
      <c r="L43" s="34" t="s">
        <v>814</v>
      </c>
      <c r="M43" s="37">
        <f>8490</f>
        <v>8490</v>
      </c>
      <c r="N43" s="34" t="s">
        <v>815</v>
      </c>
      <c r="O43" s="37">
        <f>7850</f>
        <v>7850</v>
      </c>
      <c r="P43" s="34" t="s">
        <v>95</v>
      </c>
      <c r="Q43" s="37">
        <f>8090</f>
        <v>8090</v>
      </c>
      <c r="R43" s="34" t="s">
        <v>95</v>
      </c>
      <c r="S43" s="36">
        <f>8360.56</f>
        <v>8360.56</v>
      </c>
      <c r="T43" s="33">
        <f>1059</f>
        <v>1059</v>
      </c>
      <c r="U43" s="33" t="str">
        <f t="shared" si="0"/>
        <v>－</v>
      </c>
      <c r="V43" s="33">
        <f>8738720</f>
        <v>8738720</v>
      </c>
      <c r="W43" s="33" t="str">
        <f t="shared" si="1"/>
        <v>－</v>
      </c>
      <c r="X43" s="35">
        <f>18</f>
        <v>18</v>
      </c>
    </row>
    <row r="44" spans="1:24">
      <c r="A44" s="29" t="s">
        <v>813</v>
      </c>
      <c r="B44" s="29" t="s">
        <v>172</v>
      </c>
      <c r="C44" s="29" t="s">
        <v>173</v>
      </c>
      <c r="D44" s="29" t="s">
        <v>174</v>
      </c>
      <c r="E44" s="30" t="s">
        <v>46</v>
      </c>
      <c r="F44" s="31" t="s">
        <v>46</v>
      </c>
      <c r="G44" s="32" t="s">
        <v>46</v>
      </c>
      <c r="H44" s="27"/>
      <c r="I44" s="27" t="s">
        <v>47</v>
      </c>
      <c r="J44" s="33">
        <v>1</v>
      </c>
      <c r="K44" s="37">
        <f>15860</f>
        <v>15860</v>
      </c>
      <c r="L44" s="34" t="s">
        <v>90</v>
      </c>
      <c r="M44" s="37">
        <f>15860</f>
        <v>15860</v>
      </c>
      <c r="N44" s="34" t="s">
        <v>90</v>
      </c>
      <c r="O44" s="37">
        <f>14300</f>
        <v>14300</v>
      </c>
      <c r="P44" s="34" t="s">
        <v>95</v>
      </c>
      <c r="Q44" s="37">
        <f>14400</f>
        <v>14400</v>
      </c>
      <c r="R44" s="34" t="s">
        <v>95</v>
      </c>
      <c r="S44" s="36">
        <f>15210</f>
        <v>15210</v>
      </c>
      <c r="T44" s="33">
        <f>56</f>
        <v>56</v>
      </c>
      <c r="U44" s="33" t="str">
        <f t="shared" si="0"/>
        <v>－</v>
      </c>
      <c r="V44" s="33">
        <f>859420</f>
        <v>859420</v>
      </c>
      <c r="W44" s="33" t="str">
        <f t="shared" si="1"/>
        <v>－</v>
      </c>
      <c r="X44" s="35">
        <f>5</f>
        <v>5</v>
      </c>
    </row>
    <row r="45" spans="1:24">
      <c r="A45" s="29" t="s">
        <v>813</v>
      </c>
      <c r="B45" s="29" t="s">
        <v>176</v>
      </c>
      <c r="C45" s="29" t="s">
        <v>177</v>
      </c>
      <c r="D45" s="29" t="s">
        <v>178</v>
      </c>
      <c r="E45" s="30" t="s">
        <v>46</v>
      </c>
      <c r="F45" s="31" t="s">
        <v>46</v>
      </c>
      <c r="G45" s="32" t="s">
        <v>46</v>
      </c>
      <c r="H45" s="27"/>
      <c r="I45" s="27" t="s">
        <v>47</v>
      </c>
      <c r="J45" s="33">
        <v>1</v>
      </c>
      <c r="K45" s="37">
        <f>12660</f>
        <v>12660</v>
      </c>
      <c r="L45" s="34" t="s">
        <v>90</v>
      </c>
      <c r="M45" s="37">
        <f>12750</f>
        <v>12750</v>
      </c>
      <c r="N45" s="34" t="s">
        <v>79</v>
      </c>
      <c r="O45" s="37">
        <f>11440</f>
        <v>11440</v>
      </c>
      <c r="P45" s="34" t="s">
        <v>95</v>
      </c>
      <c r="Q45" s="37">
        <f>11440</f>
        <v>11440</v>
      </c>
      <c r="R45" s="34" t="s">
        <v>95</v>
      </c>
      <c r="S45" s="36">
        <f>12218.33</f>
        <v>12218.33</v>
      </c>
      <c r="T45" s="33">
        <f>89</f>
        <v>89</v>
      </c>
      <c r="U45" s="33" t="str">
        <f t="shared" si="0"/>
        <v>－</v>
      </c>
      <c r="V45" s="33">
        <f>1109740</f>
        <v>1109740</v>
      </c>
      <c r="W45" s="33" t="str">
        <f t="shared" si="1"/>
        <v>－</v>
      </c>
      <c r="X45" s="35">
        <f>6</f>
        <v>6</v>
      </c>
    </row>
    <row r="46" spans="1:24">
      <c r="A46" s="29" t="s">
        <v>813</v>
      </c>
      <c r="B46" s="29" t="s">
        <v>179</v>
      </c>
      <c r="C46" s="29" t="s">
        <v>180</v>
      </c>
      <c r="D46" s="29" t="s">
        <v>181</v>
      </c>
      <c r="E46" s="30" t="s">
        <v>46</v>
      </c>
      <c r="F46" s="31" t="s">
        <v>46</v>
      </c>
      <c r="G46" s="32" t="s">
        <v>46</v>
      </c>
      <c r="H46" s="27"/>
      <c r="I46" s="27" t="s">
        <v>47</v>
      </c>
      <c r="J46" s="33">
        <v>1</v>
      </c>
      <c r="K46" s="37">
        <f>9710</f>
        <v>9710</v>
      </c>
      <c r="L46" s="34" t="s">
        <v>814</v>
      </c>
      <c r="M46" s="37">
        <f>10220</f>
        <v>10220</v>
      </c>
      <c r="N46" s="34" t="s">
        <v>820</v>
      </c>
      <c r="O46" s="37">
        <f>9010</f>
        <v>9010</v>
      </c>
      <c r="P46" s="34" t="s">
        <v>95</v>
      </c>
      <c r="Q46" s="37">
        <f>9730</f>
        <v>9730</v>
      </c>
      <c r="R46" s="34" t="s">
        <v>95</v>
      </c>
      <c r="S46" s="36">
        <f>9787.65</f>
        <v>9787.65</v>
      </c>
      <c r="T46" s="33">
        <f>364</f>
        <v>364</v>
      </c>
      <c r="U46" s="33" t="str">
        <f t="shared" si="0"/>
        <v>－</v>
      </c>
      <c r="V46" s="33">
        <f>3466300</f>
        <v>3466300</v>
      </c>
      <c r="W46" s="33" t="str">
        <f t="shared" si="1"/>
        <v>－</v>
      </c>
      <c r="X46" s="35">
        <f>17</f>
        <v>17</v>
      </c>
    </row>
    <row r="47" spans="1:24">
      <c r="A47" s="29" t="s">
        <v>813</v>
      </c>
      <c r="B47" s="29" t="s">
        <v>182</v>
      </c>
      <c r="C47" s="29" t="s">
        <v>183</v>
      </c>
      <c r="D47" s="29" t="s">
        <v>184</v>
      </c>
      <c r="E47" s="30" t="s">
        <v>46</v>
      </c>
      <c r="F47" s="31" t="s">
        <v>46</v>
      </c>
      <c r="G47" s="32" t="s">
        <v>46</v>
      </c>
      <c r="H47" s="27"/>
      <c r="I47" s="27" t="s">
        <v>47</v>
      </c>
      <c r="J47" s="33">
        <v>1</v>
      </c>
      <c r="K47" s="37">
        <f>4905</f>
        <v>4905</v>
      </c>
      <c r="L47" s="34" t="s">
        <v>814</v>
      </c>
      <c r="M47" s="37">
        <f>5230</f>
        <v>5230</v>
      </c>
      <c r="N47" s="34" t="s">
        <v>100</v>
      </c>
      <c r="O47" s="37">
        <f>4625</f>
        <v>4625</v>
      </c>
      <c r="P47" s="34" t="s">
        <v>95</v>
      </c>
      <c r="Q47" s="37">
        <f>4740</f>
        <v>4740</v>
      </c>
      <c r="R47" s="34" t="s">
        <v>95</v>
      </c>
      <c r="S47" s="36">
        <f>4885.28</f>
        <v>4885.28</v>
      </c>
      <c r="T47" s="33">
        <f>2157</f>
        <v>2157</v>
      </c>
      <c r="U47" s="33" t="str">
        <f t="shared" si="0"/>
        <v>－</v>
      </c>
      <c r="V47" s="33">
        <f>10635720</f>
        <v>10635720</v>
      </c>
      <c r="W47" s="33" t="str">
        <f t="shared" si="1"/>
        <v>－</v>
      </c>
      <c r="X47" s="35">
        <f>18</f>
        <v>18</v>
      </c>
    </row>
    <row r="48" spans="1:24">
      <c r="A48" s="29" t="s">
        <v>813</v>
      </c>
      <c r="B48" s="29" t="s">
        <v>185</v>
      </c>
      <c r="C48" s="29" t="s">
        <v>186</v>
      </c>
      <c r="D48" s="29" t="s">
        <v>187</v>
      </c>
      <c r="E48" s="30" t="s">
        <v>46</v>
      </c>
      <c r="F48" s="31" t="s">
        <v>46</v>
      </c>
      <c r="G48" s="32" t="s">
        <v>46</v>
      </c>
      <c r="H48" s="27"/>
      <c r="I48" s="27" t="s">
        <v>47</v>
      </c>
      <c r="J48" s="33">
        <v>1</v>
      </c>
      <c r="K48" s="37">
        <f>2426</f>
        <v>2426</v>
      </c>
      <c r="L48" s="34" t="s">
        <v>814</v>
      </c>
      <c r="M48" s="37">
        <f>3040</f>
        <v>3040</v>
      </c>
      <c r="N48" s="34" t="s">
        <v>815</v>
      </c>
      <c r="O48" s="37">
        <f>2263</f>
        <v>2263</v>
      </c>
      <c r="P48" s="34" t="s">
        <v>95</v>
      </c>
      <c r="Q48" s="37">
        <f>2263</f>
        <v>2263</v>
      </c>
      <c r="R48" s="34" t="s">
        <v>95</v>
      </c>
      <c r="S48" s="36">
        <f>2444.33</f>
        <v>2444.33</v>
      </c>
      <c r="T48" s="33">
        <f>15545</f>
        <v>15545</v>
      </c>
      <c r="U48" s="33">
        <f>2608</f>
        <v>2608</v>
      </c>
      <c r="V48" s="33">
        <f>39693449</f>
        <v>39693449</v>
      </c>
      <c r="W48" s="33">
        <f>6416914</f>
        <v>6416914</v>
      </c>
      <c r="X48" s="35">
        <f>18</f>
        <v>18</v>
      </c>
    </row>
    <row r="49" spans="1:24">
      <c r="A49" s="29" t="s">
        <v>813</v>
      </c>
      <c r="B49" s="29" t="s">
        <v>188</v>
      </c>
      <c r="C49" s="29" t="s">
        <v>189</v>
      </c>
      <c r="D49" s="29" t="s">
        <v>190</v>
      </c>
      <c r="E49" s="30" t="s">
        <v>46</v>
      </c>
      <c r="F49" s="31" t="s">
        <v>46</v>
      </c>
      <c r="G49" s="32" t="s">
        <v>46</v>
      </c>
      <c r="H49" s="27"/>
      <c r="I49" s="27" t="s">
        <v>47</v>
      </c>
      <c r="J49" s="33">
        <v>1</v>
      </c>
      <c r="K49" s="37">
        <f>2769</f>
        <v>2769</v>
      </c>
      <c r="L49" s="34" t="s">
        <v>814</v>
      </c>
      <c r="M49" s="37">
        <f>2785</f>
        <v>2785</v>
      </c>
      <c r="N49" s="34" t="s">
        <v>819</v>
      </c>
      <c r="O49" s="37">
        <f>2450</f>
        <v>2450</v>
      </c>
      <c r="P49" s="34" t="s">
        <v>95</v>
      </c>
      <c r="Q49" s="37">
        <f>2471</f>
        <v>2471</v>
      </c>
      <c r="R49" s="34" t="s">
        <v>95</v>
      </c>
      <c r="S49" s="36">
        <f>2695.33</f>
        <v>2695.33</v>
      </c>
      <c r="T49" s="33">
        <f>2355</f>
        <v>2355</v>
      </c>
      <c r="U49" s="33">
        <f>148</f>
        <v>148</v>
      </c>
      <c r="V49" s="33">
        <f>6256142</f>
        <v>6256142</v>
      </c>
      <c r="W49" s="33">
        <f>401820</f>
        <v>401820</v>
      </c>
      <c r="X49" s="35">
        <f>18</f>
        <v>18</v>
      </c>
    </row>
    <row r="50" spans="1:24">
      <c r="A50" s="29" t="s">
        <v>813</v>
      </c>
      <c r="B50" s="29" t="s">
        <v>191</v>
      </c>
      <c r="C50" s="29" t="s">
        <v>192</v>
      </c>
      <c r="D50" s="29" t="s">
        <v>193</v>
      </c>
      <c r="E50" s="30" t="s">
        <v>46</v>
      </c>
      <c r="F50" s="31" t="s">
        <v>46</v>
      </c>
      <c r="G50" s="32" t="s">
        <v>46</v>
      </c>
      <c r="H50" s="27"/>
      <c r="I50" s="27" t="s">
        <v>47</v>
      </c>
      <c r="J50" s="33">
        <v>1</v>
      </c>
      <c r="K50" s="37">
        <f>34800</f>
        <v>34800</v>
      </c>
      <c r="L50" s="34" t="s">
        <v>814</v>
      </c>
      <c r="M50" s="37">
        <f>38400</f>
        <v>38400</v>
      </c>
      <c r="N50" s="34" t="s">
        <v>79</v>
      </c>
      <c r="O50" s="37">
        <f>31050</f>
        <v>31050</v>
      </c>
      <c r="P50" s="34" t="s">
        <v>95</v>
      </c>
      <c r="Q50" s="37">
        <f>31650</f>
        <v>31650</v>
      </c>
      <c r="R50" s="34" t="s">
        <v>95</v>
      </c>
      <c r="S50" s="36">
        <f>35744.12</f>
        <v>35744.120000000003</v>
      </c>
      <c r="T50" s="33">
        <f>1430</f>
        <v>1430</v>
      </c>
      <c r="U50" s="33" t="str">
        <f>"－"</f>
        <v>－</v>
      </c>
      <c r="V50" s="33">
        <f>50196350</f>
        <v>50196350</v>
      </c>
      <c r="W50" s="33" t="str">
        <f>"－"</f>
        <v>－</v>
      </c>
      <c r="X50" s="35">
        <f>17</f>
        <v>17</v>
      </c>
    </row>
    <row r="51" spans="1:24">
      <c r="A51" s="29" t="s">
        <v>813</v>
      </c>
      <c r="B51" s="29" t="s">
        <v>194</v>
      </c>
      <c r="C51" s="29" t="s">
        <v>195</v>
      </c>
      <c r="D51" s="29" t="s">
        <v>196</v>
      </c>
      <c r="E51" s="30" t="s">
        <v>46</v>
      </c>
      <c r="F51" s="31" t="s">
        <v>46</v>
      </c>
      <c r="G51" s="32" t="s">
        <v>46</v>
      </c>
      <c r="H51" s="27"/>
      <c r="I51" s="27" t="s">
        <v>47</v>
      </c>
      <c r="J51" s="33">
        <v>1</v>
      </c>
      <c r="K51" s="37">
        <f>25800</f>
        <v>25800</v>
      </c>
      <c r="L51" s="34" t="s">
        <v>814</v>
      </c>
      <c r="M51" s="37">
        <f>31700</f>
        <v>31700</v>
      </c>
      <c r="N51" s="34" t="s">
        <v>820</v>
      </c>
      <c r="O51" s="37">
        <f>23620</f>
        <v>23620</v>
      </c>
      <c r="P51" s="34" t="s">
        <v>95</v>
      </c>
      <c r="Q51" s="37">
        <f>24990</f>
        <v>24990</v>
      </c>
      <c r="R51" s="34" t="s">
        <v>95</v>
      </c>
      <c r="S51" s="36">
        <f>26642.5</f>
        <v>26642.5</v>
      </c>
      <c r="T51" s="33">
        <f>590</f>
        <v>590</v>
      </c>
      <c r="U51" s="33" t="str">
        <f>"－"</f>
        <v>－</v>
      </c>
      <c r="V51" s="33">
        <f>16748030</f>
        <v>16748030</v>
      </c>
      <c r="W51" s="33" t="str">
        <f>"－"</f>
        <v>－</v>
      </c>
      <c r="X51" s="35">
        <f>16</f>
        <v>16</v>
      </c>
    </row>
    <row r="52" spans="1:24">
      <c r="A52" s="29" t="s">
        <v>813</v>
      </c>
      <c r="B52" s="29" t="s">
        <v>197</v>
      </c>
      <c r="C52" s="29" t="s">
        <v>198</v>
      </c>
      <c r="D52" s="29" t="s">
        <v>199</v>
      </c>
      <c r="E52" s="30" t="s">
        <v>46</v>
      </c>
      <c r="F52" s="31" t="s">
        <v>46</v>
      </c>
      <c r="G52" s="32" t="s">
        <v>46</v>
      </c>
      <c r="H52" s="27"/>
      <c r="I52" s="27" t="s">
        <v>47</v>
      </c>
      <c r="J52" s="33">
        <v>1</v>
      </c>
      <c r="K52" s="37">
        <f>22950</f>
        <v>22950</v>
      </c>
      <c r="L52" s="34" t="s">
        <v>814</v>
      </c>
      <c r="M52" s="37">
        <f>24090</f>
        <v>24090</v>
      </c>
      <c r="N52" s="34" t="s">
        <v>48</v>
      </c>
      <c r="O52" s="37">
        <f>21140</f>
        <v>21140</v>
      </c>
      <c r="P52" s="34" t="s">
        <v>95</v>
      </c>
      <c r="Q52" s="37">
        <f>21180</f>
        <v>21180</v>
      </c>
      <c r="R52" s="34" t="s">
        <v>95</v>
      </c>
      <c r="S52" s="36">
        <f>23262.94</f>
        <v>23262.94</v>
      </c>
      <c r="T52" s="33">
        <f>3077</f>
        <v>3077</v>
      </c>
      <c r="U52" s="33" t="str">
        <f>"－"</f>
        <v>－</v>
      </c>
      <c r="V52" s="33">
        <f>67789180</f>
        <v>67789180</v>
      </c>
      <c r="W52" s="33" t="str">
        <f>"－"</f>
        <v>－</v>
      </c>
      <c r="X52" s="35">
        <f>17</f>
        <v>17</v>
      </c>
    </row>
    <row r="53" spans="1:24">
      <c r="A53" s="29" t="s">
        <v>813</v>
      </c>
      <c r="B53" s="29" t="s">
        <v>200</v>
      </c>
      <c r="C53" s="29" t="s">
        <v>201</v>
      </c>
      <c r="D53" s="29" t="s">
        <v>202</v>
      </c>
      <c r="E53" s="30" t="s">
        <v>46</v>
      </c>
      <c r="F53" s="31" t="s">
        <v>46</v>
      </c>
      <c r="G53" s="32" t="s">
        <v>46</v>
      </c>
      <c r="H53" s="27"/>
      <c r="I53" s="27" t="s">
        <v>47</v>
      </c>
      <c r="J53" s="33">
        <v>10</v>
      </c>
      <c r="K53" s="37">
        <f>2245</f>
        <v>2245</v>
      </c>
      <c r="L53" s="34" t="s">
        <v>814</v>
      </c>
      <c r="M53" s="37">
        <f>2296</f>
        <v>2296</v>
      </c>
      <c r="N53" s="34" t="s">
        <v>150</v>
      </c>
      <c r="O53" s="37">
        <f>2068</f>
        <v>2068</v>
      </c>
      <c r="P53" s="34" t="s">
        <v>95</v>
      </c>
      <c r="Q53" s="37">
        <f>2068</f>
        <v>2068</v>
      </c>
      <c r="R53" s="34" t="s">
        <v>95</v>
      </c>
      <c r="S53" s="36">
        <f>2248.78</f>
        <v>2248.7800000000002</v>
      </c>
      <c r="T53" s="33">
        <f>656250</f>
        <v>656250</v>
      </c>
      <c r="U53" s="33">
        <f>411000</f>
        <v>411000</v>
      </c>
      <c r="V53" s="33">
        <f>1420115790</f>
        <v>1420115790</v>
      </c>
      <c r="W53" s="33">
        <f>866254750</f>
        <v>866254750</v>
      </c>
      <c r="X53" s="35">
        <f>18</f>
        <v>18</v>
      </c>
    </row>
    <row r="54" spans="1:24">
      <c r="A54" s="29" t="s">
        <v>813</v>
      </c>
      <c r="B54" s="29" t="s">
        <v>203</v>
      </c>
      <c r="C54" s="29" t="s">
        <v>204</v>
      </c>
      <c r="D54" s="29" t="s">
        <v>205</v>
      </c>
      <c r="E54" s="30" t="s">
        <v>46</v>
      </c>
      <c r="F54" s="31" t="s">
        <v>46</v>
      </c>
      <c r="G54" s="32" t="s">
        <v>46</v>
      </c>
      <c r="H54" s="27"/>
      <c r="I54" s="27" t="s">
        <v>47</v>
      </c>
      <c r="J54" s="33">
        <v>10</v>
      </c>
      <c r="K54" s="37">
        <f>1573</f>
        <v>1573</v>
      </c>
      <c r="L54" s="34" t="s">
        <v>814</v>
      </c>
      <c r="M54" s="37">
        <f>1628</f>
        <v>1628</v>
      </c>
      <c r="N54" s="34" t="s">
        <v>48</v>
      </c>
      <c r="O54" s="37">
        <f>1396</f>
        <v>1396</v>
      </c>
      <c r="P54" s="34" t="s">
        <v>95</v>
      </c>
      <c r="Q54" s="37">
        <f>1424</f>
        <v>1424</v>
      </c>
      <c r="R54" s="34" t="s">
        <v>95</v>
      </c>
      <c r="S54" s="36">
        <f>1556</f>
        <v>1556</v>
      </c>
      <c r="T54" s="33">
        <f>8520</f>
        <v>8520</v>
      </c>
      <c r="U54" s="33" t="str">
        <f>"－"</f>
        <v>－</v>
      </c>
      <c r="V54" s="33">
        <f>13103510</f>
        <v>13103510</v>
      </c>
      <c r="W54" s="33" t="str">
        <f>"－"</f>
        <v>－</v>
      </c>
      <c r="X54" s="35">
        <f>17</f>
        <v>17</v>
      </c>
    </row>
    <row r="55" spans="1:24">
      <c r="A55" s="29" t="s">
        <v>813</v>
      </c>
      <c r="B55" s="29" t="s">
        <v>206</v>
      </c>
      <c r="C55" s="29" t="s">
        <v>207</v>
      </c>
      <c r="D55" s="29" t="s">
        <v>208</v>
      </c>
      <c r="E55" s="30" t="s">
        <v>46</v>
      </c>
      <c r="F55" s="31" t="s">
        <v>46</v>
      </c>
      <c r="G55" s="32" t="s">
        <v>46</v>
      </c>
      <c r="H55" s="27"/>
      <c r="I55" s="27" t="s">
        <v>47</v>
      </c>
      <c r="J55" s="33">
        <v>1</v>
      </c>
      <c r="K55" s="37">
        <f>6280</f>
        <v>6280</v>
      </c>
      <c r="L55" s="34" t="s">
        <v>814</v>
      </c>
      <c r="M55" s="37">
        <f>6810</f>
        <v>6810</v>
      </c>
      <c r="N55" s="34" t="s">
        <v>95</v>
      </c>
      <c r="O55" s="37">
        <f>5970</f>
        <v>5970</v>
      </c>
      <c r="P55" s="34" t="s">
        <v>48</v>
      </c>
      <c r="Q55" s="37">
        <f>6770</f>
        <v>6770</v>
      </c>
      <c r="R55" s="34" t="s">
        <v>95</v>
      </c>
      <c r="S55" s="36">
        <f>6182.78</f>
        <v>6182.78</v>
      </c>
      <c r="T55" s="33">
        <f>440804</f>
        <v>440804</v>
      </c>
      <c r="U55" s="33">
        <f>132000</f>
        <v>132000</v>
      </c>
      <c r="V55" s="33">
        <f>2758415050</f>
        <v>2758415050</v>
      </c>
      <c r="W55" s="33">
        <f>846862500</f>
        <v>846862500</v>
      </c>
      <c r="X55" s="35">
        <f>18</f>
        <v>18</v>
      </c>
    </row>
    <row r="56" spans="1:24">
      <c r="A56" s="29" t="s">
        <v>813</v>
      </c>
      <c r="B56" s="29" t="s">
        <v>209</v>
      </c>
      <c r="C56" s="29" t="s">
        <v>210</v>
      </c>
      <c r="D56" s="29" t="s">
        <v>211</v>
      </c>
      <c r="E56" s="30" t="s">
        <v>46</v>
      </c>
      <c r="F56" s="31" t="s">
        <v>46</v>
      </c>
      <c r="G56" s="32" t="s">
        <v>46</v>
      </c>
      <c r="H56" s="27"/>
      <c r="I56" s="27" t="s">
        <v>47</v>
      </c>
      <c r="J56" s="33">
        <v>1</v>
      </c>
      <c r="K56" s="37">
        <f>7070</f>
        <v>7070</v>
      </c>
      <c r="L56" s="34" t="s">
        <v>814</v>
      </c>
      <c r="M56" s="37">
        <f>7760</f>
        <v>7760</v>
      </c>
      <c r="N56" s="34" t="s">
        <v>95</v>
      </c>
      <c r="O56" s="37">
        <f>6710</f>
        <v>6710</v>
      </c>
      <c r="P56" s="34" t="s">
        <v>48</v>
      </c>
      <c r="Q56" s="37">
        <f>7700</f>
        <v>7700</v>
      </c>
      <c r="R56" s="34" t="s">
        <v>95</v>
      </c>
      <c r="S56" s="36">
        <f>7006.11</f>
        <v>7006.11</v>
      </c>
      <c r="T56" s="33">
        <f>503215</f>
        <v>503215</v>
      </c>
      <c r="U56" s="33">
        <f>500</f>
        <v>500</v>
      </c>
      <c r="V56" s="33">
        <f>3550722710</f>
        <v>3550722710</v>
      </c>
      <c r="W56" s="33">
        <f>3720000</f>
        <v>3720000</v>
      </c>
      <c r="X56" s="35">
        <f>18</f>
        <v>18</v>
      </c>
    </row>
    <row r="57" spans="1:24">
      <c r="A57" s="29" t="s">
        <v>813</v>
      </c>
      <c r="B57" s="29" t="s">
        <v>212</v>
      </c>
      <c r="C57" s="29" t="s">
        <v>213</v>
      </c>
      <c r="D57" s="29" t="s">
        <v>214</v>
      </c>
      <c r="E57" s="30" t="s">
        <v>46</v>
      </c>
      <c r="F57" s="31" t="s">
        <v>46</v>
      </c>
      <c r="G57" s="32" t="s">
        <v>46</v>
      </c>
      <c r="H57" s="27"/>
      <c r="I57" s="27" t="s">
        <v>47</v>
      </c>
      <c r="J57" s="33">
        <v>1</v>
      </c>
      <c r="K57" s="37">
        <f>11930</f>
        <v>11930</v>
      </c>
      <c r="L57" s="34" t="s">
        <v>814</v>
      </c>
      <c r="M57" s="37">
        <f>13220</f>
        <v>13220</v>
      </c>
      <c r="N57" s="34" t="s">
        <v>48</v>
      </c>
      <c r="O57" s="37">
        <f>10010</f>
        <v>10010</v>
      </c>
      <c r="P57" s="34" t="s">
        <v>95</v>
      </c>
      <c r="Q57" s="37">
        <f>10150</f>
        <v>10150</v>
      </c>
      <c r="R57" s="34" t="s">
        <v>95</v>
      </c>
      <c r="S57" s="36">
        <f>12338.89</f>
        <v>12338.89</v>
      </c>
      <c r="T57" s="33">
        <f>4463315</f>
        <v>4463315</v>
      </c>
      <c r="U57" s="33">
        <f>3520</f>
        <v>3520</v>
      </c>
      <c r="V57" s="33">
        <f>53674791148</f>
        <v>53674791148</v>
      </c>
      <c r="W57" s="33">
        <f>41842618</f>
        <v>41842618</v>
      </c>
      <c r="X57" s="35">
        <f>18</f>
        <v>18</v>
      </c>
    </row>
    <row r="58" spans="1:24">
      <c r="A58" s="29" t="s">
        <v>813</v>
      </c>
      <c r="B58" s="29" t="s">
        <v>215</v>
      </c>
      <c r="C58" s="29" t="s">
        <v>216</v>
      </c>
      <c r="D58" s="29" t="s">
        <v>217</v>
      </c>
      <c r="E58" s="30" t="s">
        <v>46</v>
      </c>
      <c r="F58" s="31" t="s">
        <v>46</v>
      </c>
      <c r="G58" s="32" t="s">
        <v>46</v>
      </c>
      <c r="H58" s="27"/>
      <c r="I58" s="27" t="s">
        <v>47</v>
      </c>
      <c r="J58" s="33">
        <v>1</v>
      </c>
      <c r="K58" s="37">
        <f>3685</f>
        <v>3685</v>
      </c>
      <c r="L58" s="34" t="s">
        <v>814</v>
      </c>
      <c r="M58" s="37">
        <f>4305</f>
        <v>4305</v>
      </c>
      <c r="N58" s="34" t="s">
        <v>95</v>
      </c>
      <c r="O58" s="37">
        <f>3310</f>
        <v>3310</v>
      </c>
      <c r="P58" s="34" t="s">
        <v>48</v>
      </c>
      <c r="Q58" s="37">
        <f>4265</f>
        <v>4265</v>
      </c>
      <c r="R58" s="34" t="s">
        <v>95</v>
      </c>
      <c r="S58" s="36">
        <f>3556.67</f>
        <v>3556.67</v>
      </c>
      <c r="T58" s="33">
        <f>15587405</f>
        <v>15587405</v>
      </c>
      <c r="U58" s="33">
        <f>13314</f>
        <v>13314</v>
      </c>
      <c r="V58" s="33">
        <f>57660185218</f>
        <v>57660185218</v>
      </c>
      <c r="W58" s="33">
        <f>48674443</f>
        <v>48674443</v>
      </c>
      <c r="X58" s="35">
        <f>18</f>
        <v>18</v>
      </c>
    </row>
    <row r="59" spans="1:24">
      <c r="A59" s="29" t="s">
        <v>813</v>
      </c>
      <c r="B59" s="29" t="s">
        <v>218</v>
      </c>
      <c r="C59" s="29" t="s">
        <v>219</v>
      </c>
      <c r="D59" s="29" t="s">
        <v>220</v>
      </c>
      <c r="E59" s="30" t="s">
        <v>46</v>
      </c>
      <c r="F59" s="31" t="s">
        <v>46</v>
      </c>
      <c r="G59" s="32" t="s">
        <v>46</v>
      </c>
      <c r="H59" s="27"/>
      <c r="I59" s="27" t="s">
        <v>47</v>
      </c>
      <c r="J59" s="33">
        <v>1</v>
      </c>
      <c r="K59" s="37">
        <f>20730</f>
        <v>20730</v>
      </c>
      <c r="L59" s="34" t="s">
        <v>100</v>
      </c>
      <c r="M59" s="37">
        <f>20730</f>
        <v>20730</v>
      </c>
      <c r="N59" s="34" t="s">
        <v>100</v>
      </c>
      <c r="O59" s="37">
        <f>18470</f>
        <v>18470</v>
      </c>
      <c r="P59" s="34" t="s">
        <v>95</v>
      </c>
      <c r="Q59" s="37">
        <f>18470</f>
        <v>18470</v>
      </c>
      <c r="R59" s="34" t="s">
        <v>95</v>
      </c>
      <c r="S59" s="36">
        <f>19481.43</f>
        <v>19481.43</v>
      </c>
      <c r="T59" s="33">
        <f>215</f>
        <v>215</v>
      </c>
      <c r="U59" s="33" t="str">
        <f>"－"</f>
        <v>－</v>
      </c>
      <c r="V59" s="33">
        <f>4251970</f>
        <v>4251970</v>
      </c>
      <c r="W59" s="33" t="str">
        <f>"－"</f>
        <v>－</v>
      </c>
      <c r="X59" s="35">
        <f>7</f>
        <v>7</v>
      </c>
    </row>
    <row r="60" spans="1:24">
      <c r="A60" s="29" t="s">
        <v>813</v>
      </c>
      <c r="B60" s="29" t="s">
        <v>221</v>
      </c>
      <c r="C60" s="29" t="s">
        <v>222</v>
      </c>
      <c r="D60" s="29" t="s">
        <v>223</v>
      </c>
      <c r="E60" s="30" t="s">
        <v>46</v>
      </c>
      <c r="F60" s="31" t="s">
        <v>46</v>
      </c>
      <c r="G60" s="32" t="s">
        <v>46</v>
      </c>
      <c r="H60" s="27"/>
      <c r="I60" s="27" t="s">
        <v>47</v>
      </c>
      <c r="J60" s="33">
        <v>1</v>
      </c>
      <c r="K60" s="37">
        <f>10610</f>
        <v>10610</v>
      </c>
      <c r="L60" s="34" t="s">
        <v>814</v>
      </c>
      <c r="M60" s="37">
        <f>11800</f>
        <v>11800</v>
      </c>
      <c r="N60" s="34" t="s">
        <v>48</v>
      </c>
      <c r="O60" s="37">
        <f>8810</f>
        <v>8810</v>
      </c>
      <c r="P60" s="34" t="s">
        <v>95</v>
      </c>
      <c r="Q60" s="37">
        <f>8820</f>
        <v>8820</v>
      </c>
      <c r="R60" s="34" t="s">
        <v>95</v>
      </c>
      <c r="S60" s="36">
        <f>10892.78</f>
        <v>10892.78</v>
      </c>
      <c r="T60" s="33">
        <f>8223</f>
        <v>8223</v>
      </c>
      <c r="U60" s="33" t="str">
        <f>"－"</f>
        <v>－</v>
      </c>
      <c r="V60" s="33">
        <f>84879730</f>
        <v>84879730</v>
      </c>
      <c r="W60" s="33" t="str">
        <f>"－"</f>
        <v>－</v>
      </c>
      <c r="X60" s="35">
        <f>18</f>
        <v>18</v>
      </c>
    </row>
    <row r="61" spans="1:24">
      <c r="A61" s="29" t="s">
        <v>813</v>
      </c>
      <c r="B61" s="29" t="s">
        <v>224</v>
      </c>
      <c r="C61" s="29" t="s">
        <v>225</v>
      </c>
      <c r="D61" s="29" t="s">
        <v>226</v>
      </c>
      <c r="E61" s="30" t="s">
        <v>46</v>
      </c>
      <c r="F61" s="31" t="s">
        <v>46</v>
      </c>
      <c r="G61" s="32" t="s">
        <v>46</v>
      </c>
      <c r="H61" s="27"/>
      <c r="I61" s="27" t="s">
        <v>47</v>
      </c>
      <c r="J61" s="33">
        <v>1</v>
      </c>
      <c r="K61" s="37">
        <f>6910</f>
        <v>6910</v>
      </c>
      <c r="L61" s="34" t="s">
        <v>814</v>
      </c>
      <c r="M61" s="37">
        <f>7580</f>
        <v>7580</v>
      </c>
      <c r="N61" s="34" t="s">
        <v>95</v>
      </c>
      <c r="O61" s="37">
        <f>6580</f>
        <v>6580</v>
      </c>
      <c r="P61" s="34" t="s">
        <v>48</v>
      </c>
      <c r="Q61" s="37">
        <f>7500</f>
        <v>7500</v>
      </c>
      <c r="R61" s="34" t="s">
        <v>95</v>
      </c>
      <c r="S61" s="36">
        <f>6862.94</f>
        <v>6862.94</v>
      </c>
      <c r="T61" s="33">
        <f>3894</f>
        <v>3894</v>
      </c>
      <c r="U61" s="33" t="str">
        <f>"－"</f>
        <v>－</v>
      </c>
      <c r="V61" s="33">
        <f>27267200</f>
        <v>27267200</v>
      </c>
      <c r="W61" s="33" t="str">
        <f>"－"</f>
        <v>－</v>
      </c>
      <c r="X61" s="35">
        <f>17</f>
        <v>17</v>
      </c>
    </row>
    <row r="62" spans="1:24">
      <c r="A62" s="29" t="s">
        <v>813</v>
      </c>
      <c r="B62" s="29" t="s">
        <v>227</v>
      </c>
      <c r="C62" s="29" t="s">
        <v>228</v>
      </c>
      <c r="D62" s="29" t="s">
        <v>229</v>
      </c>
      <c r="E62" s="30" t="s">
        <v>46</v>
      </c>
      <c r="F62" s="31" t="s">
        <v>46</v>
      </c>
      <c r="G62" s="32" t="s">
        <v>46</v>
      </c>
      <c r="H62" s="27"/>
      <c r="I62" s="27" t="s">
        <v>47</v>
      </c>
      <c r="J62" s="33">
        <v>1</v>
      </c>
      <c r="K62" s="37">
        <f>4205</f>
        <v>4205</v>
      </c>
      <c r="L62" s="34" t="s">
        <v>814</v>
      </c>
      <c r="M62" s="37">
        <f>5020</f>
        <v>5020</v>
      </c>
      <c r="N62" s="34" t="s">
        <v>95</v>
      </c>
      <c r="O62" s="37">
        <f>3745</f>
        <v>3745</v>
      </c>
      <c r="P62" s="34" t="s">
        <v>100</v>
      </c>
      <c r="Q62" s="37">
        <f>4930</f>
        <v>4930</v>
      </c>
      <c r="R62" s="34" t="s">
        <v>95</v>
      </c>
      <c r="S62" s="36">
        <f>4097.5</f>
        <v>4097.5</v>
      </c>
      <c r="T62" s="33">
        <f>73605</f>
        <v>73605</v>
      </c>
      <c r="U62" s="33" t="str">
        <f>"－"</f>
        <v>－</v>
      </c>
      <c r="V62" s="33">
        <f>325218830</f>
        <v>325218830</v>
      </c>
      <c r="W62" s="33" t="str">
        <f>"－"</f>
        <v>－</v>
      </c>
      <c r="X62" s="35">
        <f>18</f>
        <v>18</v>
      </c>
    </row>
    <row r="63" spans="1:24">
      <c r="A63" s="29" t="s">
        <v>813</v>
      </c>
      <c r="B63" s="29" t="s">
        <v>230</v>
      </c>
      <c r="C63" s="29" t="s">
        <v>231</v>
      </c>
      <c r="D63" s="29" t="s">
        <v>232</v>
      </c>
      <c r="E63" s="30" t="s">
        <v>46</v>
      </c>
      <c r="F63" s="31" t="s">
        <v>46</v>
      </c>
      <c r="G63" s="32" t="s">
        <v>46</v>
      </c>
      <c r="H63" s="27"/>
      <c r="I63" s="27" t="s">
        <v>47</v>
      </c>
      <c r="J63" s="33">
        <v>10</v>
      </c>
      <c r="K63" s="37">
        <f>9780</f>
        <v>9780</v>
      </c>
      <c r="L63" s="34" t="s">
        <v>814</v>
      </c>
      <c r="M63" s="37">
        <f>11180</f>
        <v>11180</v>
      </c>
      <c r="N63" s="34" t="s">
        <v>815</v>
      </c>
      <c r="O63" s="37">
        <f>8290</f>
        <v>8290</v>
      </c>
      <c r="P63" s="34" t="s">
        <v>95</v>
      </c>
      <c r="Q63" s="37">
        <f>8710</f>
        <v>8710</v>
      </c>
      <c r="R63" s="34" t="s">
        <v>95</v>
      </c>
      <c r="S63" s="36">
        <f>10350</f>
        <v>10350</v>
      </c>
      <c r="T63" s="33">
        <f>9990</f>
        <v>9990</v>
      </c>
      <c r="U63" s="33">
        <f>20</f>
        <v>20</v>
      </c>
      <c r="V63" s="33">
        <f>96534000</f>
        <v>96534000</v>
      </c>
      <c r="W63" s="33">
        <f>174200</f>
        <v>174200</v>
      </c>
      <c r="X63" s="35">
        <f>16</f>
        <v>16</v>
      </c>
    </row>
    <row r="64" spans="1:24">
      <c r="A64" s="29" t="s">
        <v>813</v>
      </c>
      <c r="B64" s="29" t="s">
        <v>233</v>
      </c>
      <c r="C64" s="29" t="s">
        <v>234</v>
      </c>
      <c r="D64" s="29" t="s">
        <v>235</v>
      </c>
      <c r="E64" s="30" t="s">
        <v>46</v>
      </c>
      <c r="F64" s="31" t="s">
        <v>46</v>
      </c>
      <c r="G64" s="32" t="s">
        <v>46</v>
      </c>
      <c r="H64" s="27"/>
      <c r="I64" s="27" t="s">
        <v>47</v>
      </c>
      <c r="J64" s="33">
        <v>10</v>
      </c>
      <c r="K64" s="37">
        <f>6790</f>
        <v>6790</v>
      </c>
      <c r="L64" s="34" t="s">
        <v>814</v>
      </c>
      <c r="M64" s="37">
        <f>7790</f>
        <v>7790</v>
      </c>
      <c r="N64" s="34" t="s">
        <v>95</v>
      </c>
      <c r="O64" s="37">
        <f>6500</f>
        <v>6500</v>
      </c>
      <c r="P64" s="34" t="s">
        <v>48</v>
      </c>
      <c r="Q64" s="37">
        <f>7640</f>
        <v>7640</v>
      </c>
      <c r="R64" s="34" t="s">
        <v>95</v>
      </c>
      <c r="S64" s="36">
        <f>6925.56</f>
        <v>6925.56</v>
      </c>
      <c r="T64" s="33">
        <f>1130</f>
        <v>1130</v>
      </c>
      <c r="U64" s="33" t="str">
        <f>"－"</f>
        <v>－</v>
      </c>
      <c r="V64" s="33">
        <f>8273200</f>
        <v>8273200</v>
      </c>
      <c r="W64" s="33" t="str">
        <f>"－"</f>
        <v>－</v>
      </c>
      <c r="X64" s="35">
        <f>9</f>
        <v>9</v>
      </c>
    </row>
    <row r="65" spans="1:24">
      <c r="A65" s="29" t="s">
        <v>813</v>
      </c>
      <c r="B65" s="29" t="s">
        <v>236</v>
      </c>
      <c r="C65" s="29" t="s">
        <v>237</v>
      </c>
      <c r="D65" s="29" t="s">
        <v>238</v>
      </c>
      <c r="E65" s="30" t="s">
        <v>46</v>
      </c>
      <c r="F65" s="31" t="s">
        <v>46</v>
      </c>
      <c r="G65" s="32" t="s">
        <v>46</v>
      </c>
      <c r="H65" s="27"/>
      <c r="I65" s="27" t="s">
        <v>47</v>
      </c>
      <c r="J65" s="33">
        <v>10</v>
      </c>
      <c r="K65" s="37">
        <f>4125</f>
        <v>4125</v>
      </c>
      <c r="L65" s="34" t="s">
        <v>814</v>
      </c>
      <c r="M65" s="37">
        <f>4960</f>
        <v>4960</v>
      </c>
      <c r="N65" s="34" t="s">
        <v>95</v>
      </c>
      <c r="O65" s="37">
        <f>3685</f>
        <v>3685</v>
      </c>
      <c r="P65" s="34" t="s">
        <v>48</v>
      </c>
      <c r="Q65" s="37">
        <f>4945</f>
        <v>4945</v>
      </c>
      <c r="R65" s="34" t="s">
        <v>95</v>
      </c>
      <c r="S65" s="36">
        <f>4018.89</f>
        <v>4018.89</v>
      </c>
      <c r="T65" s="33">
        <f>124710</f>
        <v>124710</v>
      </c>
      <c r="U65" s="33">
        <f>6700</f>
        <v>6700</v>
      </c>
      <c r="V65" s="33">
        <f>554369450</f>
        <v>554369450</v>
      </c>
      <c r="W65" s="33">
        <f>30002600</f>
        <v>30002600</v>
      </c>
      <c r="X65" s="35">
        <f>18</f>
        <v>18</v>
      </c>
    </row>
    <row r="66" spans="1:24">
      <c r="A66" s="29" t="s">
        <v>813</v>
      </c>
      <c r="B66" s="29" t="s">
        <v>239</v>
      </c>
      <c r="C66" s="29" t="s">
        <v>240</v>
      </c>
      <c r="D66" s="29" t="s">
        <v>241</v>
      </c>
      <c r="E66" s="30" t="s">
        <v>46</v>
      </c>
      <c r="F66" s="31" t="s">
        <v>46</v>
      </c>
      <c r="G66" s="32" t="s">
        <v>46</v>
      </c>
      <c r="H66" s="27"/>
      <c r="I66" s="27" t="s">
        <v>47</v>
      </c>
      <c r="J66" s="33">
        <v>1</v>
      </c>
      <c r="K66" s="37">
        <f>21890</f>
        <v>21890</v>
      </c>
      <c r="L66" s="34" t="s">
        <v>814</v>
      </c>
      <c r="M66" s="37">
        <f>24000</f>
        <v>24000</v>
      </c>
      <c r="N66" s="34" t="s">
        <v>48</v>
      </c>
      <c r="O66" s="37">
        <f>17500</f>
        <v>17500</v>
      </c>
      <c r="P66" s="34" t="s">
        <v>95</v>
      </c>
      <c r="Q66" s="37">
        <f>17830</f>
        <v>17830</v>
      </c>
      <c r="R66" s="34" t="s">
        <v>95</v>
      </c>
      <c r="S66" s="36">
        <f>21618.75</f>
        <v>21618.75</v>
      </c>
      <c r="T66" s="33">
        <f>5126</f>
        <v>5126</v>
      </c>
      <c r="U66" s="33" t="str">
        <f>"－"</f>
        <v>－</v>
      </c>
      <c r="V66" s="33">
        <f>107968920</f>
        <v>107968920</v>
      </c>
      <c r="W66" s="33" t="str">
        <f>"－"</f>
        <v>－</v>
      </c>
      <c r="X66" s="35">
        <f>16</f>
        <v>16</v>
      </c>
    </row>
    <row r="67" spans="1:24">
      <c r="A67" s="29" t="s">
        <v>813</v>
      </c>
      <c r="B67" s="29" t="s">
        <v>242</v>
      </c>
      <c r="C67" s="29" t="s">
        <v>243</v>
      </c>
      <c r="D67" s="29" t="s">
        <v>244</v>
      </c>
      <c r="E67" s="30" t="s">
        <v>46</v>
      </c>
      <c r="F67" s="31" t="s">
        <v>46</v>
      </c>
      <c r="G67" s="32" t="s">
        <v>46</v>
      </c>
      <c r="H67" s="27"/>
      <c r="I67" s="27" t="s">
        <v>47</v>
      </c>
      <c r="J67" s="33">
        <v>1</v>
      </c>
      <c r="K67" s="37">
        <f>4450</f>
        <v>4450</v>
      </c>
      <c r="L67" s="34" t="s">
        <v>814</v>
      </c>
      <c r="M67" s="37">
        <f>5120</f>
        <v>5120</v>
      </c>
      <c r="N67" s="34" t="s">
        <v>95</v>
      </c>
      <c r="O67" s="37">
        <f>4390</f>
        <v>4390</v>
      </c>
      <c r="P67" s="34" t="s">
        <v>150</v>
      </c>
      <c r="Q67" s="37">
        <f>4895</f>
        <v>4895</v>
      </c>
      <c r="R67" s="34" t="s">
        <v>95</v>
      </c>
      <c r="S67" s="36">
        <f>4545.71</f>
        <v>4545.71</v>
      </c>
      <c r="T67" s="33">
        <f>2362</f>
        <v>2362</v>
      </c>
      <c r="U67" s="33" t="str">
        <f>"－"</f>
        <v>－</v>
      </c>
      <c r="V67" s="33">
        <f>11292025</f>
        <v>11292025</v>
      </c>
      <c r="W67" s="33" t="str">
        <f>"－"</f>
        <v>－</v>
      </c>
      <c r="X67" s="35">
        <f>7</f>
        <v>7</v>
      </c>
    </row>
    <row r="68" spans="1:24">
      <c r="A68" s="29" t="s">
        <v>813</v>
      </c>
      <c r="B68" s="29" t="s">
        <v>246</v>
      </c>
      <c r="C68" s="29" t="s">
        <v>247</v>
      </c>
      <c r="D68" s="29" t="s">
        <v>248</v>
      </c>
      <c r="E68" s="30" t="s">
        <v>46</v>
      </c>
      <c r="F68" s="31" t="s">
        <v>46</v>
      </c>
      <c r="G68" s="32" t="s">
        <v>46</v>
      </c>
      <c r="H68" s="27"/>
      <c r="I68" s="27" t="s">
        <v>47</v>
      </c>
      <c r="J68" s="33">
        <v>1</v>
      </c>
      <c r="K68" s="37">
        <f>1662</f>
        <v>1662</v>
      </c>
      <c r="L68" s="34" t="s">
        <v>814</v>
      </c>
      <c r="M68" s="37">
        <f>2054</f>
        <v>2054</v>
      </c>
      <c r="N68" s="34" t="s">
        <v>95</v>
      </c>
      <c r="O68" s="37">
        <f>1483</f>
        <v>1483</v>
      </c>
      <c r="P68" s="34" t="s">
        <v>48</v>
      </c>
      <c r="Q68" s="37">
        <f>2054</f>
        <v>2054</v>
      </c>
      <c r="R68" s="34" t="s">
        <v>95</v>
      </c>
      <c r="S68" s="36">
        <f>1621.39</f>
        <v>1621.39</v>
      </c>
      <c r="T68" s="33">
        <f>79537</f>
        <v>79537</v>
      </c>
      <c r="U68" s="33" t="str">
        <f>"－"</f>
        <v>－</v>
      </c>
      <c r="V68" s="33">
        <f>144135284</f>
        <v>144135284</v>
      </c>
      <c r="W68" s="33" t="str">
        <f>"－"</f>
        <v>－</v>
      </c>
      <c r="X68" s="35">
        <f>18</f>
        <v>18</v>
      </c>
    </row>
    <row r="69" spans="1:24">
      <c r="A69" s="29" t="s">
        <v>813</v>
      </c>
      <c r="B69" s="29" t="s">
        <v>249</v>
      </c>
      <c r="C69" s="29" t="s">
        <v>250</v>
      </c>
      <c r="D69" s="29" t="s">
        <v>251</v>
      </c>
      <c r="E69" s="30" t="s">
        <v>46</v>
      </c>
      <c r="F69" s="31" t="s">
        <v>46</v>
      </c>
      <c r="G69" s="32" t="s">
        <v>46</v>
      </c>
      <c r="H69" s="27"/>
      <c r="I69" s="27" t="s">
        <v>47</v>
      </c>
      <c r="J69" s="33">
        <v>10</v>
      </c>
      <c r="K69" s="37">
        <f>1666</f>
        <v>1666</v>
      </c>
      <c r="L69" s="34" t="s">
        <v>814</v>
      </c>
      <c r="M69" s="37">
        <f>1752</f>
        <v>1752</v>
      </c>
      <c r="N69" s="34" t="s">
        <v>48</v>
      </c>
      <c r="O69" s="37">
        <f>1509</f>
        <v>1509</v>
      </c>
      <c r="P69" s="34" t="s">
        <v>95</v>
      </c>
      <c r="Q69" s="37">
        <f>1521</f>
        <v>1521</v>
      </c>
      <c r="R69" s="34" t="s">
        <v>95</v>
      </c>
      <c r="S69" s="36">
        <f>1679.83</f>
        <v>1679.83</v>
      </c>
      <c r="T69" s="33">
        <f>229030</f>
        <v>229030</v>
      </c>
      <c r="U69" s="33">
        <f>59000</f>
        <v>59000</v>
      </c>
      <c r="V69" s="33">
        <f>371689750</f>
        <v>371689750</v>
      </c>
      <c r="W69" s="33">
        <f>102654100</f>
        <v>102654100</v>
      </c>
      <c r="X69" s="35">
        <f>18</f>
        <v>18</v>
      </c>
    </row>
    <row r="70" spans="1:24">
      <c r="A70" s="29" t="s">
        <v>813</v>
      </c>
      <c r="B70" s="29" t="s">
        <v>252</v>
      </c>
      <c r="C70" s="29" t="s">
        <v>253</v>
      </c>
      <c r="D70" s="29" t="s">
        <v>254</v>
      </c>
      <c r="E70" s="30" t="s">
        <v>46</v>
      </c>
      <c r="F70" s="31" t="s">
        <v>46</v>
      </c>
      <c r="G70" s="32" t="s">
        <v>46</v>
      </c>
      <c r="H70" s="27"/>
      <c r="I70" s="27" t="s">
        <v>47</v>
      </c>
      <c r="J70" s="33">
        <v>1</v>
      </c>
      <c r="K70" s="37">
        <f>15020</f>
        <v>15020</v>
      </c>
      <c r="L70" s="34" t="s">
        <v>814</v>
      </c>
      <c r="M70" s="37">
        <f>15660</f>
        <v>15660</v>
      </c>
      <c r="N70" s="34" t="s">
        <v>48</v>
      </c>
      <c r="O70" s="37">
        <f>13550</f>
        <v>13550</v>
      </c>
      <c r="P70" s="34" t="s">
        <v>95</v>
      </c>
      <c r="Q70" s="37">
        <f>13670</f>
        <v>13670</v>
      </c>
      <c r="R70" s="34" t="s">
        <v>95</v>
      </c>
      <c r="S70" s="36">
        <f>15047.78</f>
        <v>15047.78</v>
      </c>
      <c r="T70" s="33">
        <f>16743</f>
        <v>16743</v>
      </c>
      <c r="U70" s="33">
        <f>10200</f>
        <v>10200</v>
      </c>
      <c r="V70" s="33">
        <f>254013090</f>
        <v>254013090</v>
      </c>
      <c r="W70" s="33">
        <f>157829800</f>
        <v>157829800</v>
      </c>
      <c r="X70" s="35">
        <f>18</f>
        <v>18</v>
      </c>
    </row>
    <row r="71" spans="1:24">
      <c r="A71" s="29" t="s">
        <v>813</v>
      </c>
      <c r="B71" s="29" t="s">
        <v>255</v>
      </c>
      <c r="C71" s="29" t="s">
        <v>256</v>
      </c>
      <c r="D71" s="29" t="s">
        <v>257</v>
      </c>
      <c r="E71" s="30" t="s">
        <v>46</v>
      </c>
      <c r="F71" s="31" t="s">
        <v>46</v>
      </c>
      <c r="G71" s="32" t="s">
        <v>46</v>
      </c>
      <c r="H71" s="27"/>
      <c r="I71" s="27" t="s">
        <v>47</v>
      </c>
      <c r="J71" s="33">
        <v>1</v>
      </c>
      <c r="K71" s="37">
        <f>1690</f>
        <v>1690</v>
      </c>
      <c r="L71" s="34" t="s">
        <v>814</v>
      </c>
      <c r="M71" s="37">
        <f>1765</f>
        <v>1765</v>
      </c>
      <c r="N71" s="34" t="s">
        <v>48</v>
      </c>
      <c r="O71" s="37">
        <f>1519</f>
        <v>1519</v>
      </c>
      <c r="P71" s="34" t="s">
        <v>95</v>
      </c>
      <c r="Q71" s="37">
        <f>1532</f>
        <v>1532</v>
      </c>
      <c r="R71" s="34" t="s">
        <v>95</v>
      </c>
      <c r="S71" s="36">
        <f>1692.44</f>
        <v>1692.44</v>
      </c>
      <c r="T71" s="33">
        <f>2474459</f>
        <v>2474459</v>
      </c>
      <c r="U71" s="33">
        <f>296729</f>
        <v>296729</v>
      </c>
      <c r="V71" s="33">
        <f>4137914582</f>
        <v>4137914582</v>
      </c>
      <c r="W71" s="33">
        <f>510238897</f>
        <v>510238897</v>
      </c>
      <c r="X71" s="35">
        <f>18</f>
        <v>18</v>
      </c>
    </row>
    <row r="72" spans="1:24">
      <c r="A72" s="29" t="s">
        <v>813</v>
      </c>
      <c r="B72" s="29" t="s">
        <v>258</v>
      </c>
      <c r="C72" s="29" t="s">
        <v>259</v>
      </c>
      <c r="D72" s="29" t="s">
        <v>260</v>
      </c>
      <c r="E72" s="30" t="s">
        <v>46</v>
      </c>
      <c r="F72" s="31" t="s">
        <v>46</v>
      </c>
      <c r="G72" s="32" t="s">
        <v>46</v>
      </c>
      <c r="H72" s="27"/>
      <c r="I72" s="27" t="s">
        <v>47</v>
      </c>
      <c r="J72" s="33">
        <v>1</v>
      </c>
      <c r="K72" s="37">
        <f>2280</f>
        <v>2280</v>
      </c>
      <c r="L72" s="34" t="s">
        <v>814</v>
      </c>
      <c r="M72" s="37">
        <f>2309</f>
        <v>2309</v>
      </c>
      <c r="N72" s="34" t="s">
        <v>150</v>
      </c>
      <c r="O72" s="37">
        <f>2069</f>
        <v>2069</v>
      </c>
      <c r="P72" s="34" t="s">
        <v>95</v>
      </c>
      <c r="Q72" s="37">
        <f>2081</f>
        <v>2081</v>
      </c>
      <c r="R72" s="34" t="s">
        <v>95</v>
      </c>
      <c r="S72" s="36">
        <f>2261.78</f>
        <v>2261.7800000000002</v>
      </c>
      <c r="T72" s="33">
        <f>5917771</f>
        <v>5917771</v>
      </c>
      <c r="U72" s="33">
        <f>3217634</f>
        <v>3217634</v>
      </c>
      <c r="V72" s="33">
        <f>13302712166</f>
        <v>13302712166</v>
      </c>
      <c r="W72" s="33">
        <f>7243042168</f>
        <v>7243042168</v>
      </c>
      <c r="X72" s="35">
        <f>18</f>
        <v>18</v>
      </c>
    </row>
    <row r="73" spans="1:24">
      <c r="A73" s="29" t="s">
        <v>813</v>
      </c>
      <c r="B73" s="29" t="s">
        <v>261</v>
      </c>
      <c r="C73" s="29" t="s">
        <v>262</v>
      </c>
      <c r="D73" s="29" t="s">
        <v>263</v>
      </c>
      <c r="E73" s="30" t="s">
        <v>46</v>
      </c>
      <c r="F73" s="31" t="s">
        <v>46</v>
      </c>
      <c r="G73" s="32" t="s">
        <v>46</v>
      </c>
      <c r="H73" s="27"/>
      <c r="I73" s="27" t="s">
        <v>47</v>
      </c>
      <c r="J73" s="33">
        <v>1</v>
      </c>
      <c r="K73" s="37">
        <f>1849</f>
        <v>1849</v>
      </c>
      <c r="L73" s="34" t="s">
        <v>814</v>
      </c>
      <c r="M73" s="37">
        <f>1908</f>
        <v>1908</v>
      </c>
      <c r="N73" s="34" t="s">
        <v>48</v>
      </c>
      <c r="O73" s="37">
        <f>1649</f>
        <v>1649</v>
      </c>
      <c r="P73" s="34" t="s">
        <v>95</v>
      </c>
      <c r="Q73" s="37">
        <f>1649</f>
        <v>1649</v>
      </c>
      <c r="R73" s="34" t="s">
        <v>95</v>
      </c>
      <c r="S73" s="36">
        <f>1829.56</f>
        <v>1829.56</v>
      </c>
      <c r="T73" s="33">
        <f>91425</f>
        <v>91425</v>
      </c>
      <c r="U73" s="33">
        <f>21</f>
        <v>21</v>
      </c>
      <c r="V73" s="33">
        <f>168312386</f>
        <v>168312386</v>
      </c>
      <c r="W73" s="33">
        <f>36897</f>
        <v>36897</v>
      </c>
      <c r="X73" s="35">
        <f>18</f>
        <v>18</v>
      </c>
    </row>
    <row r="74" spans="1:24">
      <c r="A74" s="29" t="s">
        <v>813</v>
      </c>
      <c r="B74" s="29" t="s">
        <v>264</v>
      </c>
      <c r="C74" s="29" t="s">
        <v>265</v>
      </c>
      <c r="D74" s="29" t="s">
        <v>266</v>
      </c>
      <c r="E74" s="30" t="s">
        <v>46</v>
      </c>
      <c r="F74" s="31" t="s">
        <v>46</v>
      </c>
      <c r="G74" s="32" t="s">
        <v>46</v>
      </c>
      <c r="H74" s="27"/>
      <c r="I74" s="27" t="s">
        <v>47</v>
      </c>
      <c r="J74" s="33">
        <v>1</v>
      </c>
      <c r="K74" s="37">
        <f>1936</f>
        <v>1936</v>
      </c>
      <c r="L74" s="34" t="s">
        <v>814</v>
      </c>
      <c r="M74" s="37">
        <f>2013</f>
        <v>2013</v>
      </c>
      <c r="N74" s="34" t="s">
        <v>48</v>
      </c>
      <c r="O74" s="37">
        <f>1766</f>
        <v>1766</v>
      </c>
      <c r="P74" s="34" t="s">
        <v>95</v>
      </c>
      <c r="Q74" s="37">
        <f>1778</f>
        <v>1778</v>
      </c>
      <c r="R74" s="34" t="s">
        <v>95</v>
      </c>
      <c r="S74" s="36">
        <f>1938.44</f>
        <v>1938.44</v>
      </c>
      <c r="T74" s="33">
        <f>387481</f>
        <v>387481</v>
      </c>
      <c r="U74" s="33">
        <f>1875</f>
        <v>1875</v>
      </c>
      <c r="V74" s="33">
        <f>746749943</f>
        <v>746749943</v>
      </c>
      <c r="W74" s="33">
        <f>3603329</f>
        <v>3603329</v>
      </c>
      <c r="X74" s="35">
        <f>18</f>
        <v>18</v>
      </c>
    </row>
    <row r="75" spans="1:24">
      <c r="A75" s="29" t="s">
        <v>813</v>
      </c>
      <c r="B75" s="29" t="s">
        <v>267</v>
      </c>
      <c r="C75" s="29" t="s">
        <v>268</v>
      </c>
      <c r="D75" s="29" t="s">
        <v>269</v>
      </c>
      <c r="E75" s="30" t="s">
        <v>46</v>
      </c>
      <c r="F75" s="31" t="s">
        <v>46</v>
      </c>
      <c r="G75" s="32" t="s">
        <v>46</v>
      </c>
      <c r="H75" s="27"/>
      <c r="I75" s="27" t="s">
        <v>47</v>
      </c>
      <c r="J75" s="33">
        <v>1</v>
      </c>
      <c r="K75" s="37">
        <f>20260</f>
        <v>20260</v>
      </c>
      <c r="L75" s="34" t="s">
        <v>818</v>
      </c>
      <c r="M75" s="37">
        <f>21050</f>
        <v>21050</v>
      </c>
      <c r="N75" s="34" t="s">
        <v>48</v>
      </c>
      <c r="O75" s="37">
        <f>18440</f>
        <v>18440</v>
      </c>
      <c r="P75" s="34" t="s">
        <v>95</v>
      </c>
      <c r="Q75" s="37">
        <f>18450</f>
        <v>18450</v>
      </c>
      <c r="R75" s="34" t="s">
        <v>95</v>
      </c>
      <c r="S75" s="36">
        <f>20234.62</f>
        <v>20234.62</v>
      </c>
      <c r="T75" s="33">
        <f>513</f>
        <v>513</v>
      </c>
      <c r="U75" s="33" t="str">
        <f>"－"</f>
        <v>－</v>
      </c>
      <c r="V75" s="33">
        <f>10475110</f>
        <v>10475110</v>
      </c>
      <c r="W75" s="33" t="str">
        <f>"－"</f>
        <v>－</v>
      </c>
      <c r="X75" s="35">
        <f>13</f>
        <v>13</v>
      </c>
    </row>
    <row r="76" spans="1:24">
      <c r="A76" s="29" t="s">
        <v>813</v>
      </c>
      <c r="B76" s="29" t="s">
        <v>270</v>
      </c>
      <c r="C76" s="29" t="s">
        <v>271</v>
      </c>
      <c r="D76" s="29" t="s">
        <v>272</v>
      </c>
      <c r="E76" s="30" t="s">
        <v>46</v>
      </c>
      <c r="F76" s="31" t="s">
        <v>46</v>
      </c>
      <c r="G76" s="32" t="s">
        <v>46</v>
      </c>
      <c r="H76" s="27"/>
      <c r="I76" s="27" t="s">
        <v>47</v>
      </c>
      <c r="J76" s="33">
        <v>1</v>
      </c>
      <c r="K76" s="37">
        <f>16260</f>
        <v>16260</v>
      </c>
      <c r="L76" s="34" t="s">
        <v>818</v>
      </c>
      <c r="M76" s="37">
        <f>16850</f>
        <v>16850</v>
      </c>
      <c r="N76" s="34" t="s">
        <v>48</v>
      </c>
      <c r="O76" s="37">
        <f>14750</f>
        <v>14750</v>
      </c>
      <c r="P76" s="34" t="s">
        <v>95</v>
      </c>
      <c r="Q76" s="37">
        <f>14750</f>
        <v>14750</v>
      </c>
      <c r="R76" s="34" t="s">
        <v>95</v>
      </c>
      <c r="S76" s="36">
        <f>16074.55</f>
        <v>16074.55</v>
      </c>
      <c r="T76" s="33">
        <f>3378</f>
        <v>3378</v>
      </c>
      <c r="U76" s="33" t="str">
        <f>"－"</f>
        <v>－</v>
      </c>
      <c r="V76" s="33">
        <f>55327690</f>
        <v>55327690</v>
      </c>
      <c r="W76" s="33" t="str">
        <f>"－"</f>
        <v>－</v>
      </c>
      <c r="X76" s="35">
        <f>11</f>
        <v>11</v>
      </c>
    </row>
    <row r="77" spans="1:24">
      <c r="A77" s="29" t="s">
        <v>813</v>
      </c>
      <c r="B77" s="29" t="s">
        <v>273</v>
      </c>
      <c r="C77" s="29" t="s">
        <v>274</v>
      </c>
      <c r="D77" s="29" t="s">
        <v>275</v>
      </c>
      <c r="E77" s="30" t="s">
        <v>46</v>
      </c>
      <c r="F77" s="31" t="s">
        <v>46</v>
      </c>
      <c r="G77" s="32" t="s">
        <v>46</v>
      </c>
      <c r="H77" s="27"/>
      <c r="I77" s="27" t="s">
        <v>47</v>
      </c>
      <c r="J77" s="33">
        <v>1</v>
      </c>
      <c r="K77" s="37">
        <f>1591</f>
        <v>1591</v>
      </c>
      <c r="L77" s="34" t="s">
        <v>814</v>
      </c>
      <c r="M77" s="37">
        <f>1670</f>
        <v>1670</v>
      </c>
      <c r="N77" s="34" t="s">
        <v>48</v>
      </c>
      <c r="O77" s="37">
        <f>1463</f>
        <v>1463</v>
      </c>
      <c r="P77" s="34" t="s">
        <v>95</v>
      </c>
      <c r="Q77" s="37">
        <f>1463</f>
        <v>1463</v>
      </c>
      <c r="R77" s="34" t="s">
        <v>95</v>
      </c>
      <c r="S77" s="36">
        <f>1608</f>
        <v>1608</v>
      </c>
      <c r="T77" s="33">
        <f>263567</f>
        <v>263567</v>
      </c>
      <c r="U77" s="33" t="str">
        <f>"－"</f>
        <v>－</v>
      </c>
      <c r="V77" s="33">
        <f>428887206</f>
        <v>428887206</v>
      </c>
      <c r="W77" s="33" t="str">
        <f>"－"</f>
        <v>－</v>
      </c>
      <c r="X77" s="35">
        <f>18</f>
        <v>18</v>
      </c>
    </row>
    <row r="78" spans="1:24">
      <c r="A78" s="29" t="s">
        <v>813</v>
      </c>
      <c r="B78" s="29" t="s">
        <v>276</v>
      </c>
      <c r="C78" s="29" t="s">
        <v>277</v>
      </c>
      <c r="D78" s="29" t="s">
        <v>278</v>
      </c>
      <c r="E78" s="30" t="s">
        <v>46</v>
      </c>
      <c r="F78" s="31" t="s">
        <v>46</v>
      </c>
      <c r="G78" s="32" t="s">
        <v>46</v>
      </c>
      <c r="H78" s="27"/>
      <c r="I78" s="27" t="s">
        <v>47</v>
      </c>
      <c r="J78" s="33">
        <v>1</v>
      </c>
      <c r="K78" s="37">
        <f>2379</f>
        <v>2379</v>
      </c>
      <c r="L78" s="34" t="s">
        <v>814</v>
      </c>
      <c r="M78" s="37">
        <f>2428</f>
        <v>2428</v>
      </c>
      <c r="N78" s="34" t="s">
        <v>95</v>
      </c>
      <c r="O78" s="37">
        <f>2350</f>
        <v>2350</v>
      </c>
      <c r="P78" s="34" t="s">
        <v>48</v>
      </c>
      <c r="Q78" s="37">
        <f>2424</f>
        <v>2424</v>
      </c>
      <c r="R78" s="34" t="s">
        <v>95</v>
      </c>
      <c r="S78" s="36">
        <f>2375.61</f>
        <v>2375.61</v>
      </c>
      <c r="T78" s="33">
        <f>1087017</f>
        <v>1087017</v>
      </c>
      <c r="U78" s="33">
        <f>709622</f>
        <v>709622</v>
      </c>
      <c r="V78" s="33">
        <f>2587496749</f>
        <v>2587496749</v>
      </c>
      <c r="W78" s="33">
        <f>1686755059</f>
        <v>1686755059</v>
      </c>
      <c r="X78" s="35">
        <f>18</f>
        <v>18</v>
      </c>
    </row>
    <row r="79" spans="1:24">
      <c r="A79" s="29" t="s">
        <v>813</v>
      </c>
      <c r="B79" s="29" t="s">
        <v>279</v>
      </c>
      <c r="C79" s="29" t="s">
        <v>280</v>
      </c>
      <c r="D79" s="29" t="s">
        <v>281</v>
      </c>
      <c r="E79" s="30" t="s">
        <v>46</v>
      </c>
      <c r="F79" s="31" t="s">
        <v>46</v>
      </c>
      <c r="G79" s="32" t="s">
        <v>46</v>
      </c>
      <c r="H79" s="27"/>
      <c r="I79" s="27" t="s">
        <v>47</v>
      </c>
      <c r="J79" s="33">
        <v>1</v>
      </c>
      <c r="K79" s="37">
        <f>1585</f>
        <v>1585</v>
      </c>
      <c r="L79" s="34" t="s">
        <v>814</v>
      </c>
      <c r="M79" s="37">
        <f>1700</f>
        <v>1700</v>
      </c>
      <c r="N79" s="34" t="s">
        <v>821</v>
      </c>
      <c r="O79" s="37">
        <f>1585</f>
        <v>1585</v>
      </c>
      <c r="P79" s="34" t="s">
        <v>814</v>
      </c>
      <c r="Q79" s="37">
        <f>1632</f>
        <v>1632</v>
      </c>
      <c r="R79" s="34" t="s">
        <v>95</v>
      </c>
      <c r="S79" s="36">
        <f>1642.88</f>
        <v>1642.88</v>
      </c>
      <c r="T79" s="33">
        <f>497</f>
        <v>497</v>
      </c>
      <c r="U79" s="33" t="str">
        <f>"－"</f>
        <v>－</v>
      </c>
      <c r="V79" s="33">
        <f>809707</f>
        <v>809707</v>
      </c>
      <c r="W79" s="33" t="str">
        <f>"－"</f>
        <v>－</v>
      </c>
      <c r="X79" s="35">
        <f>17</f>
        <v>17</v>
      </c>
    </row>
    <row r="80" spans="1:24">
      <c r="A80" s="29" t="s">
        <v>813</v>
      </c>
      <c r="B80" s="29" t="s">
        <v>282</v>
      </c>
      <c r="C80" s="29" t="s">
        <v>283</v>
      </c>
      <c r="D80" s="29" t="s">
        <v>284</v>
      </c>
      <c r="E80" s="30" t="s">
        <v>46</v>
      </c>
      <c r="F80" s="31" t="s">
        <v>46</v>
      </c>
      <c r="G80" s="32" t="s">
        <v>46</v>
      </c>
      <c r="H80" s="27"/>
      <c r="I80" s="27" t="s">
        <v>47</v>
      </c>
      <c r="J80" s="33">
        <v>10</v>
      </c>
      <c r="K80" s="37">
        <f>1576</f>
        <v>1576</v>
      </c>
      <c r="L80" s="34" t="s">
        <v>814</v>
      </c>
      <c r="M80" s="37">
        <f>1650</f>
        <v>1650</v>
      </c>
      <c r="N80" s="34" t="s">
        <v>48</v>
      </c>
      <c r="O80" s="37">
        <f>1439</f>
        <v>1439</v>
      </c>
      <c r="P80" s="34" t="s">
        <v>95</v>
      </c>
      <c r="Q80" s="37">
        <f>1439</f>
        <v>1439</v>
      </c>
      <c r="R80" s="34" t="s">
        <v>95</v>
      </c>
      <c r="S80" s="36">
        <f>1587.06</f>
        <v>1587.06</v>
      </c>
      <c r="T80" s="33">
        <f>8160</f>
        <v>8160</v>
      </c>
      <c r="U80" s="33" t="str">
        <f>"－"</f>
        <v>－</v>
      </c>
      <c r="V80" s="33">
        <f>12883860</f>
        <v>12883860</v>
      </c>
      <c r="W80" s="33" t="str">
        <f>"－"</f>
        <v>－</v>
      </c>
      <c r="X80" s="35">
        <f>18</f>
        <v>18</v>
      </c>
    </row>
    <row r="81" spans="1:24">
      <c r="A81" s="29" t="s">
        <v>813</v>
      </c>
      <c r="B81" s="29" t="s">
        <v>285</v>
      </c>
      <c r="C81" s="29" t="s">
        <v>286</v>
      </c>
      <c r="D81" s="29" t="s">
        <v>287</v>
      </c>
      <c r="E81" s="30" t="s">
        <v>46</v>
      </c>
      <c r="F81" s="31" t="s">
        <v>46</v>
      </c>
      <c r="G81" s="32" t="s">
        <v>46</v>
      </c>
      <c r="H81" s="27"/>
      <c r="I81" s="27" t="s">
        <v>47</v>
      </c>
      <c r="J81" s="33">
        <v>1</v>
      </c>
      <c r="K81" s="37">
        <f>25020</f>
        <v>25020</v>
      </c>
      <c r="L81" s="34" t="s">
        <v>49</v>
      </c>
      <c r="M81" s="37">
        <f>25020</f>
        <v>25020</v>
      </c>
      <c r="N81" s="34" t="s">
        <v>49</v>
      </c>
      <c r="O81" s="37">
        <f>25020</f>
        <v>25020</v>
      </c>
      <c r="P81" s="34" t="s">
        <v>49</v>
      </c>
      <c r="Q81" s="37">
        <f>25020</f>
        <v>25020</v>
      </c>
      <c r="R81" s="34" t="s">
        <v>49</v>
      </c>
      <c r="S81" s="36">
        <f>25020</f>
        <v>25020</v>
      </c>
      <c r="T81" s="33">
        <f>4</f>
        <v>4</v>
      </c>
      <c r="U81" s="33" t="str">
        <f>"－"</f>
        <v>－</v>
      </c>
      <c r="V81" s="33">
        <f>100080</f>
        <v>100080</v>
      </c>
      <c r="W81" s="33" t="str">
        <f>"－"</f>
        <v>－</v>
      </c>
      <c r="X81" s="35">
        <f>1</f>
        <v>1</v>
      </c>
    </row>
    <row r="82" spans="1:24">
      <c r="A82" s="29" t="s">
        <v>813</v>
      </c>
      <c r="B82" s="29" t="s">
        <v>288</v>
      </c>
      <c r="C82" s="29" t="s">
        <v>289</v>
      </c>
      <c r="D82" s="29" t="s">
        <v>290</v>
      </c>
      <c r="E82" s="30" t="s">
        <v>46</v>
      </c>
      <c r="F82" s="31" t="s">
        <v>46</v>
      </c>
      <c r="G82" s="32" t="s">
        <v>46</v>
      </c>
      <c r="H82" s="27"/>
      <c r="I82" s="27" t="s">
        <v>47</v>
      </c>
      <c r="J82" s="33">
        <v>1</v>
      </c>
      <c r="K82" s="37">
        <f>21230</f>
        <v>21230</v>
      </c>
      <c r="L82" s="34" t="s">
        <v>814</v>
      </c>
      <c r="M82" s="37">
        <f>24000</f>
        <v>24000</v>
      </c>
      <c r="N82" s="34" t="s">
        <v>95</v>
      </c>
      <c r="O82" s="37">
        <f>21200</f>
        <v>21200</v>
      </c>
      <c r="P82" s="34" t="s">
        <v>818</v>
      </c>
      <c r="Q82" s="37">
        <f>21810</f>
        <v>21810</v>
      </c>
      <c r="R82" s="34" t="s">
        <v>95</v>
      </c>
      <c r="S82" s="36">
        <f>21522.35</f>
        <v>21522.35</v>
      </c>
      <c r="T82" s="33">
        <f>58378</f>
        <v>58378</v>
      </c>
      <c r="U82" s="33">
        <f>56500</f>
        <v>56500</v>
      </c>
      <c r="V82" s="33">
        <f>1257505900</f>
        <v>1257505900</v>
      </c>
      <c r="W82" s="33">
        <f>1216537300</f>
        <v>1216537300</v>
      </c>
      <c r="X82" s="35">
        <f>17</f>
        <v>17</v>
      </c>
    </row>
    <row r="83" spans="1:24">
      <c r="A83" s="29" t="s">
        <v>813</v>
      </c>
      <c r="B83" s="29" t="s">
        <v>291</v>
      </c>
      <c r="C83" s="29" t="s">
        <v>292</v>
      </c>
      <c r="D83" s="29" t="s">
        <v>293</v>
      </c>
      <c r="E83" s="30" t="s">
        <v>46</v>
      </c>
      <c r="F83" s="31" t="s">
        <v>46</v>
      </c>
      <c r="G83" s="32" t="s">
        <v>46</v>
      </c>
      <c r="H83" s="27"/>
      <c r="I83" s="27" t="s">
        <v>47</v>
      </c>
      <c r="J83" s="33">
        <v>1</v>
      </c>
      <c r="K83" s="37">
        <f>18640</f>
        <v>18640</v>
      </c>
      <c r="L83" s="34" t="s">
        <v>814</v>
      </c>
      <c r="M83" s="37">
        <f>18990</f>
        <v>18990</v>
      </c>
      <c r="N83" s="34" t="s">
        <v>95</v>
      </c>
      <c r="O83" s="37">
        <f>18370</f>
        <v>18370</v>
      </c>
      <c r="P83" s="34" t="s">
        <v>48</v>
      </c>
      <c r="Q83" s="37">
        <f>18970</f>
        <v>18970</v>
      </c>
      <c r="R83" s="34" t="s">
        <v>95</v>
      </c>
      <c r="S83" s="36">
        <f>18588.89</f>
        <v>18588.89</v>
      </c>
      <c r="T83" s="33">
        <f>163924</f>
        <v>163924</v>
      </c>
      <c r="U83" s="33">
        <f>104000</f>
        <v>104000</v>
      </c>
      <c r="V83" s="33">
        <f>3074257140</f>
        <v>3074257140</v>
      </c>
      <c r="W83" s="33">
        <f>1957114600</f>
        <v>1957114600</v>
      </c>
      <c r="X83" s="35">
        <f>18</f>
        <v>18</v>
      </c>
    </row>
    <row r="84" spans="1:24">
      <c r="A84" s="29" t="s">
        <v>813</v>
      </c>
      <c r="B84" s="29" t="s">
        <v>294</v>
      </c>
      <c r="C84" s="29" t="s">
        <v>295</v>
      </c>
      <c r="D84" s="29" t="s">
        <v>296</v>
      </c>
      <c r="E84" s="30" t="s">
        <v>46</v>
      </c>
      <c r="F84" s="31" t="s">
        <v>46</v>
      </c>
      <c r="G84" s="32" t="s">
        <v>46</v>
      </c>
      <c r="H84" s="27"/>
      <c r="I84" s="27" t="s">
        <v>47</v>
      </c>
      <c r="J84" s="33">
        <v>10</v>
      </c>
      <c r="K84" s="37">
        <f>2275</f>
        <v>2275</v>
      </c>
      <c r="L84" s="34" t="s">
        <v>814</v>
      </c>
      <c r="M84" s="37">
        <f>2322</f>
        <v>2322</v>
      </c>
      <c r="N84" s="34" t="s">
        <v>150</v>
      </c>
      <c r="O84" s="37">
        <f>2084</f>
        <v>2084</v>
      </c>
      <c r="P84" s="34" t="s">
        <v>95</v>
      </c>
      <c r="Q84" s="37">
        <f>2104</f>
        <v>2104</v>
      </c>
      <c r="R84" s="34" t="s">
        <v>95</v>
      </c>
      <c r="S84" s="36">
        <f>2273.89</f>
        <v>2273.89</v>
      </c>
      <c r="T84" s="33">
        <f>994130</f>
        <v>994130</v>
      </c>
      <c r="U84" s="33">
        <f>474000</f>
        <v>474000</v>
      </c>
      <c r="V84" s="33">
        <f>2219939250</f>
        <v>2219939250</v>
      </c>
      <c r="W84" s="33">
        <f>1063376380</f>
        <v>1063376380</v>
      </c>
      <c r="X84" s="35">
        <f>18</f>
        <v>18</v>
      </c>
    </row>
    <row r="85" spans="1:24">
      <c r="A85" s="29" t="s">
        <v>813</v>
      </c>
      <c r="B85" s="29" t="s">
        <v>297</v>
      </c>
      <c r="C85" s="29" t="s">
        <v>298</v>
      </c>
      <c r="D85" s="29" t="s">
        <v>299</v>
      </c>
      <c r="E85" s="30" t="s">
        <v>46</v>
      </c>
      <c r="F85" s="31" t="s">
        <v>46</v>
      </c>
      <c r="G85" s="32" t="s">
        <v>46</v>
      </c>
      <c r="H85" s="27"/>
      <c r="I85" s="27" t="s">
        <v>47</v>
      </c>
      <c r="J85" s="33">
        <v>1</v>
      </c>
      <c r="K85" s="37">
        <f>32950</f>
        <v>32950</v>
      </c>
      <c r="L85" s="34" t="s">
        <v>814</v>
      </c>
      <c r="M85" s="37">
        <f>34400</f>
        <v>34400</v>
      </c>
      <c r="N85" s="34" t="s">
        <v>48</v>
      </c>
      <c r="O85" s="37">
        <f>30150</f>
        <v>30150</v>
      </c>
      <c r="P85" s="34" t="s">
        <v>95</v>
      </c>
      <c r="Q85" s="37">
        <f>30500</f>
        <v>30500</v>
      </c>
      <c r="R85" s="34" t="s">
        <v>95</v>
      </c>
      <c r="S85" s="36">
        <f>33033.33</f>
        <v>33033.33</v>
      </c>
      <c r="T85" s="33">
        <f>56067</f>
        <v>56067</v>
      </c>
      <c r="U85" s="33">
        <f>15</f>
        <v>15</v>
      </c>
      <c r="V85" s="33">
        <f>1816546895</f>
        <v>1816546895</v>
      </c>
      <c r="W85" s="33">
        <f>485195</f>
        <v>485195</v>
      </c>
      <c r="X85" s="35">
        <f>18</f>
        <v>18</v>
      </c>
    </row>
    <row r="86" spans="1:24">
      <c r="A86" s="29" t="s">
        <v>813</v>
      </c>
      <c r="B86" s="29" t="s">
        <v>300</v>
      </c>
      <c r="C86" s="29" t="s">
        <v>301</v>
      </c>
      <c r="D86" s="29" t="s">
        <v>302</v>
      </c>
      <c r="E86" s="30" t="s">
        <v>46</v>
      </c>
      <c r="F86" s="31" t="s">
        <v>46</v>
      </c>
      <c r="G86" s="32" t="s">
        <v>46</v>
      </c>
      <c r="H86" s="27"/>
      <c r="I86" s="27" t="s">
        <v>47</v>
      </c>
      <c r="J86" s="33">
        <v>10</v>
      </c>
      <c r="K86" s="37">
        <f>9090</f>
        <v>9090</v>
      </c>
      <c r="L86" s="34" t="s">
        <v>100</v>
      </c>
      <c r="M86" s="37">
        <f>9090</f>
        <v>9090</v>
      </c>
      <c r="N86" s="34" t="s">
        <v>100</v>
      </c>
      <c r="O86" s="37">
        <f>9010</f>
        <v>9010</v>
      </c>
      <c r="P86" s="34" t="s">
        <v>821</v>
      </c>
      <c r="Q86" s="37">
        <f>9040</f>
        <v>9040</v>
      </c>
      <c r="R86" s="34" t="s">
        <v>91</v>
      </c>
      <c r="S86" s="36">
        <f>9047.5</f>
        <v>9047.5</v>
      </c>
      <c r="T86" s="33">
        <f>840</f>
        <v>840</v>
      </c>
      <c r="U86" s="33" t="str">
        <f>"－"</f>
        <v>－</v>
      </c>
      <c r="V86" s="33">
        <f>7622700</f>
        <v>7622700</v>
      </c>
      <c r="W86" s="33" t="str">
        <f>"－"</f>
        <v>－</v>
      </c>
      <c r="X86" s="35">
        <f>8</f>
        <v>8</v>
      </c>
    </row>
    <row r="87" spans="1:24">
      <c r="A87" s="29" t="s">
        <v>813</v>
      </c>
      <c r="B87" s="29" t="s">
        <v>303</v>
      </c>
      <c r="C87" s="29" t="s">
        <v>304</v>
      </c>
      <c r="D87" s="29" t="s">
        <v>305</v>
      </c>
      <c r="E87" s="30" t="s">
        <v>46</v>
      </c>
      <c r="F87" s="31" t="s">
        <v>46</v>
      </c>
      <c r="G87" s="32" t="s">
        <v>46</v>
      </c>
      <c r="H87" s="27"/>
      <c r="I87" s="27" t="s">
        <v>47</v>
      </c>
      <c r="J87" s="33">
        <v>1</v>
      </c>
      <c r="K87" s="37">
        <f>14050</f>
        <v>14050</v>
      </c>
      <c r="L87" s="34" t="s">
        <v>814</v>
      </c>
      <c r="M87" s="37">
        <f>14550</f>
        <v>14550</v>
      </c>
      <c r="N87" s="34" t="s">
        <v>100</v>
      </c>
      <c r="O87" s="37">
        <f>12080</f>
        <v>12080</v>
      </c>
      <c r="P87" s="34" t="s">
        <v>95</v>
      </c>
      <c r="Q87" s="37">
        <f>12160</f>
        <v>12160</v>
      </c>
      <c r="R87" s="34" t="s">
        <v>95</v>
      </c>
      <c r="S87" s="36">
        <f>13817.78</f>
        <v>13817.78</v>
      </c>
      <c r="T87" s="33">
        <f>1643</f>
        <v>1643</v>
      </c>
      <c r="U87" s="33" t="str">
        <f>"－"</f>
        <v>－</v>
      </c>
      <c r="V87" s="33">
        <f>22385820</f>
        <v>22385820</v>
      </c>
      <c r="W87" s="33" t="str">
        <f>"－"</f>
        <v>－</v>
      </c>
      <c r="X87" s="35">
        <f>18</f>
        <v>18</v>
      </c>
    </row>
    <row r="88" spans="1:24">
      <c r="A88" s="29" t="s">
        <v>813</v>
      </c>
      <c r="B88" s="29" t="s">
        <v>306</v>
      </c>
      <c r="C88" s="29" t="s">
        <v>307</v>
      </c>
      <c r="D88" s="29" t="s">
        <v>308</v>
      </c>
      <c r="E88" s="30" t="s">
        <v>46</v>
      </c>
      <c r="F88" s="31" t="s">
        <v>46</v>
      </c>
      <c r="G88" s="32" t="s">
        <v>46</v>
      </c>
      <c r="H88" s="27"/>
      <c r="I88" s="27" t="s">
        <v>47</v>
      </c>
      <c r="J88" s="33">
        <v>1</v>
      </c>
      <c r="K88" s="37">
        <f>13980</f>
        <v>13980</v>
      </c>
      <c r="L88" s="34" t="s">
        <v>814</v>
      </c>
      <c r="M88" s="37">
        <f>14590</f>
        <v>14590</v>
      </c>
      <c r="N88" s="34" t="s">
        <v>48</v>
      </c>
      <c r="O88" s="37">
        <f>12030</f>
        <v>12030</v>
      </c>
      <c r="P88" s="34" t="s">
        <v>95</v>
      </c>
      <c r="Q88" s="37">
        <f>12030</f>
        <v>12030</v>
      </c>
      <c r="R88" s="34" t="s">
        <v>95</v>
      </c>
      <c r="S88" s="36">
        <f>13828.89</f>
        <v>13828.89</v>
      </c>
      <c r="T88" s="33">
        <f>1888</f>
        <v>1888</v>
      </c>
      <c r="U88" s="33" t="str">
        <f>"－"</f>
        <v>－</v>
      </c>
      <c r="V88" s="33">
        <f>24440870</f>
        <v>24440870</v>
      </c>
      <c r="W88" s="33" t="str">
        <f>"－"</f>
        <v>－</v>
      </c>
      <c r="X88" s="35">
        <f>18</f>
        <v>18</v>
      </c>
    </row>
    <row r="89" spans="1:24">
      <c r="A89" s="29" t="s">
        <v>813</v>
      </c>
      <c r="B89" s="29" t="s">
        <v>310</v>
      </c>
      <c r="C89" s="29" t="s">
        <v>311</v>
      </c>
      <c r="D89" s="29" t="s">
        <v>312</v>
      </c>
      <c r="E89" s="30" t="s">
        <v>46</v>
      </c>
      <c r="F89" s="31" t="s">
        <v>46</v>
      </c>
      <c r="G89" s="32" t="s">
        <v>46</v>
      </c>
      <c r="H89" s="27"/>
      <c r="I89" s="27" t="s">
        <v>47</v>
      </c>
      <c r="J89" s="33">
        <v>1</v>
      </c>
      <c r="K89" s="37">
        <f>17770</f>
        <v>17770</v>
      </c>
      <c r="L89" s="34" t="s">
        <v>814</v>
      </c>
      <c r="M89" s="37">
        <f>18610</f>
        <v>18610</v>
      </c>
      <c r="N89" s="34" t="s">
        <v>100</v>
      </c>
      <c r="O89" s="37">
        <f>16130</f>
        <v>16130</v>
      </c>
      <c r="P89" s="34" t="s">
        <v>95</v>
      </c>
      <c r="Q89" s="37">
        <f>16140</f>
        <v>16140</v>
      </c>
      <c r="R89" s="34" t="s">
        <v>95</v>
      </c>
      <c r="S89" s="36">
        <f>17846.67</f>
        <v>17846.669999999998</v>
      </c>
      <c r="T89" s="33">
        <f>2983</f>
        <v>2983</v>
      </c>
      <c r="U89" s="33" t="str">
        <f>"－"</f>
        <v>－</v>
      </c>
      <c r="V89" s="33">
        <f>52457960</f>
        <v>52457960</v>
      </c>
      <c r="W89" s="33" t="str">
        <f>"－"</f>
        <v>－</v>
      </c>
      <c r="X89" s="35">
        <f>18</f>
        <v>18</v>
      </c>
    </row>
    <row r="90" spans="1:24">
      <c r="A90" s="29" t="s">
        <v>813</v>
      </c>
      <c r="B90" s="29" t="s">
        <v>313</v>
      </c>
      <c r="C90" s="29" t="s">
        <v>314</v>
      </c>
      <c r="D90" s="29" t="s">
        <v>315</v>
      </c>
      <c r="E90" s="30" t="s">
        <v>46</v>
      </c>
      <c r="F90" s="31" t="s">
        <v>46</v>
      </c>
      <c r="G90" s="32" t="s">
        <v>46</v>
      </c>
      <c r="H90" s="27"/>
      <c r="I90" s="27" t="s">
        <v>47</v>
      </c>
      <c r="J90" s="33">
        <v>10</v>
      </c>
      <c r="K90" s="37">
        <f>11480</f>
        <v>11480</v>
      </c>
      <c r="L90" s="34" t="s">
        <v>814</v>
      </c>
      <c r="M90" s="37">
        <f>11850</f>
        <v>11850</v>
      </c>
      <c r="N90" s="34" t="s">
        <v>150</v>
      </c>
      <c r="O90" s="37">
        <f>10640</f>
        <v>10640</v>
      </c>
      <c r="P90" s="34" t="s">
        <v>95</v>
      </c>
      <c r="Q90" s="37">
        <f>10790</f>
        <v>10790</v>
      </c>
      <c r="R90" s="34" t="s">
        <v>95</v>
      </c>
      <c r="S90" s="36">
        <f>11526.11</f>
        <v>11526.11</v>
      </c>
      <c r="T90" s="33">
        <f>10070</f>
        <v>10070</v>
      </c>
      <c r="U90" s="33" t="str">
        <f>"－"</f>
        <v>－</v>
      </c>
      <c r="V90" s="33">
        <f>114789700</f>
        <v>114789700</v>
      </c>
      <c r="W90" s="33" t="str">
        <f>"－"</f>
        <v>－</v>
      </c>
      <c r="X90" s="35">
        <f>18</f>
        <v>18</v>
      </c>
    </row>
    <row r="91" spans="1:24">
      <c r="A91" s="29" t="s">
        <v>813</v>
      </c>
      <c r="B91" s="29" t="s">
        <v>316</v>
      </c>
      <c r="C91" s="29" t="s">
        <v>317</v>
      </c>
      <c r="D91" s="29" t="s">
        <v>318</v>
      </c>
      <c r="E91" s="30" t="s">
        <v>46</v>
      </c>
      <c r="F91" s="31" t="s">
        <v>46</v>
      </c>
      <c r="G91" s="32" t="s">
        <v>46</v>
      </c>
      <c r="H91" s="27"/>
      <c r="I91" s="27" t="s">
        <v>47</v>
      </c>
      <c r="J91" s="33">
        <v>1</v>
      </c>
      <c r="K91" s="37">
        <f>2570</f>
        <v>2570</v>
      </c>
      <c r="L91" s="34" t="s">
        <v>814</v>
      </c>
      <c r="M91" s="37">
        <f>2589</f>
        <v>2589</v>
      </c>
      <c r="N91" s="34" t="s">
        <v>816</v>
      </c>
      <c r="O91" s="37">
        <f>2525</f>
        <v>2525</v>
      </c>
      <c r="P91" s="34" t="s">
        <v>100</v>
      </c>
      <c r="Q91" s="37">
        <f>2572</f>
        <v>2572</v>
      </c>
      <c r="R91" s="34" t="s">
        <v>95</v>
      </c>
      <c r="S91" s="36">
        <f>2567.61</f>
        <v>2567.61</v>
      </c>
      <c r="T91" s="33">
        <f>236168</f>
        <v>236168</v>
      </c>
      <c r="U91" s="33">
        <f>39001</f>
        <v>39001</v>
      </c>
      <c r="V91" s="33">
        <f>608252313</f>
        <v>608252313</v>
      </c>
      <c r="W91" s="33">
        <f>100466562</f>
        <v>100466562</v>
      </c>
      <c r="X91" s="35">
        <f>18</f>
        <v>18</v>
      </c>
    </row>
    <row r="92" spans="1:24">
      <c r="A92" s="29" t="s">
        <v>813</v>
      </c>
      <c r="B92" s="29" t="s">
        <v>319</v>
      </c>
      <c r="C92" s="29" t="s">
        <v>320</v>
      </c>
      <c r="D92" s="29" t="s">
        <v>321</v>
      </c>
      <c r="E92" s="30" t="s">
        <v>46</v>
      </c>
      <c r="F92" s="31" t="s">
        <v>46</v>
      </c>
      <c r="G92" s="32" t="s">
        <v>46</v>
      </c>
      <c r="H92" s="27"/>
      <c r="I92" s="27" t="s">
        <v>47</v>
      </c>
      <c r="J92" s="33">
        <v>1</v>
      </c>
      <c r="K92" s="37">
        <f>2383</f>
        <v>2383</v>
      </c>
      <c r="L92" s="34" t="s">
        <v>814</v>
      </c>
      <c r="M92" s="37">
        <f>2415</f>
        <v>2415</v>
      </c>
      <c r="N92" s="34" t="s">
        <v>150</v>
      </c>
      <c r="O92" s="37">
        <f>2328</f>
        <v>2328</v>
      </c>
      <c r="P92" s="34" t="s">
        <v>95</v>
      </c>
      <c r="Q92" s="37">
        <f>2330</f>
        <v>2330</v>
      </c>
      <c r="R92" s="34" t="s">
        <v>95</v>
      </c>
      <c r="S92" s="36">
        <f>2393</f>
        <v>2393</v>
      </c>
      <c r="T92" s="33">
        <f>97732</f>
        <v>97732</v>
      </c>
      <c r="U92" s="33" t="str">
        <f>"－"</f>
        <v>－</v>
      </c>
      <c r="V92" s="33">
        <f>232229959</f>
        <v>232229959</v>
      </c>
      <c r="W92" s="33" t="str">
        <f>"－"</f>
        <v>－</v>
      </c>
      <c r="X92" s="35">
        <f>18</f>
        <v>18</v>
      </c>
    </row>
    <row r="93" spans="1:24">
      <c r="A93" s="29" t="s">
        <v>813</v>
      </c>
      <c r="B93" s="29" t="s">
        <v>322</v>
      </c>
      <c r="C93" s="29" t="s">
        <v>323</v>
      </c>
      <c r="D93" s="29" t="s">
        <v>324</v>
      </c>
      <c r="E93" s="30" t="s">
        <v>46</v>
      </c>
      <c r="F93" s="31" t="s">
        <v>46</v>
      </c>
      <c r="G93" s="32" t="s">
        <v>46</v>
      </c>
      <c r="H93" s="27"/>
      <c r="I93" s="27" t="s">
        <v>47</v>
      </c>
      <c r="J93" s="33">
        <v>1</v>
      </c>
      <c r="K93" s="37">
        <f>12700</f>
        <v>12700</v>
      </c>
      <c r="L93" s="34" t="s">
        <v>814</v>
      </c>
      <c r="M93" s="37">
        <f>13350</f>
        <v>13350</v>
      </c>
      <c r="N93" s="34" t="s">
        <v>48</v>
      </c>
      <c r="O93" s="37">
        <f>11550</f>
        <v>11550</v>
      </c>
      <c r="P93" s="34" t="s">
        <v>95</v>
      </c>
      <c r="Q93" s="37">
        <f>11550</f>
        <v>11550</v>
      </c>
      <c r="R93" s="34" t="s">
        <v>95</v>
      </c>
      <c r="S93" s="36">
        <f>12797.78</f>
        <v>12797.78</v>
      </c>
      <c r="T93" s="33">
        <f>81788</f>
        <v>81788</v>
      </c>
      <c r="U93" s="33">
        <f>80000</f>
        <v>80000</v>
      </c>
      <c r="V93" s="33">
        <f>1048209340</f>
        <v>1048209340</v>
      </c>
      <c r="W93" s="33">
        <f>1025544960</f>
        <v>1025544960</v>
      </c>
      <c r="X93" s="35">
        <f>18</f>
        <v>18</v>
      </c>
    </row>
    <row r="94" spans="1:24">
      <c r="A94" s="29" t="s">
        <v>813</v>
      </c>
      <c r="B94" s="29" t="s">
        <v>325</v>
      </c>
      <c r="C94" s="29" t="s">
        <v>326</v>
      </c>
      <c r="D94" s="29" t="s">
        <v>327</v>
      </c>
      <c r="E94" s="30" t="s">
        <v>46</v>
      </c>
      <c r="F94" s="31" t="s">
        <v>46</v>
      </c>
      <c r="G94" s="32" t="s">
        <v>46</v>
      </c>
      <c r="H94" s="27"/>
      <c r="I94" s="27" t="s">
        <v>47</v>
      </c>
      <c r="J94" s="33">
        <v>1</v>
      </c>
      <c r="K94" s="37">
        <f>9020</f>
        <v>9020</v>
      </c>
      <c r="L94" s="34" t="s">
        <v>814</v>
      </c>
      <c r="M94" s="37">
        <f>9190</f>
        <v>9190</v>
      </c>
      <c r="N94" s="34" t="s">
        <v>48</v>
      </c>
      <c r="O94" s="37">
        <f>8760</f>
        <v>8760</v>
      </c>
      <c r="P94" s="34" t="s">
        <v>95</v>
      </c>
      <c r="Q94" s="37">
        <f>8770</f>
        <v>8770</v>
      </c>
      <c r="R94" s="34" t="s">
        <v>95</v>
      </c>
      <c r="S94" s="36">
        <f>9003.89</f>
        <v>9003.89</v>
      </c>
      <c r="T94" s="33">
        <f>1955</f>
        <v>1955</v>
      </c>
      <c r="U94" s="33">
        <f>751</f>
        <v>751</v>
      </c>
      <c r="V94" s="33">
        <f>17527510</f>
        <v>17527510</v>
      </c>
      <c r="W94" s="33">
        <f>6733160</f>
        <v>6733160</v>
      </c>
      <c r="X94" s="35">
        <f>18</f>
        <v>18</v>
      </c>
    </row>
    <row r="95" spans="1:24">
      <c r="A95" s="29" t="s">
        <v>813</v>
      </c>
      <c r="B95" s="29" t="s">
        <v>328</v>
      </c>
      <c r="C95" s="29" t="s">
        <v>329</v>
      </c>
      <c r="D95" s="29" t="s">
        <v>330</v>
      </c>
      <c r="E95" s="30" t="s">
        <v>46</v>
      </c>
      <c r="F95" s="31" t="s">
        <v>46</v>
      </c>
      <c r="G95" s="32" t="s">
        <v>46</v>
      </c>
      <c r="H95" s="27"/>
      <c r="I95" s="27" t="s">
        <v>47</v>
      </c>
      <c r="J95" s="33">
        <v>1</v>
      </c>
      <c r="K95" s="37">
        <f>5320</f>
        <v>5320</v>
      </c>
      <c r="L95" s="34" t="s">
        <v>814</v>
      </c>
      <c r="M95" s="37">
        <f>5900</f>
        <v>5900</v>
      </c>
      <c r="N95" s="34" t="s">
        <v>816</v>
      </c>
      <c r="O95" s="37">
        <f>5240</f>
        <v>5240</v>
      </c>
      <c r="P95" s="34" t="s">
        <v>817</v>
      </c>
      <c r="Q95" s="37">
        <f>5560</f>
        <v>5560</v>
      </c>
      <c r="R95" s="34" t="s">
        <v>95</v>
      </c>
      <c r="S95" s="36">
        <f>5483.33</f>
        <v>5483.33</v>
      </c>
      <c r="T95" s="33">
        <f>2974068</f>
        <v>2974068</v>
      </c>
      <c r="U95" s="33">
        <f>286106</f>
        <v>286106</v>
      </c>
      <c r="V95" s="33">
        <f>16406040006</f>
        <v>16406040006</v>
      </c>
      <c r="W95" s="33">
        <f>1539645116</f>
        <v>1539645116</v>
      </c>
      <c r="X95" s="35">
        <f>18</f>
        <v>18</v>
      </c>
    </row>
    <row r="96" spans="1:24">
      <c r="A96" s="29" t="s">
        <v>813</v>
      </c>
      <c r="B96" s="29" t="s">
        <v>331</v>
      </c>
      <c r="C96" s="29" t="s">
        <v>332</v>
      </c>
      <c r="D96" s="29" t="s">
        <v>333</v>
      </c>
      <c r="E96" s="30" t="s">
        <v>46</v>
      </c>
      <c r="F96" s="31" t="s">
        <v>46</v>
      </c>
      <c r="G96" s="32" t="s">
        <v>46</v>
      </c>
      <c r="H96" s="27"/>
      <c r="I96" s="27" t="s">
        <v>47</v>
      </c>
      <c r="J96" s="33">
        <v>1</v>
      </c>
      <c r="K96" s="37">
        <f>3140</f>
        <v>3140</v>
      </c>
      <c r="L96" s="34" t="s">
        <v>814</v>
      </c>
      <c r="M96" s="37">
        <f>3360</f>
        <v>3360</v>
      </c>
      <c r="N96" s="34" t="s">
        <v>49</v>
      </c>
      <c r="O96" s="37">
        <f>2877</f>
        <v>2877</v>
      </c>
      <c r="P96" s="34" t="s">
        <v>95</v>
      </c>
      <c r="Q96" s="37">
        <f>2917</f>
        <v>2917</v>
      </c>
      <c r="R96" s="34" t="s">
        <v>95</v>
      </c>
      <c r="S96" s="36">
        <f>3180.11</f>
        <v>3180.11</v>
      </c>
      <c r="T96" s="33">
        <f>322831</f>
        <v>322831</v>
      </c>
      <c r="U96" s="33">
        <f>1195</f>
        <v>1195</v>
      </c>
      <c r="V96" s="33">
        <f>1017143015</f>
        <v>1017143015</v>
      </c>
      <c r="W96" s="33">
        <f>3728986</f>
        <v>3728986</v>
      </c>
      <c r="X96" s="35">
        <f>18</f>
        <v>18</v>
      </c>
    </row>
    <row r="97" spans="1:24">
      <c r="A97" s="29" t="s">
        <v>813</v>
      </c>
      <c r="B97" s="29" t="s">
        <v>334</v>
      </c>
      <c r="C97" s="29" t="s">
        <v>335</v>
      </c>
      <c r="D97" s="29" t="s">
        <v>336</v>
      </c>
      <c r="E97" s="30" t="s">
        <v>46</v>
      </c>
      <c r="F97" s="31" t="s">
        <v>46</v>
      </c>
      <c r="G97" s="32" t="s">
        <v>46</v>
      </c>
      <c r="H97" s="27"/>
      <c r="I97" s="27" t="s">
        <v>47</v>
      </c>
      <c r="J97" s="33">
        <v>1</v>
      </c>
      <c r="K97" s="37">
        <f>5780</f>
        <v>5780</v>
      </c>
      <c r="L97" s="34" t="s">
        <v>814</v>
      </c>
      <c r="M97" s="37">
        <f>6100</f>
        <v>6100</v>
      </c>
      <c r="N97" s="34" t="s">
        <v>816</v>
      </c>
      <c r="O97" s="37">
        <f>5500</f>
        <v>5500</v>
      </c>
      <c r="P97" s="34" t="s">
        <v>95</v>
      </c>
      <c r="Q97" s="37">
        <f>5500</f>
        <v>5500</v>
      </c>
      <c r="R97" s="34" t="s">
        <v>95</v>
      </c>
      <c r="S97" s="36">
        <f>5800.56</f>
        <v>5800.56</v>
      </c>
      <c r="T97" s="33">
        <f>138139</f>
        <v>138139</v>
      </c>
      <c r="U97" s="33">
        <f>235</f>
        <v>235</v>
      </c>
      <c r="V97" s="33">
        <f>818533859</f>
        <v>818533859</v>
      </c>
      <c r="W97" s="33">
        <f>1379919</f>
        <v>1379919</v>
      </c>
      <c r="X97" s="35">
        <f>18</f>
        <v>18</v>
      </c>
    </row>
    <row r="98" spans="1:24">
      <c r="A98" s="29" t="s">
        <v>813</v>
      </c>
      <c r="B98" s="29" t="s">
        <v>337</v>
      </c>
      <c r="C98" s="29" t="s">
        <v>338</v>
      </c>
      <c r="D98" s="29" t="s">
        <v>339</v>
      </c>
      <c r="E98" s="30" t="s">
        <v>46</v>
      </c>
      <c r="F98" s="31" t="s">
        <v>46</v>
      </c>
      <c r="G98" s="32" t="s">
        <v>46</v>
      </c>
      <c r="H98" s="27"/>
      <c r="I98" s="27" t="s">
        <v>47</v>
      </c>
      <c r="J98" s="33">
        <v>1</v>
      </c>
      <c r="K98" s="37">
        <f>76200</f>
        <v>76200</v>
      </c>
      <c r="L98" s="34" t="s">
        <v>814</v>
      </c>
      <c r="M98" s="37">
        <f>98600</f>
        <v>98600</v>
      </c>
      <c r="N98" s="34" t="s">
        <v>95</v>
      </c>
      <c r="O98" s="37">
        <f>75400</f>
        <v>75400</v>
      </c>
      <c r="P98" s="34" t="s">
        <v>814</v>
      </c>
      <c r="Q98" s="37">
        <f>93000</f>
        <v>93000</v>
      </c>
      <c r="R98" s="34" t="s">
        <v>95</v>
      </c>
      <c r="S98" s="36">
        <f>84361.11</f>
        <v>84361.11</v>
      </c>
      <c r="T98" s="33">
        <f>5974</f>
        <v>5974</v>
      </c>
      <c r="U98" s="33">
        <f>1</f>
        <v>1</v>
      </c>
      <c r="V98" s="33">
        <f>522862600</f>
        <v>522862600</v>
      </c>
      <c r="W98" s="33">
        <f>78500</f>
        <v>78500</v>
      </c>
      <c r="X98" s="35">
        <f>18</f>
        <v>18</v>
      </c>
    </row>
    <row r="99" spans="1:24">
      <c r="A99" s="29" t="s">
        <v>813</v>
      </c>
      <c r="B99" s="29" t="s">
        <v>340</v>
      </c>
      <c r="C99" s="29" t="s">
        <v>341</v>
      </c>
      <c r="D99" s="29" t="s">
        <v>342</v>
      </c>
      <c r="E99" s="30" t="s">
        <v>46</v>
      </c>
      <c r="F99" s="31" t="s">
        <v>46</v>
      </c>
      <c r="G99" s="32" t="s">
        <v>46</v>
      </c>
      <c r="H99" s="27"/>
      <c r="I99" s="27" t="s">
        <v>47</v>
      </c>
      <c r="J99" s="33">
        <v>10</v>
      </c>
      <c r="K99" s="37">
        <f>9900</f>
        <v>9900</v>
      </c>
      <c r="L99" s="34" t="s">
        <v>814</v>
      </c>
      <c r="M99" s="37">
        <f>11020</f>
        <v>11020</v>
      </c>
      <c r="N99" s="34" t="s">
        <v>49</v>
      </c>
      <c r="O99" s="37">
        <f>9040</f>
        <v>9040</v>
      </c>
      <c r="P99" s="34" t="s">
        <v>95</v>
      </c>
      <c r="Q99" s="37">
        <f>9090</f>
        <v>9090</v>
      </c>
      <c r="R99" s="34" t="s">
        <v>95</v>
      </c>
      <c r="S99" s="36">
        <f>10411.67</f>
        <v>10411.67</v>
      </c>
      <c r="T99" s="33">
        <f>1036890</f>
        <v>1036890</v>
      </c>
      <c r="U99" s="33">
        <f>78490</f>
        <v>78490</v>
      </c>
      <c r="V99" s="33">
        <f>10653185007</f>
        <v>10653185007</v>
      </c>
      <c r="W99" s="33">
        <f>822784507</f>
        <v>822784507</v>
      </c>
      <c r="X99" s="35">
        <f>18</f>
        <v>18</v>
      </c>
    </row>
    <row r="100" spans="1:24">
      <c r="A100" s="29" t="s">
        <v>813</v>
      </c>
      <c r="B100" s="29" t="s">
        <v>343</v>
      </c>
      <c r="C100" s="29" t="s">
        <v>344</v>
      </c>
      <c r="D100" s="29" t="s">
        <v>345</v>
      </c>
      <c r="E100" s="30" t="s">
        <v>46</v>
      </c>
      <c r="F100" s="31" t="s">
        <v>46</v>
      </c>
      <c r="G100" s="32" t="s">
        <v>46</v>
      </c>
      <c r="H100" s="27"/>
      <c r="I100" s="27" t="s">
        <v>47</v>
      </c>
      <c r="J100" s="33">
        <v>1</v>
      </c>
      <c r="K100" s="37">
        <f>29910</f>
        <v>29910</v>
      </c>
      <c r="L100" s="34" t="s">
        <v>814</v>
      </c>
      <c r="M100" s="37">
        <f>31950</f>
        <v>31950</v>
      </c>
      <c r="N100" s="34" t="s">
        <v>49</v>
      </c>
      <c r="O100" s="37">
        <f>26910</f>
        <v>26910</v>
      </c>
      <c r="P100" s="34" t="s">
        <v>95</v>
      </c>
      <c r="Q100" s="37">
        <f>26910</f>
        <v>26910</v>
      </c>
      <c r="R100" s="34" t="s">
        <v>95</v>
      </c>
      <c r="S100" s="36">
        <f>30764.44</f>
        <v>30764.44</v>
      </c>
      <c r="T100" s="33">
        <f>308984</f>
        <v>308984</v>
      </c>
      <c r="U100" s="33">
        <f>28731</f>
        <v>28731</v>
      </c>
      <c r="V100" s="33">
        <f>9193901493</f>
        <v>9193901493</v>
      </c>
      <c r="W100" s="33">
        <f>796463813</f>
        <v>796463813</v>
      </c>
      <c r="X100" s="35">
        <f>18</f>
        <v>18</v>
      </c>
    </row>
    <row r="101" spans="1:24">
      <c r="A101" s="29" t="s">
        <v>813</v>
      </c>
      <c r="B101" s="29" t="s">
        <v>346</v>
      </c>
      <c r="C101" s="29" t="s">
        <v>347</v>
      </c>
      <c r="D101" s="29" t="s">
        <v>348</v>
      </c>
      <c r="E101" s="30" t="s">
        <v>46</v>
      </c>
      <c r="F101" s="31" t="s">
        <v>46</v>
      </c>
      <c r="G101" s="32" t="s">
        <v>46</v>
      </c>
      <c r="H101" s="27"/>
      <c r="I101" s="27" t="s">
        <v>47</v>
      </c>
      <c r="J101" s="33">
        <v>10</v>
      </c>
      <c r="K101" s="37">
        <f>3790</f>
        <v>3790</v>
      </c>
      <c r="L101" s="34" t="s">
        <v>814</v>
      </c>
      <c r="M101" s="37">
        <f>4085</f>
        <v>4085</v>
      </c>
      <c r="N101" s="34" t="s">
        <v>49</v>
      </c>
      <c r="O101" s="37">
        <f>3430</f>
        <v>3430</v>
      </c>
      <c r="P101" s="34" t="s">
        <v>95</v>
      </c>
      <c r="Q101" s="37">
        <f>3440</f>
        <v>3440</v>
      </c>
      <c r="R101" s="34" t="s">
        <v>95</v>
      </c>
      <c r="S101" s="36">
        <f>3914.17</f>
        <v>3914.17</v>
      </c>
      <c r="T101" s="33">
        <f>1625280</f>
        <v>1625280</v>
      </c>
      <c r="U101" s="33">
        <f>134320</f>
        <v>134320</v>
      </c>
      <c r="V101" s="33">
        <f>6144843074</f>
        <v>6144843074</v>
      </c>
      <c r="W101" s="33">
        <f>502482524</f>
        <v>502482524</v>
      </c>
      <c r="X101" s="35">
        <f>18</f>
        <v>18</v>
      </c>
    </row>
    <row r="102" spans="1:24">
      <c r="A102" s="29" t="s">
        <v>813</v>
      </c>
      <c r="B102" s="29" t="s">
        <v>349</v>
      </c>
      <c r="C102" s="29" t="s">
        <v>350</v>
      </c>
      <c r="D102" s="29" t="s">
        <v>351</v>
      </c>
      <c r="E102" s="30" t="s">
        <v>46</v>
      </c>
      <c r="F102" s="31" t="s">
        <v>46</v>
      </c>
      <c r="G102" s="32" t="s">
        <v>46</v>
      </c>
      <c r="H102" s="27"/>
      <c r="I102" s="27" t="s">
        <v>47</v>
      </c>
      <c r="J102" s="33">
        <v>10</v>
      </c>
      <c r="K102" s="37">
        <f>2601</f>
        <v>2601</v>
      </c>
      <c r="L102" s="34" t="s">
        <v>814</v>
      </c>
      <c r="M102" s="37">
        <f>2750</f>
        <v>2750</v>
      </c>
      <c r="N102" s="34" t="s">
        <v>49</v>
      </c>
      <c r="O102" s="37">
        <f>2340</f>
        <v>2340</v>
      </c>
      <c r="P102" s="34" t="s">
        <v>95</v>
      </c>
      <c r="Q102" s="37">
        <f>2393</f>
        <v>2393</v>
      </c>
      <c r="R102" s="34" t="s">
        <v>95</v>
      </c>
      <c r="S102" s="36">
        <f>2652</f>
        <v>2652</v>
      </c>
      <c r="T102" s="33">
        <f>176900</f>
        <v>176900</v>
      </c>
      <c r="U102" s="33">
        <f>11300</f>
        <v>11300</v>
      </c>
      <c r="V102" s="33">
        <f>457137160</f>
        <v>457137160</v>
      </c>
      <c r="W102" s="33">
        <f>29767590</f>
        <v>29767590</v>
      </c>
      <c r="X102" s="35">
        <f>18</f>
        <v>18</v>
      </c>
    </row>
    <row r="103" spans="1:24">
      <c r="A103" s="29" t="s">
        <v>813</v>
      </c>
      <c r="B103" s="29" t="s">
        <v>352</v>
      </c>
      <c r="C103" s="29" t="s">
        <v>353</v>
      </c>
      <c r="D103" s="29" t="s">
        <v>354</v>
      </c>
      <c r="E103" s="30" t="s">
        <v>46</v>
      </c>
      <c r="F103" s="31" t="s">
        <v>46</v>
      </c>
      <c r="G103" s="32" t="s">
        <v>46</v>
      </c>
      <c r="H103" s="27"/>
      <c r="I103" s="27" t="s">
        <v>47</v>
      </c>
      <c r="J103" s="33">
        <v>10</v>
      </c>
      <c r="K103" s="37">
        <f>4200</f>
        <v>4200</v>
      </c>
      <c r="L103" s="34" t="s">
        <v>814</v>
      </c>
      <c r="M103" s="37">
        <f>4445</f>
        <v>4445</v>
      </c>
      <c r="N103" s="34" t="s">
        <v>61</v>
      </c>
      <c r="O103" s="37">
        <f>3700</f>
        <v>3700</v>
      </c>
      <c r="P103" s="34" t="s">
        <v>95</v>
      </c>
      <c r="Q103" s="37">
        <f>3705</f>
        <v>3705</v>
      </c>
      <c r="R103" s="34" t="s">
        <v>95</v>
      </c>
      <c r="S103" s="36">
        <f>4242.22</f>
        <v>4242.22</v>
      </c>
      <c r="T103" s="33">
        <f>40820</f>
        <v>40820</v>
      </c>
      <c r="U103" s="33" t="str">
        <f>"－"</f>
        <v>－</v>
      </c>
      <c r="V103" s="33">
        <f>169935650</f>
        <v>169935650</v>
      </c>
      <c r="W103" s="33" t="str">
        <f>"－"</f>
        <v>－</v>
      </c>
      <c r="X103" s="35">
        <f>18</f>
        <v>18</v>
      </c>
    </row>
    <row r="104" spans="1:24">
      <c r="A104" s="29" t="s">
        <v>813</v>
      </c>
      <c r="B104" s="29" t="s">
        <v>355</v>
      </c>
      <c r="C104" s="29" t="s">
        <v>356</v>
      </c>
      <c r="D104" s="29" t="s">
        <v>357</v>
      </c>
      <c r="E104" s="30" t="s">
        <v>46</v>
      </c>
      <c r="F104" s="31" t="s">
        <v>46</v>
      </c>
      <c r="G104" s="32" t="s">
        <v>46</v>
      </c>
      <c r="H104" s="27"/>
      <c r="I104" s="27" t="s">
        <v>47</v>
      </c>
      <c r="J104" s="33">
        <v>1</v>
      </c>
      <c r="K104" s="37">
        <f>5460</f>
        <v>5460</v>
      </c>
      <c r="L104" s="34" t="s">
        <v>814</v>
      </c>
      <c r="M104" s="37">
        <f>7950</f>
        <v>7950</v>
      </c>
      <c r="N104" s="34" t="s">
        <v>95</v>
      </c>
      <c r="O104" s="37">
        <f>4650</f>
        <v>4650</v>
      </c>
      <c r="P104" s="34" t="s">
        <v>79</v>
      </c>
      <c r="Q104" s="37">
        <f>7950</f>
        <v>7950</v>
      </c>
      <c r="R104" s="34" t="s">
        <v>95</v>
      </c>
      <c r="S104" s="36">
        <f>5355.28</f>
        <v>5355.28</v>
      </c>
      <c r="T104" s="33">
        <f>8782795</f>
        <v>8782795</v>
      </c>
      <c r="U104" s="33">
        <f>20388</f>
        <v>20388</v>
      </c>
      <c r="V104" s="33">
        <f>51567471517</f>
        <v>51567471517</v>
      </c>
      <c r="W104" s="33">
        <f>126052892</f>
        <v>126052892</v>
      </c>
      <c r="X104" s="35">
        <f>18</f>
        <v>18</v>
      </c>
    </row>
    <row r="105" spans="1:24">
      <c r="A105" s="29" t="s">
        <v>813</v>
      </c>
      <c r="B105" s="29" t="s">
        <v>358</v>
      </c>
      <c r="C105" s="29" t="s">
        <v>359</v>
      </c>
      <c r="D105" s="29" t="s">
        <v>360</v>
      </c>
      <c r="E105" s="30" t="s">
        <v>46</v>
      </c>
      <c r="F105" s="31" t="s">
        <v>46</v>
      </c>
      <c r="G105" s="32" t="s">
        <v>46</v>
      </c>
      <c r="H105" s="27"/>
      <c r="I105" s="27" t="s">
        <v>47</v>
      </c>
      <c r="J105" s="33">
        <v>10</v>
      </c>
      <c r="K105" s="37">
        <f>2290</f>
        <v>2290</v>
      </c>
      <c r="L105" s="34" t="s">
        <v>814</v>
      </c>
      <c r="M105" s="37">
        <f>2385</f>
        <v>2385</v>
      </c>
      <c r="N105" s="34" t="s">
        <v>150</v>
      </c>
      <c r="O105" s="37">
        <f>2005</f>
        <v>2005</v>
      </c>
      <c r="P105" s="34" t="s">
        <v>95</v>
      </c>
      <c r="Q105" s="37">
        <f>2023</f>
        <v>2023</v>
      </c>
      <c r="R105" s="34" t="s">
        <v>95</v>
      </c>
      <c r="S105" s="36">
        <f>2290.61</f>
        <v>2290.61</v>
      </c>
      <c r="T105" s="33">
        <f>123950</f>
        <v>123950</v>
      </c>
      <c r="U105" s="33" t="str">
        <f>"－"</f>
        <v>－</v>
      </c>
      <c r="V105" s="33">
        <f>277339170</f>
        <v>277339170</v>
      </c>
      <c r="W105" s="33" t="str">
        <f>"－"</f>
        <v>－</v>
      </c>
      <c r="X105" s="35">
        <f>18</f>
        <v>18</v>
      </c>
    </row>
    <row r="106" spans="1:24">
      <c r="A106" s="29" t="s">
        <v>813</v>
      </c>
      <c r="B106" s="29" t="s">
        <v>361</v>
      </c>
      <c r="C106" s="29" t="s">
        <v>362</v>
      </c>
      <c r="D106" s="29" t="s">
        <v>363</v>
      </c>
      <c r="E106" s="30" t="s">
        <v>46</v>
      </c>
      <c r="F106" s="31" t="s">
        <v>46</v>
      </c>
      <c r="G106" s="32" t="s">
        <v>46</v>
      </c>
      <c r="H106" s="27"/>
      <c r="I106" s="27" t="s">
        <v>47</v>
      </c>
      <c r="J106" s="33">
        <v>10</v>
      </c>
      <c r="K106" s="37">
        <f>1660</f>
        <v>1660</v>
      </c>
      <c r="L106" s="34" t="s">
        <v>814</v>
      </c>
      <c r="M106" s="37">
        <f>1735</f>
        <v>1735</v>
      </c>
      <c r="N106" s="34" t="s">
        <v>150</v>
      </c>
      <c r="O106" s="37">
        <f>1514</f>
        <v>1514</v>
      </c>
      <c r="P106" s="34" t="s">
        <v>95</v>
      </c>
      <c r="Q106" s="37">
        <f>1630</f>
        <v>1630</v>
      </c>
      <c r="R106" s="34" t="s">
        <v>95</v>
      </c>
      <c r="S106" s="36">
        <f>1675.78</f>
        <v>1675.78</v>
      </c>
      <c r="T106" s="33">
        <f>363320</f>
        <v>363320</v>
      </c>
      <c r="U106" s="33">
        <f>210000</f>
        <v>210000</v>
      </c>
      <c r="V106" s="33">
        <f>585425420</f>
        <v>585425420</v>
      </c>
      <c r="W106" s="33">
        <f>333603000</f>
        <v>333603000</v>
      </c>
      <c r="X106" s="35">
        <f>18</f>
        <v>18</v>
      </c>
    </row>
    <row r="107" spans="1:24">
      <c r="A107" s="29" t="s">
        <v>813</v>
      </c>
      <c r="B107" s="29" t="s">
        <v>364</v>
      </c>
      <c r="C107" s="29" t="s">
        <v>365</v>
      </c>
      <c r="D107" s="29" t="s">
        <v>366</v>
      </c>
      <c r="E107" s="30" t="s">
        <v>46</v>
      </c>
      <c r="F107" s="31" t="s">
        <v>46</v>
      </c>
      <c r="G107" s="32" t="s">
        <v>46</v>
      </c>
      <c r="H107" s="27"/>
      <c r="I107" s="27" t="s">
        <v>47</v>
      </c>
      <c r="J107" s="33">
        <v>1</v>
      </c>
      <c r="K107" s="37">
        <f>35000</f>
        <v>35000</v>
      </c>
      <c r="L107" s="34" t="s">
        <v>814</v>
      </c>
      <c r="M107" s="37">
        <f>37800</f>
        <v>37800</v>
      </c>
      <c r="N107" s="34" t="s">
        <v>49</v>
      </c>
      <c r="O107" s="37">
        <f>31650</f>
        <v>31650</v>
      </c>
      <c r="P107" s="34" t="s">
        <v>95</v>
      </c>
      <c r="Q107" s="37">
        <f>31750</f>
        <v>31750</v>
      </c>
      <c r="R107" s="34" t="s">
        <v>95</v>
      </c>
      <c r="S107" s="36">
        <f>36163.89</f>
        <v>36163.89</v>
      </c>
      <c r="T107" s="33">
        <f>299038</f>
        <v>299038</v>
      </c>
      <c r="U107" s="33" t="str">
        <f>"－"</f>
        <v>－</v>
      </c>
      <c r="V107" s="33">
        <f>10559855000</f>
        <v>10559855000</v>
      </c>
      <c r="W107" s="33" t="str">
        <f>"－"</f>
        <v>－</v>
      </c>
      <c r="X107" s="35">
        <f>18</f>
        <v>18</v>
      </c>
    </row>
    <row r="108" spans="1:24">
      <c r="A108" s="29" t="s">
        <v>813</v>
      </c>
      <c r="B108" s="29" t="s">
        <v>367</v>
      </c>
      <c r="C108" s="29" t="s">
        <v>368</v>
      </c>
      <c r="D108" s="29" t="s">
        <v>369</v>
      </c>
      <c r="E108" s="30" t="s">
        <v>46</v>
      </c>
      <c r="F108" s="31" t="s">
        <v>46</v>
      </c>
      <c r="G108" s="32" t="s">
        <v>46</v>
      </c>
      <c r="H108" s="27"/>
      <c r="I108" s="27" t="s">
        <v>47</v>
      </c>
      <c r="J108" s="33">
        <v>1</v>
      </c>
      <c r="K108" s="37">
        <f>3145</f>
        <v>3145</v>
      </c>
      <c r="L108" s="34" t="s">
        <v>814</v>
      </c>
      <c r="M108" s="37">
        <f>3390</f>
        <v>3390</v>
      </c>
      <c r="N108" s="34" t="s">
        <v>817</v>
      </c>
      <c r="O108" s="37">
        <f>2850</f>
        <v>2850</v>
      </c>
      <c r="P108" s="34" t="s">
        <v>95</v>
      </c>
      <c r="Q108" s="37">
        <f>2924</f>
        <v>2924</v>
      </c>
      <c r="R108" s="34" t="s">
        <v>95</v>
      </c>
      <c r="S108" s="36">
        <f>3183.67</f>
        <v>3183.67</v>
      </c>
      <c r="T108" s="33">
        <f>18491</f>
        <v>18491</v>
      </c>
      <c r="U108" s="33">
        <f>3</f>
        <v>3</v>
      </c>
      <c r="V108" s="33">
        <f>58770679</f>
        <v>58770679</v>
      </c>
      <c r="W108" s="33">
        <f>9690</f>
        <v>9690</v>
      </c>
      <c r="X108" s="35">
        <f>18</f>
        <v>18</v>
      </c>
    </row>
    <row r="109" spans="1:24">
      <c r="A109" s="29" t="s">
        <v>813</v>
      </c>
      <c r="B109" s="29" t="s">
        <v>370</v>
      </c>
      <c r="C109" s="29" t="s">
        <v>371</v>
      </c>
      <c r="D109" s="29" t="s">
        <v>372</v>
      </c>
      <c r="E109" s="30" t="s">
        <v>46</v>
      </c>
      <c r="F109" s="31" t="s">
        <v>46</v>
      </c>
      <c r="G109" s="32" t="s">
        <v>46</v>
      </c>
      <c r="H109" s="27"/>
      <c r="I109" s="27" t="s">
        <v>47</v>
      </c>
      <c r="J109" s="33">
        <v>1</v>
      </c>
      <c r="K109" s="37">
        <f>3960</f>
        <v>3960</v>
      </c>
      <c r="L109" s="34" t="s">
        <v>814</v>
      </c>
      <c r="M109" s="37">
        <f>3960</f>
        <v>3960</v>
      </c>
      <c r="N109" s="34" t="s">
        <v>814</v>
      </c>
      <c r="O109" s="37">
        <f>3655</f>
        <v>3655</v>
      </c>
      <c r="P109" s="34" t="s">
        <v>95</v>
      </c>
      <c r="Q109" s="37">
        <f>3705</f>
        <v>3705</v>
      </c>
      <c r="R109" s="34" t="s">
        <v>95</v>
      </c>
      <c r="S109" s="36">
        <f>3868.06</f>
        <v>3868.06</v>
      </c>
      <c r="T109" s="33">
        <f>6801</f>
        <v>6801</v>
      </c>
      <c r="U109" s="33">
        <f>5</f>
        <v>5</v>
      </c>
      <c r="V109" s="33">
        <f>26141015</f>
        <v>26141015</v>
      </c>
      <c r="W109" s="33">
        <f>19500</f>
        <v>19500</v>
      </c>
      <c r="X109" s="35">
        <f>18</f>
        <v>18</v>
      </c>
    </row>
    <row r="110" spans="1:24">
      <c r="A110" s="29" t="s">
        <v>813</v>
      </c>
      <c r="B110" s="29" t="s">
        <v>373</v>
      </c>
      <c r="C110" s="29" t="s">
        <v>374</v>
      </c>
      <c r="D110" s="29" t="s">
        <v>375</v>
      </c>
      <c r="E110" s="30" t="s">
        <v>46</v>
      </c>
      <c r="F110" s="31" t="s">
        <v>46</v>
      </c>
      <c r="G110" s="32" t="s">
        <v>46</v>
      </c>
      <c r="H110" s="27"/>
      <c r="I110" s="27" t="s">
        <v>47</v>
      </c>
      <c r="J110" s="33">
        <v>1</v>
      </c>
      <c r="K110" s="37">
        <f>2517</f>
        <v>2517</v>
      </c>
      <c r="L110" s="34" t="s">
        <v>814</v>
      </c>
      <c r="M110" s="37">
        <f>2666</f>
        <v>2666</v>
      </c>
      <c r="N110" s="34" t="s">
        <v>100</v>
      </c>
      <c r="O110" s="37">
        <f>2175</f>
        <v>2175</v>
      </c>
      <c r="P110" s="34" t="s">
        <v>95</v>
      </c>
      <c r="Q110" s="37">
        <f>2288</f>
        <v>2288</v>
      </c>
      <c r="R110" s="34" t="s">
        <v>95</v>
      </c>
      <c r="S110" s="36">
        <f>2535.78</f>
        <v>2535.7800000000002</v>
      </c>
      <c r="T110" s="33">
        <f>76624</f>
        <v>76624</v>
      </c>
      <c r="U110" s="33">
        <f>16</f>
        <v>16</v>
      </c>
      <c r="V110" s="33">
        <f>187584756</f>
        <v>187584756</v>
      </c>
      <c r="W110" s="33">
        <f>38864</f>
        <v>38864</v>
      </c>
      <c r="X110" s="35">
        <f>18</f>
        <v>18</v>
      </c>
    </row>
    <row r="111" spans="1:24">
      <c r="A111" s="29" t="s">
        <v>813</v>
      </c>
      <c r="B111" s="29" t="s">
        <v>376</v>
      </c>
      <c r="C111" s="29" t="s">
        <v>377</v>
      </c>
      <c r="D111" s="29" t="s">
        <v>378</v>
      </c>
      <c r="E111" s="30" t="s">
        <v>46</v>
      </c>
      <c r="F111" s="31" t="s">
        <v>46</v>
      </c>
      <c r="G111" s="32" t="s">
        <v>46</v>
      </c>
      <c r="H111" s="27"/>
      <c r="I111" s="27" t="s">
        <v>47</v>
      </c>
      <c r="J111" s="33">
        <v>1</v>
      </c>
      <c r="K111" s="37">
        <f>47650</f>
        <v>47650</v>
      </c>
      <c r="L111" s="34" t="s">
        <v>814</v>
      </c>
      <c r="M111" s="37">
        <f>48600</f>
        <v>48600</v>
      </c>
      <c r="N111" s="34" t="s">
        <v>49</v>
      </c>
      <c r="O111" s="37">
        <f>46600</f>
        <v>46600</v>
      </c>
      <c r="P111" s="34" t="s">
        <v>95</v>
      </c>
      <c r="Q111" s="37">
        <f>46600</f>
        <v>46600</v>
      </c>
      <c r="R111" s="34" t="s">
        <v>95</v>
      </c>
      <c r="S111" s="36">
        <f>47975</f>
        <v>47975</v>
      </c>
      <c r="T111" s="33">
        <f>28777</f>
        <v>28777</v>
      </c>
      <c r="U111" s="33">
        <f>13021</f>
        <v>13021</v>
      </c>
      <c r="V111" s="33">
        <f>1375180613</f>
        <v>1375180613</v>
      </c>
      <c r="W111" s="33">
        <f>621502663</f>
        <v>621502663</v>
      </c>
      <c r="X111" s="35">
        <f>18</f>
        <v>18</v>
      </c>
    </row>
    <row r="112" spans="1:24">
      <c r="A112" s="29" t="s">
        <v>813</v>
      </c>
      <c r="B112" s="29" t="s">
        <v>379</v>
      </c>
      <c r="C112" s="29" t="s">
        <v>380</v>
      </c>
      <c r="D112" s="29" t="s">
        <v>381</v>
      </c>
      <c r="E112" s="30" t="s">
        <v>46</v>
      </c>
      <c r="F112" s="31" t="s">
        <v>46</v>
      </c>
      <c r="G112" s="32" t="s">
        <v>46</v>
      </c>
      <c r="H112" s="27"/>
      <c r="I112" s="27" t="s">
        <v>47</v>
      </c>
      <c r="J112" s="33">
        <v>10</v>
      </c>
      <c r="K112" s="37">
        <f>1320</f>
        <v>1320</v>
      </c>
      <c r="L112" s="34" t="s">
        <v>819</v>
      </c>
      <c r="M112" s="37">
        <f>1320</f>
        <v>1320</v>
      </c>
      <c r="N112" s="34" t="s">
        <v>819</v>
      </c>
      <c r="O112" s="37">
        <f>1132</f>
        <v>1132</v>
      </c>
      <c r="P112" s="34" t="s">
        <v>95</v>
      </c>
      <c r="Q112" s="37">
        <f>1132</f>
        <v>1132</v>
      </c>
      <c r="R112" s="34" t="s">
        <v>95</v>
      </c>
      <c r="S112" s="36">
        <f>1226</f>
        <v>1226</v>
      </c>
      <c r="T112" s="33">
        <f>180</f>
        <v>180</v>
      </c>
      <c r="U112" s="33" t="str">
        <f>"－"</f>
        <v>－</v>
      </c>
      <c r="V112" s="33">
        <f>211200</f>
        <v>211200</v>
      </c>
      <c r="W112" s="33" t="str">
        <f>"－"</f>
        <v>－</v>
      </c>
      <c r="X112" s="35">
        <f>2</f>
        <v>2</v>
      </c>
    </row>
    <row r="113" spans="1:24">
      <c r="A113" s="29" t="s">
        <v>813</v>
      </c>
      <c r="B113" s="29" t="s">
        <v>382</v>
      </c>
      <c r="C113" s="29" t="s">
        <v>383</v>
      </c>
      <c r="D113" s="29" t="s">
        <v>384</v>
      </c>
      <c r="E113" s="30" t="s">
        <v>46</v>
      </c>
      <c r="F113" s="31" t="s">
        <v>46</v>
      </c>
      <c r="G113" s="32" t="s">
        <v>46</v>
      </c>
      <c r="H113" s="27"/>
      <c r="I113" s="27" t="s">
        <v>47</v>
      </c>
      <c r="J113" s="33">
        <v>10</v>
      </c>
      <c r="K113" s="37">
        <f>17450</f>
        <v>17450</v>
      </c>
      <c r="L113" s="34" t="s">
        <v>814</v>
      </c>
      <c r="M113" s="37">
        <f>19400</f>
        <v>19400</v>
      </c>
      <c r="N113" s="34" t="s">
        <v>48</v>
      </c>
      <c r="O113" s="37">
        <f>14280</f>
        <v>14280</v>
      </c>
      <c r="P113" s="34" t="s">
        <v>95</v>
      </c>
      <c r="Q113" s="37">
        <f>14420</f>
        <v>14420</v>
      </c>
      <c r="R113" s="34" t="s">
        <v>95</v>
      </c>
      <c r="S113" s="36">
        <f>17762.22</f>
        <v>17762.22</v>
      </c>
      <c r="T113" s="33">
        <f>2408930</f>
        <v>2408930</v>
      </c>
      <c r="U113" s="33">
        <f>7520</f>
        <v>7520</v>
      </c>
      <c r="V113" s="33">
        <f>41501555321</f>
        <v>41501555321</v>
      </c>
      <c r="W113" s="33">
        <f>129653121</f>
        <v>129653121</v>
      </c>
      <c r="X113" s="35">
        <f>18</f>
        <v>18</v>
      </c>
    </row>
    <row r="114" spans="1:24">
      <c r="A114" s="29" t="s">
        <v>813</v>
      </c>
      <c r="B114" s="29" t="s">
        <v>385</v>
      </c>
      <c r="C114" s="29" t="s">
        <v>386</v>
      </c>
      <c r="D114" s="29" t="s">
        <v>387</v>
      </c>
      <c r="E114" s="30" t="s">
        <v>46</v>
      </c>
      <c r="F114" s="31" t="s">
        <v>46</v>
      </c>
      <c r="G114" s="32" t="s">
        <v>46</v>
      </c>
      <c r="H114" s="27"/>
      <c r="I114" s="27" t="s">
        <v>47</v>
      </c>
      <c r="J114" s="33">
        <v>10</v>
      </c>
      <c r="K114" s="37">
        <f>2968</f>
        <v>2968</v>
      </c>
      <c r="L114" s="34" t="s">
        <v>814</v>
      </c>
      <c r="M114" s="37">
        <f>3260</f>
        <v>3260</v>
      </c>
      <c r="N114" s="34" t="s">
        <v>95</v>
      </c>
      <c r="O114" s="37">
        <f>2812</f>
        <v>2812</v>
      </c>
      <c r="P114" s="34" t="s">
        <v>48</v>
      </c>
      <c r="Q114" s="37">
        <f>3235</f>
        <v>3235</v>
      </c>
      <c r="R114" s="34" t="s">
        <v>95</v>
      </c>
      <c r="S114" s="36">
        <f>2940.17</f>
        <v>2940.17</v>
      </c>
      <c r="T114" s="33">
        <f>370090</f>
        <v>370090</v>
      </c>
      <c r="U114" s="33">
        <f>1990</f>
        <v>1990</v>
      </c>
      <c r="V114" s="33">
        <f>1093247480</f>
        <v>1093247480</v>
      </c>
      <c r="W114" s="33">
        <f>5771800</f>
        <v>5771800</v>
      </c>
      <c r="X114" s="35">
        <f>18</f>
        <v>18</v>
      </c>
    </row>
    <row r="115" spans="1:24">
      <c r="A115" s="29" t="s">
        <v>813</v>
      </c>
      <c r="B115" s="29" t="s">
        <v>388</v>
      </c>
      <c r="C115" s="29" t="s">
        <v>389</v>
      </c>
      <c r="D115" s="29" t="s">
        <v>390</v>
      </c>
      <c r="E115" s="30" t="s">
        <v>46</v>
      </c>
      <c r="F115" s="31" t="s">
        <v>46</v>
      </c>
      <c r="G115" s="32" t="s">
        <v>46</v>
      </c>
      <c r="H115" s="27"/>
      <c r="I115" s="27" t="s">
        <v>47</v>
      </c>
      <c r="J115" s="33">
        <v>1</v>
      </c>
      <c r="K115" s="37">
        <f>20700</f>
        <v>20700</v>
      </c>
      <c r="L115" s="34" t="s">
        <v>814</v>
      </c>
      <c r="M115" s="37">
        <f>22950</f>
        <v>22950</v>
      </c>
      <c r="N115" s="34" t="s">
        <v>48</v>
      </c>
      <c r="O115" s="37">
        <f>17360</f>
        <v>17360</v>
      </c>
      <c r="P115" s="34" t="s">
        <v>95</v>
      </c>
      <c r="Q115" s="37">
        <f>17630</f>
        <v>17630</v>
      </c>
      <c r="R115" s="34" t="s">
        <v>95</v>
      </c>
      <c r="S115" s="36">
        <f>21415.56</f>
        <v>21415.56</v>
      </c>
      <c r="T115" s="33">
        <f>155881691</f>
        <v>155881691</v>
      </c>
      <c r="U115" s="33">
        <f>967079</f>
        <v>967079</v>
      </c>
      <c r="V115" s="33">
        <f>3259121499202</f>
        <v>3259121499202</v>
      </c>
      <c r="W115" s="33">
        <f>21251256052</f>
        <v>21251256052</v>
      </c>
      <c r="X115" s="35">
        <f>18</f>
        <v>18</v>
      </c>
    </row>
    <row r="116" spans="1:24">
      <c r="A116" s="29" t="s">
        <v>813</v>
      </c>
      <c r="B116" s="29" t="s">
        <v>391</v>
      </c>
      <c r="C116" s="29" t="s">
        <v>392</v>
      </c>
      <c r="D116" s="29" t="s">
        <v>393</v>
      </c>
      <c r="E116" s="30" t="s">
        <v>46</v>
      </c>
      <c r="F116" s="31" t="s">
        <v>46</v>
      </c>
      <c r="G116" s="32" t="s">
        <v>46</v>
      </c>
      <c r="H116" s="27"/>
      <c r="I116" s="27" t="s">
        <v>47</v>
      </c>
      <c r="J116" s="33">
        <v>1</v>
      </c>
      <c r="K116" s="37">
        <f>1455</f>
        <v>1455</v>
      </c>
      <c r="L116" s="34" t="s">
        <v>814</v>
      </c>
      <c r="M116" s="37">
        <f>1576</f>
        <v>1576</v>
      </c>
      <c r="N116" s="34" t="s">
        <v>95</v>
      </c>
      <c r="O116" s="37">
        <f>1381</f>
        <v>1381</v>
      </c>
      <c r="P116" s="34" t="s">
        <v>48</v>
      </c>
      <c r="Q116" s="37">
        <f>1567</f>
        <v>1567</v>
      </c>
      <c r="R116" s="34" t="s">
        <v>95</v>
      </c>
      <c r="S116" s="36">
        <f>1430.28</f>
        <v>1430.28</v>
      </c>
      <c r="T116" s="33">
        <f>20522491</f>
        <v>20522491</v>
      </c>
      <c r="U116" s="33">
        <f>1389604</f>
        <v>1389604</v>
      </c>
      <c r="V116" s="33">
        <f>29869952308</f>
        <v>29869952308</v>
      </c>
      <c r="W116" s="33">
        <f>2081841212</f>
        <v>2081841212</v>
      </c>
      <c r="X116" s="35">
        <f>18</f>
        <v>18</v>
      </c>
    </row>
    <row r="117" spans="1:24">
      <c r="A117" s="29" t="s">
        <v>813</v>
      </c>
      <c r="B117" s="29" t="s">
        <v>394</v>
      </c>
      <c r="C117" s="29" t="s">
        <v>395</v>
      </c>
      <c r="D117" s="29" t="s">
        <v>396</v>
      </c>
      <c r="E117" s="30" t="s">
        <v>46</v>
      </c>
      <c r="F117" s="31" t="s">
        <v>46</v>
      </c>
      <c r="G117" s="32" t="s">
        <v>46</v>
      </c>
      <c r="H117" s="27"/>
      <c r="I117" s="27" t="s">
        <v>47</v>
      </c>
      <c r="J117" s="33">
        <v>10</v>
      </c>
      <c r="K117" s="37">
        <f>10840</f>
        <v>10840</v>
      </c>
      <c r="L117" s="34" t="s">
        <v>814</v>
      </c>
      <c r="M117" s="37">
        <f>12090</f>
        <v>12090</v>
      </c>
      <c r="N117" s="34" t="s">
        <v>49</v>
      </c>
      <c r="O117" s="37">
        <f>10490</f>
        <v>10490</v>
      </c>
      <c r="P117" s="34" t="s">
        <v>814</v>
      </c>
      <c r="Q117" s="37">
        <f>10590</f>
        <v>10590</v>
      </c>
      <c r="R117" s="34" t="s">
        <v>95</v>
      </c>
      <c r="S117" s="36">
        <f>11480</f>
        <v>11480</v>
      </c>
      <c r="T117" s="33">
        <f>14900</f>
        <v>14900</v>
      </c>
      <c r="U117" s="33" t="str">
        <f>"－"</f>
        <v>－</v>
      </c>
      <c r="V117" s="33">
        <f>169950700</f>
        <v>169950700</v>
      </c>
      <c r="W117" s="33" t="str">
        <f>"－"</f>
        <v>－</v>
      </c>
      <c r="X117" s="35">
        <f>18</f>
        <v>18</v>
      </c>
    </row>
    <row r="118" spans="1:24">
      <c r="A118" s="29" t="s">
        <v>813</v>
      </c>
      <c r="B118" s="29" t="s">
        <v>397</v>
      </c>
      <c r="C118" s="29" t="s">
        <v>398</v>
      </c>
      <c r="D118" s="29" t="s">
        <v>399</v>
      </c>
      <c r="E118" s="30" t="s">
        <v>46</v>
      </c>
      <c r="F118" s="31" t="s">
        <v>46</v>
      </c>
      <c r="G118" s="32" t="s">
        <v>46</v>
      </c>
      <c r="H118" s="27"/>
      <c r="I118" s="27" t="s">
        <v>47</v>
      </c>
      <c r="J118" s="33">
        <v>10</v>
      </c>
      <c r="K118" s="37">
        <f>9200</f>
        <v>9200</v>
      </c>
      <c r="L118" s="34" t="s">
        <v>814</v>
      </c>
      <c r="M118" s="37">
        <f>9240</f>
        <v>9240</v>
      </c>
      <c r="N118" s="34" t="s">
        <v>814</v>
      </c>
      <c r="O118" s="37">
        <f>7500</f>
        <v>7500</v>
      </c>
      <c r="P118" s="34" t="s">
        <v>820</v>
      </c>
      <c r="Q118" s="37">
        <f>8040</f>
        <v>8040</v>
      </c>
      <c r="R118" s="34" t="s">
        <v>95</v>
      </c>
      <c r="S118" s="36">
        <f>7763.89</f>
        <v>7763.89</v>
      </c>
      <c r="T118" s="33">
        <f>74170</f>
        <v>74170</v>
      </c>
      <c r="U118" s="33" t="str">
        <f>"－"</f>
        <v>－</v>
      </c>
      <c r="V118" s="33">
        <f>592459000</f>
        <v>592459000</v>
      </c>
      <c r="W118" s="33" t="str">
        <f>"－"</f>
        <v>－</v>
      </c>
      <c r="X118" s="35">
        <f>18</f>
        <v>18</v>
      </c>
    </row>
    <row r="119" spans="1:24">
      <c r="A119" s="29" t="s">
        <v>813</v>
      </c>
      <c r="B119" s="29" t="s">
        <v>400</v>
      </c>
      <c r="C119" s="29" t="s">
        <v>401</v>
      </c>
      <c r="D119" s="29" t="s">
        <v>402</v>
      </c>
      <c r="E119" s="30" t="s">
        <v>46</v>
      </c>
      <c r="F119" s="31" t="s">
        <v>46</v>
      </c>
      <c r="G119" s="32" t="s">
        <v>46</v>
      </c>
      <c r="H119" s="27"/>
      <c r="I119" s="27" t="s">
        <v>47</v>
      </c>
      <c r="J119" s="33">
        <v>10</v>
      </c>
      <c r="K119" s="37">
        <f>1512</f>
        <v>1512</v>
      </c>
      <c r="L119" s="34" t="s">
        <v>95</v>
      </c>
      <c r="M119" s="37">
        <f>1512</f>
        <v>1512</v>
      </c>
      <c r="N119" s="34" t="s">
        <v>95</v>
      </c>
      <c r="O119" s="37">
        <f>1497</f>
        <v>1497</v>
      </c>
      <c r="P119" s="34" t="s">
        <v>95</v>
      </c>
      <c r="Q119" s="37">
        <f>1497</f>
        <v>1497</v>
      </c>
      <c r="R119" s="34" t="s">
        <v>95</v>
      </c>
      <c r="S119" s="36">
        <f>1497</f>
        <v>1497</v>
      </c>
      <c r="T119" s="33">
        <f>50</f>
        <v>50</v>
      </c>
      <c r="U119" s="33" t="str">
        <f>"－"</f>
        <v>－</v>
      </c>
      <c r="V119" s="33">
        <f>75300</f>
        <v>75300</v>
      </c>
      <c r="W119" s="33" t="str">
        <f>"－"</f>
        <v>－</v>
      </c>
      <c r="X119" s="35">
        <f>1</f>
        <v>1</v>
      </c>
    </row>
    <row r="120" spans="1:24">
      <c r="A120" s="29" t="s">
        <v>813</v>
      </c>
      <c r="B120" s="29" t="s">
        <v>403</v>
      </c>
      <c r="C120" s="29" t="s">
        <v>404</v>
      </c>
      <c r="D120" s="29" t="s">
        <v>405</v>
      </c>
      <c r="E120" s="30" t="s">
        <v>46</v>
      </c>
      <c r="F120" s="31" t="s">
        <v>46</v>
      </c>
      <c r="G120" s="32" t="s">
        <v>46</v>
      </c>
      <c r="H120" s="27"/>
      <c r="I120" s="27" t="s">
        <v>47</v>
      </c>
      <c r="J120" s="33">
        <v>10</v>
      </c>
      <c r="K120" s="37">
        <f>598</f>
        <v>598</v>
      </c>
      <c r="L120" s="34" t="s">
        <v>814</v>
      </c>
      <c r="M120" s="37">
        <f>670</f>
        <v>670</v>
      </c>
      <c r="N120" s="34" t="s">
        <v>150</v>
      </c>
      <c r="O120" s="37">
        <f>575</f>
        <v>575</v>
      </c>
      <c r="P120" s="34" t="s">
        <v>814</v>
      </c>
      <c r="Q120" s="37">
        <f>619</f>
        <v>619</v>
      </c>
      <c r="R120" s="34" t="s">
        <v>95</v>
      </c>
      <c r="S120" s="36">
        <f>631.65</f>
        <v>631.65</v>
      </c>
      <c r="T120" s="33">
        <f>42270</f>
        <v>42270</v>
      </c>
      <c r="U120" s="33" t="str">
        <f>"－"</f>
        <v>－</v>
      </c>
      <c r="V120" s="33">
        <f>26840120</f>
        <v>26840120</v>
      </c>
      <c r="W120" s="33" t="str">
        <f>"－"</f>
        <v>－</v>
      </c>
      <c r="X120" s="35">
        <f>17</f>
        <v>17</v>
      </c>
    </row>
    <row r="121" spans="1:24">
      <c r="A121" s="29" t="s">
        <v>813</v>
      </c>
      <c r="B121" s="29" t="s">
        <v>406</v>
      </c>
      <c r="C121" s="29" t="s">
        <v>407</v>
      </c>
      <c r="D121" s="29" t="s">
        <v>408</v>
      </c>
      <c r="E121" s="30" t="s">
        <v>46</v>
      </c>
      <c r="F121" s="31" t="s">
        <v>46</v>
      </c>
      <c r="G121" s="32" t="s">
        <v>46</v>
      </c>
      <c r="H121" s="27"/>
      <c r="I121" s="27" t="s">
        <v>47</v>
      </c>
      <c r="J121" s="33">
        <v>10</v>
      </c>
      <c r="K121" s="37">
        <f>577</f>
        <v>577</v>
      </c>
      <c r="L121" s="34" t="s">
        <v>814</v>
      </c>
      <c r="M121" s="37">
        <f>642</f>
        <v>642</v>
      </c>
      <c r="N121" s="34" t="s">
        <v>150</v>
      </c>
      <c r="O121" s="37">
        <f>563</f>
        <v>563</v>
      </c>
      <c r="P121" s="34" t="s">
        <v>818</v>
      </c>
      <c r="Q121" s="37">
        <f>596</f>
        <v>596</v>
      </c>
      <c r="R121" s="34" t="s">
        <v>95</v>
      </c>
      <c r="S121" s="36">
        <f>604.88</f>
        <v>604.88</v>
      </c>
      <c r="T121" s="33">
        <f>19850</f>
        <v>19850</v>
      </c>
      <c r="U121" s="33" t="str">
        <f>"－"</f>
        <v>－</v>
      </c>
      <c r="V121" s="33">
        <f>12060910</f>
        <v>12060910</v>
      </c>
      <c r="W121" s="33" t="str">
        <f>"－"</f>
        <v>－</v>
      </c>
      <c r="X121" s="35">
        <f>17</f>
        <v>17</v>
      </c>
    </row>
    <row r="122" spans="1:24">
      <c r="A122" s="29" t="s">
        <v>813</v>
      </c>
      <c r="B122" s="29" t="s">
        <v>409</v>
      </c>
      <c r="C122" s="29" t="s">
        <v>410</v>
      </c>
      <c r="D122" s="29" t="s">
        <v>411</v>
      </c>
      <c r="E122" s="30" t="s">
        <v>46</v>
      </c>
      <c r="F122" s="31" t="s">
        <v>46</v>
      </c>
      <c r="G122" s="32" t="s">
        <v>46</v>
      </c>
      <c r="H122" s="27"/>
      <c r="I122" s="27" t="s">
        <v>47</v>
      </c>
      <c r="J122" s="33">
        <v>1</v>
      </c>
      <c r="K122" s="37">
        <f>21960</f>
        <v>21960</v>
      </c>
      <c r="L122" s="34" t="s">
        <v>814</v>
      </c>
      <c r="M122" s="37">
        <f>23110</f>
        <v>23110</v>
      </c>
      <c r="N122" s="34" t="s">
        <v>48</v>
      </c>
      <c r="O122" s="37">
        <f>19950</f>
        <v>19950</v>
      </c>
      <c r="P122" s="34" t="s">
        <v>95</v>
      </c>
      <c r="Q122" s="37">
        <f>20040</f>
        <v>20040</v>
      </c>
      <c r="R122" s="34" t="s">
        <v>95</v>
      </c>
      <c r="S122" s="36">
        <f>22031.67</f>
        <v>22031.67</v>
      </c>
      <c r="T122" s="33">
        <f>99980</f>
        <v>99980</v>
      </c>
      <c r="U122" s="33">
        <f>19856</f>
        <v>19856</v>
      </c>
      <c r="V122" s="33">
        <f>2145006541</f>
        <v>2145006541</v>
      </c>
      <c r="W122" s="33">
        <f>423746691</f>
        <v>423746691</v>
      </c>
      <c r="X122" s="35">
        <f>18</f>
        <v>18</v>
      </c>
    </row>
    <row r="123" spans="1:24">
      <c r="A123" s="29" t="s">
        <v>813</v>
      </c>
      <c r="B123" s="29" t="s">
        <v>412</v>
      </c>
      <c r="C123" s="29" t="s">
        <v>413</v>
      </c>
      <c r="D123" s="29" t="s">
        <v>414</v>
      </c>
      <c r="E123" s="30" t="s">
        <v>46</v>
      </c>
      <c r="F123" s="31" t="s">
        <v>46</v>
      </c>
      <c r="G123" s="32" t="s">
        <v>46</v>
      </c>
      <c r="H123" s="27"/>
      <c r="I123" s="27" t="s">
        <v>47</v>
      </c>
      <c r="J123" s="33">
        <v>1</v>
      </c>
      <c r="K123" s="37">
        <f>1818</f>
        <v>1818</v>
      </c>
      <c r="L123" s="34" t="s">
        <v>814</v>
      </c>
      <c r="M123" s="37">
        <f>1914</f>
        <v>1914</v>
      </c>
      <c r="N123" s="34" t="s">
        <v>48</v>
      </c>
      <c r="O123" s="37">
        <f>1672</f>
        <v>1672</v>
      </c>
      <c r="P123" s="34" t="s">
        <v>95</v>
      </c>
      <c r="Q123" s="37">
        <f>1674</f>
        <v>1674</v>
      </c>
      <c r="R123" s="34" t="s">
        <v>95</v>
      </c>
      <c r="S123" s="36">
        <f>1849</f>
        <v>1849</v>
      </c>
      <c r="T123" s="33">
        <f>16927</f>
        <v>16927</v>
      </c>
      <c r="U123" s="33" t="str">
        <f>"－"</f>
        <v>－</v>
      </c>
      <c r="V123" s="33">
        <f>30702714</f>
        <v>30702714</v>
      </c>
      <c r="W123" s="33" t="str">
        <f>"－"</f>
        <v>－</v>
      </c>
      <c r="X123" s="35">
        <f>18</f>
        <v>18</v>
      </c>
    </row>
    <row r="124" spans="1:24">
      <c r="A124" s="29" t="s">
        <v>813</v>
      </c>
      <c r="B124" s="29" t="s">
        <v>415</v>
      </c>
      <c r="C124" s="29" t="s">
        <v>416</v>
      </c>
      <c r="D124" s="29" t="s">
        <v>417</v>
      </c>
      <c r="E124" s="30" t="s">
        <v>46</v>
      </c>
      <c r="F124" s="31" t="s">
        <v>46</v>
      </c>
      <c r="G124" s="32" t="s">
        <v>46</v>
      </c>
      <c r="H124" s="27"/>
      <c r="I124" s="27" t="s">
        <v>47</v>
      </c>
      <c r="J124" s="33">
        <v>10</v>
      </c>
      <c r="K124" s="37">
        <f>21900</f>
        <v>21900</v>
      </c>
      <c r="L124" s="34" t="s">
        <v>814</v>
      </c>
      <c r="M124" s="37">
        <f>24270</f>
        <v>24270</v>
      </c>
      <c r="N124" s="34" t="s">
        <v>48</v>
      </c>
      <c r="O124" s="37">
        <f>18360</f>
        <v>18360</v>
      </c>
      <c r="P124" s="34" t="s">
        <v>95</v>
      </c>
      <c r="Q124" s="37">
        <f>18610</f>
        <v>18610</v>
      </c>
      <c r="R124" s="34" t="s">
        <v>95</v>
      </c>
      <c r="S124" s="36">
        <f>22645.56</f>
        <v>22645.56</v>
      </c>
      <c r="T124" s="33">
        <f>6002740</f>
        <v>6002740</v>
      </c>
      <c r="U124" s="33">
        <f>3490</f>
        <v>3490</v>
      </c>
      <c r="V124" s="33">
        <f>131831260115</f>
        <v>131831260115</v>
      </c>
      <c r="W124" s="33">
        <f>76404915</f>
        <v>76404915</v>
      </c>
      <c r="X124" s="35">
        <f>18</f>
        <v>18</v>
      </c>
    </row>
    <row r="125" spans="1:24">
      <c r="A125" s="29" t="s">
        <v>813</v>
      </c>
      <c r="B125" s="29" t="s">
        <v>418</v>
      </c>
      <c r="C125" s="29" t="s">
        <v>419</v>
      </c>
      <c r="D125" s="29" t="s">
        <v>420</v>
      </c>
      <c r="E125" s="30" t="s">
        <v>46</v>
      </c>
      <c r="F125" s="31" t="s">
        <v>46</v>
      </c>
      <c r="G125" s="32" t="s">
        <v>46</v>
      </c>
      <c r="H125" s="27"/>
      <c r="I125" s="27" t="s">
        <v>47</v>
      </c>
      <c r="J125" s="33">
        <v>10</v>
      </c>
      <c r="K125" s="37">
        <f>3895</f>
        <v>3895</v>
      </c>
      <c r="L125" s="34" t="s">
        <v>814</v>
      </c>
      <c r="M125" s="37">
        <f>4210</f>
        <v>4210</v>
      </c>
      <c r="N125" s="34" t="s">
        <v>95</v>
      </c>
      <c r="O125" s="37">
        <f>3690</f>
        <v>3690</v>
      </c>
      <c r="P125" s="34" t="s">
        <v>48</v>
      </c>
      <c r="Q125" s="37">
        <f>4185</f>
        <v>4185</v>
      </c>
      <c r="R125" s="34" t="s">
        <v>95</v>
      </c>
      <c r="S125" s="36">
        <f>3821.67</f>
        <v>3821.67</v>
      </c>
      <c r="T125" s="33">
        <f>2788190</f>
        <v>2788190</v>
      </c>
      <c r="U125" s="33">
        <f>680</f>
        <v>680</v>
      </c>
      <c r="V125" s="33">
        <f>10797526100</f>
        <v>10797526100</v>
      </c>
      <c r="W125" s="33">
        <f>2668800</f>
        <v>2668800</v>
      </c>
      <c r="X125" s="35">
        <f>18</f>
        <v>18</v>
      </c>
    </row>
    <row r="126" spans="1:24">
      <c r="A126" s="29" t="s">
        <v>813</v>
      </c>
      <c r="B126" s="29" t="s">
        <v>421</v>
      </c>
      <c r="C126" s="29" t="s">
        <v>422</v>
      </c>
      <c r="D126" s="29" t="s">
        <v>423</v>
      </c>
      <c r="E126" s="30" t="s">
        <v>46</v>
      </c>
      <c r="F126" s="31" t="s">
        <v>46</v>
      </c>
      <c r="G126" s="32" t="s">
        <v>46</v>
      </c>
      <c r="H126" s="27"/>
      <c r="I126" s="27" t="s">
        <v>47</v>
      </c>
      <c r="J126" s="33">
        <v>10</v>
      </c>
      <c r="K126" s="37">
        <f>667</f>
        <v>667</v>
      </c>
      <c r="L126" s="34" t="s">
        <v>814</v>
      </c>
      <c r="M126" s="37">
        <f>720</f>
        <v>720</v>
      </c>
      <c r="N126" s="34" t="s">
        <v>820</v>
      </c>
      <c r="O126" s="37">
        <f>601</f>
        <v>601</v>
      </c>
      <c r="P126" s="34" t="s">
        <v>95</v>
      </c>
      <c r="Q126" s="37">
        <f>602</f>
        <v>602</v>
      </c>
      <c r="R126" s="34" t="s">
        <v>95</v>
      </c>
      <c r="S126" s="36">
        <f>663.75</f>
        <v>663.75</v>
      </c>
      <c r="T126" s="33">
        <f>4830</f>
        <v>4830</v>
      </c>
      <c r="U126" s="33" t="str">
        <f>"－"</f>
        <v>－</v>
      </c>
      <c r="V126" s="33">
        <f>3188130</f>
        <v>3188130</v>
      </c>
      <c r="W126" s="33" t="str">
        <f>"－"</f>
        <v>－</v>
      </c>
      <c r="X126" s="35">
        <f>12</f>
        <v>12</v>
      </c>
    </row>
    <row r="127" spans="1:24">
      <c r="A127" s="29" t="s">
        <v>813</v>
      </c>
      <c r="B127" s="29" t="s">
        <v>424</v>
      </c>
      <c r="C127" s="29" t="s">
        <v>425</v>
      </c>
      <c r="D127" s="29" t="s">
        <v>426</v>
      </c>
      <c r="E127" s="30" t="s">
        <v>46</v>
      </c>
      <c r="F127" s="31" t="s">
        <v>46</v>
      </c>
      <c r="G127" s="32" t="s">
        <v>46</v>
      </c>
      <c r="H127" s="27"/>
      <c r="I127" s="27" t="s">
        <v>47</v>
      </c>
      <c r="J127" s="33">
        <v>10</v>
      </c>
      <c r="K127" s="37">
        <f>1335</f>
        <v>1335</v>
      </c>
      <c r="L127" s="34" t="s">
        <v>48</v>
      </c>
      <c r="M127" s="37">
        <f>1350</f>
        <v>1350</v>
      </c>
      <c r="N127" s="34" t="s">
        <v>48</v>
      </c>
      <c r="O127" s="37">
        <f>1156</f>
        <v>1156</v>
      </c>
      <c r="P127" s="34" t="s">
        <v>95</v>
      </c>
      <c r="Q127" s="37">
        <f>1161</f>
        <v>1161</v>
      </c>
      <c r="R127" s="34" t="s">
        <v>95</v>
      </c>
      <c r="S127" s="36">
        <f>1251.83</f>
        <v>1251.83</v>
      </c>
      <c r="T127" s="33">
        <f>1340</f>
        <v>1340</v>
      </c>
      <c r="U127" s="33" t="str">
        <f>"－"</f>
        <v>－</v>
      </c>
      <c r="V127" s="33">
        <f>1623150</f>
        <v>1623150</v>
      </c>
      <c r="W127" s="33" t="str">
        <f>"－"</f>
        <v>－</v>
      </c>
      <c r="X127" s="35">
        <f>6</f>
        <v>6</v>
      </c>
    </row>
    <row r="128" spans="1:24">
      <c r="A128" s="29" t="s">
        <v>813</v>
      </c>
      <c r="B128" s="29" t="s">
        <v>427</v>
      </c>
      <c r="C128" s="29" t="s">
        <v>428</v>
      </c>
      <c r="D128" s="29" t="s">
        <v>429</v>
      </c>
      <c r="E128" s="30" t="s">
        <v>46</v>
      </c>
      <c r="F128" s="31" t="s">
        <v>46</v>
      </c>
      <c r="G128" s="32" t="s">
        <v>46</v>
      </c>
      <c r="H128" s="27"/>
      <c r="I128" s="27" t="s">
        <v>47</v>
      </c>
      <c r="J128" s="33">
        <v>1</v>
      </c>
      <c r="K128" s="37">
        <f>1451</f>
        <v>1451</v>
      </c>
      <c r="L128" s="34" t="s">
        <v>814</v>
      </c>
      <c r="M128" s="37">
        <f>1526</f>
        <v>1526</v>
      </c>
      <c r="N128" s="34" t="s">
        <v>100</v>
      </c>
      <c r="O128" s="37">
        <f>1323</f>
        <v>1323</v>
      </c>
      <c r="P128" s="34" t="s">
        <v>95</v>
      </c>
      <c r="Q128" s="37">
        <f>1353</f>
        <v>1353</v>
      </c>
      <c r="R128" s="34" t="s">
        <v>95</v>
      </c>
      <c r="S128" s="36">
        <f>1465.11</f>
        <v>1465.11</v>
      </c>
      <c r="T128" s="33">
        <f>48681</f>
        <v>48681</v>
      </c>
      <c r="U128" s="33" t="str">
        <f>"－"</f>
        <v>－</v>
      </c>
      <c r="V128" s="33">
        <f>72889076</f>
        <v>72889076</v>
      </c>
      <c r="W128" s="33" t="str">
        <f>"－"</f>
        <v>－</v>
      </c>
      <c r="X128" s="35">
        <f>18</f>
        <v>18</v>
      </c>
    </row>
    <row r="129" spans="1:24">
      <c r="A129" s="29" t="s">
        <v>813</v>
      </c>
      <c r="B129" s="29" t="s">
        <v>430</v>
      </c>
      <c r="C129" s="29" t="s">
        <v>431</v>
      </c>
      <c r="D129" s="29" t="s">
        <v>432</v>
      </c>
      <c r="E129" s="30" t="s">
        <v>46</v>
      </c>
      <c r="F129" s="31" t="s">
        <v>46</v>
      </c>
      <c r="G129" s="32" t="s">
        <v>46</v>
      </c>
      <c r="H129" s="27"/>
      <c r="I129" s="27" t="s">
        <v>47</v>
      </c>
      <c r="J129" s="33">
        <v>1</v>
      </c>
      <c r="K129" s="37">
        <f>14860</f>
        <v>14860</v>
      </c>
      <c r="L129" s="34" t="s">
        <v>814</v>
      </c>
      <c r="M129" s="37">
        <f>15690</f>
        <v>15690</v>
      </c>
      <c r="N129" s="34" t="s">
        <v>48</v>
      </c>
      <c r="O129" s="37">
        <f>13570</f>
        <v>13570</v>
      </c>
      <c r="P129" s="34" t="s">
        <v>95</v>
      </c>
      <c r="Q129" s="37">
        <f>13640</f>
        <v>13640</v>
      </c>
      <c r="R129" s="34" t="s">
        <v>95</v>
      </c>
      <c r="S129" s="36">
        <f>15046.11</f>
        <v>15046.11</v>
      </c>
      <c r="T129" s="33">
        <f>143659</f>
        <v>143659</v>
      </c>
      <c r="U129" s="33">
        <f>25003</f>
        <v>25003</v>
      </c>
      <c r="V129" s="33">
        <f>2064562289</f>
        <v>2064562289</v>
      </c>
      <c r="W129" s="33">
        <f>340076489</f>
        <v>340076489</v>
      </c>
      <c r="X129" s="35">
        <f>18</f>
        <v>18</v>
      </c>
    </row>
    <row r="130" spans="1:24">
      <c r="A130" s="29" t="s">
        <v>813</v>
      </c>
      <c r="B130" s="29" t="s">
        <v>433</v>
      </c>
      <c r="C130" s="29" t="s">
        <v>434</v>
      </c>
      <c r="D130" s="29" t="s">
        <v>435</v>
      </c>
      <c r="E130" s="30" t="s">
        <v>46</v>
      </c>
      <c r="F130" s="31" t="s">
        <v>46</v>
      </c>
      <c r="G130" s="32" t="s">
        <v>46</v>
      </c>
      <c r="H130" s="27"/>
      <c r="I130" s="27" t="s">
        <v>47</v>
      </c>
      <c r="J130" s="33">
        <v>1</v>
      </c>
      <c r="K130" s="37">
        <f>1351</f>
        <v>1351</v>
      </c>
      <c r="L130" s="34" t="s">
        <v>814</v>
      </c>
      <c r="M130" s="37">
        <f>1427</f>
        <v>1427</v>
      </c>
      <c r="N130" s="34" t="s">
        <v>48</v>
      </c>
      <c r="O130" s="37">
        <f>1232</f>
        <v>1232</v>
      </c>
      <c r="P130" s="34" t="s">
        <v>95</v>
      </c>
      <c r="Q130" s="37">
        <f>1241</f>
        <v>1241</v>
      </c>
      <c r="R130" s="34" t="s">
        <v>95</v>
      </c>
      <c r="S130" s="36">
        <f>1368.22</f>
        <v>1368.22</v>
      </c>
      <c r="T130" s="33">
        <f>310373</f>
        <v>310373</v>
      </c>
      <c r="U130" s="33">
        <f>51</f>
        <v>51</v>
      </c>
      <c r="V130" s="33">
        <f>419766995</f>
        <v>419766995</v>
      </c>
      <c r="W130" s="33">
        <f>70048</f>
        <v>70048</v>
      </c>
      <c r="X130" s="35">
        <f>18</f>
        <v>18</v>
      </c>
    </row>
    <row r="131" spans="1:24">
      <c r="A131" s="29" t="s">
        <v>813</v>
      </c>
      <c r="B131" s="29" t="s">
        <v>436</v>
      </c>
      <c r="C131" s="29" t="s">
        <v>437</v>
      </c>
      <c r="D131" s="29" t="s">
        <v>438</v>
      </c>
      <c r="E131" s="30" t="s">
        <v>46</v>
      </c>
      <c r="F131" s="31" t="s">
        <v>46</v>
      </c>
      <c r="G131" s="32" t="s">
        <v>46</v>
      </c>
      <c r="H131" s="27"/>
      <c r="I131" s="27" t="s">
        <v>47</v>
      </c>
      <c r="J131" s="33">
        <v>1</v>
      </c>
      <c r="K131" s="37">
        <f>15130</f>
        <v>15130</v>
      </c>
      <c r="L131" s="34" t="s">
        <v>814</v>
      </c>
      <c r="M131" s="37">
        <f>15930</f>
        <v>15930</v>
      </c>
      <c r="N131" s="34" t="s">
        <v>48</v>
      </c>
      <c r="O131" s="37">
        <f>13770</f>
        <v>13770</v>
      </c>
      <c r="P131" s="34" t="s">
        <v>95</v>
      </c>
      <c r="Q131" s="37">
        <f>13870</f>
        <v>13870</v>
      </c>
      <c r="R131" s="34" t="s">
        <v>95</v>
      </c>
      <c r="S131" s="36">
        <f>15282.78</f>
        <v>15282.78</v>
      </c>
      <c r="T131" s="33">
        <f>29395</f>
        <v>29395</v>
      </c>
      <c r="U131" s="33">
        <f>20</f>
        <v>20</v>
      </c>
      <c r="V131" s="33">
        <f>436010789</f>
        <v>436010789</v>
      </c>
      <c r="W131" s="33">
        <f>308539</f>
        <v>308539</v>
      </c>
      <c r="X131" s="35">
        <f>18</f>
        <v>18</v>
      </c>
    </row>
    <row r="132" spans="1:24">
      <c r="A132" s="29" t="s">
        <v>813</v>
      </c>
      <c r="B132" s="29" t="s">
        <v>439</v>
      </c>
      <c r="C132" s="29" t="s">
        <v>440</v>
      </c>
      <c r="D132" s="29" t="s">
        <v>441</v>
      </c>
      <c r="E132" s="30" t="s">
        <v>46</v>
      </c>
      <c r="F132" s="31" t="s">
        <v>46</v>
      </c>
      <c r="G132" s="32" t="s">
        <v>46</v>
      </c>
      <c r="H132" s="27"/>
      <c r="I132" s="27" t="s">
        <v>47</v>
      </c>
      <c r="J132" s="33">
        <v>10</v>
      </c>
      <c r="K132" s="37">
        <f>2245</f>
        <v>2245</v>
      </c>
      <c r="L132" s="34" t="s">
        <v>814</v>
      </c>
      <c r="M132" s="37">
        <f>2290</f>
        <v>2290</v>
      </c>
      <c r="N132" s="34" t="s">
        <v>150</v>
      </c>
      <c r="O132" s="37">
        <f>2059</f>
        <v>2059</v>
      </c>
      <c r="P132" s="34" t="s">
        <v>95</v>
      </c>
      <c r="Q132" s="37">
        <f>2064</f>
        <v>2064</v>
      </c>
      <c r="R132" s="34" t="s">
        <v>95</v>
      </c>
      <c r="S132" s="36">
        <f>2240.22</f>
        <v>2240.2199999999998</v>
      </c>
      <c r="T132" s="33">
        <f>502780</f>
        <v>502780</v>
      </c>
      <c r="U132" s="33">
        <f>155000</f>
        <v>155000</v>
      </c>
      <c r="V132" s="33">
        <f>1111948000</f>
        <v>1111948000</v>
      </c>
      <c r="W132" s="33">
        <f>349241550</f>
        <v>349241550</v>
      </c>
      <c r="X132" s="35">
        <f>18</f>
        <v>18</v>
      </c>
    </row>
    <row r="133" spans="1:24">
      <c r="A133" s="29" t="s">
        <v>813</v>
      </c>
      <c r="B133" s="29" t="s">
        <v>442</v>
      </c>
      <c r="C133" s="29" t="s">
        <v>443</v>
      </c>
      <c r="D133" s="29" t="s">
        <v>444</v>
      </c>
      <c r="E133" s="30" t="s">
        <v>46</v>
      </c>
      <c r="F133" s="31" t="s">
        <v>46</v>
      </c>
      <c r="G133" s="32" t="s">
        <v>46</v>
      </c>
      <c r="H133" s="27"/>
      <c r="I133" s="27" t="s">
        <v>47</v>
      </c>
      <c r="J133" s="33">
        <v>10</v>
      </c>
      <c r="K133" s="37">
        <f>1452</f>
        <v>1452</v>
      </c>
      <c r="L133" s="34" t="s">
        <v>822</v>
      </c>
      <c r="M133" s="37">
        <f>1462</f>
        <v>1462</v>
      </c>
      <c r="N133" s="34" t="s">
        <v>49</v>
      </c>
      <c r="O133" s="37">
        <f>1417</f>
        <v>1417</v>
      </c>
      <c r="P133" s="34" t="s">
        <v>816</v>
      </c>
      <c r="Q133" s="37">
        <f>1417</f>
        <v>1417</v>
      </c>
      <c r="R133" s="34" t="s">
        <v>816</v>
      </c>
      <c r="S133" s="36">
        <f>1443.67</f>
        <v>1443.67</v>
      </c>
      <c r="T133" s="33">
        <f>100</f>
        <v>100</v>
      </c>
      <c r="U133" s="33" t="str">
        <f>"－"</f>
        <v>－</v>
      </c>
      <c r="V133" s="33">
        <f>143650</f>
        <v>143650</v>
      </c>
      <c r="W133" s="33" t="str">
        <f>"－"</f>
        <v>－</v>
      </c>
      <c r="X133" s="35">
        <f>3</f>
        <v>3</v>
      </c>
    </row>
    <row r="134" spans="1:24">
      <c r="A134" s="29" t="s">
        <v>813</v>
      </c>
      <c r="B134" s="29" t="s">
        <v>445</v>
      </c>
      <c r="C134" s="29" t="s">
        <v>446</v>
      </c>
      <c r="D134" s="29" t="s">
        <v>447</v>
      </c>
      <c r="E134" s="30" t="s">
        <v>46</v>
      </c>
      <c r="F134" s="31" t="s">
        <v>46</v>
      </c>
      <c r="G134" s="32" t="s">
        <v>46</v>
      </c>
      <c r="H134" s="27"/>
      <c r="I134" s="27" t="s">
        <v>47</v>
      </c>
      <c r="J134" s="33">
        <v>10</v>
      </c>
      <c r="K134" s="37">
        <f>2261</f>
        <v>2261</v>
      </c>
      <c r="L134" s="34" t="s">
        <v>814</v>
      </c>
      <c r="M134" s="37">
        <f>2310</f>
        <v>2310</v>
      </c>
      <c r="N134" s="34" t="s">
        <v>150</v>
      </c>
      <c r="O134" s="37">
        <f>2065</f>
        <v>2065</v>
      </c>
      <c r="P134" s="34" t="s">
        <v>95</v>
      </c>
      <c r="Q134" s="37">
        <f>2073</f>
        <v>2073</v>
      </c>
      <c r="R134" s="34" t="s">
        <v>95</v>
      </c>
      <c r="S134" s="36">
        <f>2257.61</f>
        <v>2257.61</v>
      </c>
      <c r="T134" s="33">
        <f>1410390</f>
        <v>1410390</v>
      </c>
      <c r="U134" s="33">
        <f>549290</f>
        <v>549290</v>
      </c>
      <c r="V134" s="33">
        <f>3089144110</f>
        <v>3089144110</v>
      </c>
      <c r="W134" s="33">
        <f>1200389950</f>
        <v>1200389950</v>
      </c>
      <c r="X134" s="35">
        <f>18</f>
        <v>18</v>
      </c>
    </row>
    <row r="135" spans="1:24">
      <c r="A135" s="29" t="s">
        <v>813</v>
      </c>
      <c r="B135" s="29" t="s">
        <v>448</v>
      </c>
      <c r="C135" s="29" t="s">
        <v>449</v>
      </c>
      <c r="D135" s="29" t="s">
        <v>450</v>
      </c>
      <c r="E135" s="30" t="s">
        <v>46</v>
      </c>
      <c r="F135" s="31" t="s">
        <v>46</v>
      </c>
      <c r="G135" s="32" t="s">
        <v>46</v>
      </c>
      <c r="H135" s="27"/>
      <c r="I135" s="27" t="s">
        <v>47</v>
      </c>
      <c r="J135" s="33">
        <v>1</v>
      </c>
      <c r="K135" s="37">
        <f>16970</f>
        <v>16970</v>
      </c>
      <c r="L135" s="34" t="s">
        <v>821</v>
      </c>
      <c r="M135" s="37">
        <f>17070</f>
        <v>17070</v>
      </c>
      <c r="N135" s="34" t="s">
        <v>821</v>
      </c>
      <c r="O135" s="37">
        <f>16970</f>
        <v>16970</v>
      </c>
      <c r="P135" s="34" t="s">
        <v>821</v>
      </c>
      <c r="Q135" s="37">
        <f>17070</f>
        <v>17070</v>
      </c>
      <c r="R135" s="34" t="s">
        <v>821</v>
      </c>
      <c r="S135" s="36">
        <f>17070</f>
        <v>17070</v>
      </c>
      <c r="T135" s="33">
        <f>2</f>
        <v>2</v>
      </c>
      <c r="U135" s="33" t="str">
        <f>"－"</f>
        <v>－</v>
      </c>
      <c r="V135" s="33">
        <f>34040</f>
        <v>34040</v>
      </c>
      <c r="W135" s="33" t="str">
        <f>"－"</f>
        <v>－</v>
      </c>
      <c r="X135" s="35">
        <f>1</f>
        <v>1</v>
      </c>
    </row>
    <row r="136" spans="1:24">
      <c r="A136" s="29" t="s">
        <v>813</v>
      </c>
      <c r="B136" s="29" t="s">
        <v>451</v>
      </c>
      <c r="C136" s="29" t="s">
        <v>452</v>
      </c>
      <c r="D136" s="29" t="s">
        <v>453</v>
      </c>
      <c r="E136" s="30" t="s">
        <v>46</v>
      </c>
      <c r="F136" s="31" t="s">
        <v>46</v>
      </c>
      <c r="G136" s="32" t="s">
        <v>46</v>
      </c>
      <c r="H136" s="27"/>
      <c r="I136" s="27" t="s">
        <v>47</v>
      </c>
      <c r="J136" s="33">
        <v>1</v>
      </c>
      <c r="K136" s="37">
        <f>14960</f>
        <v>14960</v>
      </c>
      <c r="L136" s="34" t="s">
        <v>814</v>
      </c>
      <c r="M136" s="37">
        <f>15790</f>
        <v>15790</v>
      </c>
      <c r="N136" s="34" t="s">
        <v>48</v>
      </c>
      <c r="O136" s="37">
        <f>13660</f>
        <v>13660</v>
      </c>
      <c r="P136" s="34" t="s">
        <v>95</v>
      </c>
      <c r="Q136" s="37">
        <f>13740</f>
        <v>13740</v>
      </c>
      <c r="R136" s="34" t="s">
        <v>95</v>
      </c>
      <c r="S136" s="36">
        <f>15154.44</f>
        <v>15154.44</v>
      </c>
      <c r="T136" s="33">
        <f>6325</f>
        <v>6325</v>
      </c>
      <c r="U136" s="33" t="str">
        <f>"－"</f>
        <v>－</v>
      </c>
      <c r="V136" s="33">
        <f>95734570</f>
        <v>95734570</v>
      </c>
      <c r="W136" s="33" t="str">
        <f>"－"</f>
        <v>－</v>
      </c>
      <c r="X136" s="35">
        <f>18</f>
        <v>18</v>
      </c>
    </row>
    <row r="137" spans="1:24">
      <c r="A137" s="29" t="s">
        <v>813</v>
      </c>
      <c r="B137" s="29" t="s">
        <v>454</v>
      </c>
      <c r="C137" s="29" t="s">
        <v>455</v>
      </c>
      <c r="D137" s="29" t="s">
        <v>456</v>
      </c>
      <c r="E137" s="30" t="s">
        <v>46</v>
      </c>
      <c r="F137" s="31" t="s">
        <v>46</v>
      </c>
      <c r="G137" s="32" t="s">
        <v>46</v>
      </c>
      <c r="H137" s="27" t="s">
        <v>823</v>
      </c>
      <c r="I137" s="27" t="s">
        <v>47</v>
      </c>
      <c r="J137" s="33">
        <v>10</v>
      </c>
      <c r="K137" s="37">
        <f>2530</f>
        <v>2530</v>
      </c>
      <c r="L137" s="34" t="s">
        <v>818</v>
      </c>
      <c r="M137" s="37">
        <f>2603</f>
        <v>2603</v>
      </c>
      <c r="N137" s="34" t="s">
        <v>48</v>
      </c>
      <c r="O137" s="37">
        <f>2274</f>
        <v>2274</v>
      </c>
      <c r="P137" s="34" t="s">
        <v>95</v>
      </c>
      <c r="Q137" s="37">
        <f>2274</f>
        <v>2274</v>
      </c>
      <c r="R137" s="34" t="s">
        <v>95</v>
      </c>
      <c r="S137" s="36">
        <f>2511.71</f>
        <v>2511.71</v>
      </c>
      <c r="T137" s="33">
        <f>8260</f>
        <v>8260</v>
      </c>
      <c r="U137" s="33" t="str">
        <f>"－"</f>
        <v>－</v>
      </c>
      <c r="V137" s="33">
        <f>20732920</f>
        <v>20732920</v>
      </c>
      <c r="W137" s="33" t="str">
        <f>"－"</f>
        <v>－</v>
      </c>
      <c r="X137" s="35">
        <f>17</f>
        <v>17</v>
      </c>
    </row>
    <row r="138" spans="1:24">
      <c r="A138" s="29" t="s">
        <v>813</v>
      </c>
      <c r="B138" s="29" t="s">
        <v>457</v>
      </c>
      <c r="C138" s="29" t="s">
        <v>458</v>
      </c>
      <c r="D138" s="29" t="s">
        <v>459</v>
      </c>
      <c r="E138" s="30" t="s">
        <v>46</v>
      </c>
      <c r="F138" s="31" t="s">
        <v>46</v>
      </c>
      <c r="G138" s="32" t="s">
        <v>46</v>
      </c>
      <c r="H138" s="27"/>
      <c r="I138" s="27" t="s">
        <v>47</v>
      </c>
      <c r="J138" s="33">
        <v>100</v>
      </c>
      <c r="K138" s="37">
        <f>148</f>
        <v>148</v>
      </c>
      <c r="L138" s="34" t="s">
        <v>814</v>
      </c>
      <c r="M138" s="37">
        <f>154</f>
        <v>154</v>
      </c>
      <c r="N138" s="34" t="s">
        <v>48</v>
      </c>
      <c r="O138" s="37">
        <f>133</f>
        <v>133</v>
      </c>
      <c r="P138" s="34" t="s">
        <v>95</v>
      </c>
      <c r="Q138" s="37">
        <f>136</f>
        <v>136</v>
      </c>
      <c r="R138" s="34" t="s">
        <v>95</v>
      </c>
      <c r="S138" s="36">
        <f>147.17</f>
        <v>147.16999999999999</v>
      </c>
      <c r="T138" s="33">
        <f>11920500</f>
        <v>11920500</v>
      </c>
      <c r="U138" s="33">
        <f>9800</f>
        <v>9800</v>
      </c>
      <c r="V138" s="33">
        <f>1729186603</f>
        <v>1729186603</v>
      </c>
      <c r="W138" s="33">
        <f>1338403</f>
        <v>1338403</v>
      </c>
      <c r="X138" s="35">
        <f>18</f>
        <v>18</v>
      </c>
    </row>
    <row r="139" spans="1:24">
      <c r="A139" s="29" t="s">
        <v>813</v>
      </c>
      <c r="B139" s="29" t="s">
        <v>460</v>
      </c>
      <c r="C139" s="29" t="s">
        <v>461</v>
      </c>
      <c r="D139" s="29" t="s">
        <v>462</v>
      </c>
      <c r="E139" s="30" t="s">
        <v>46</v>
      </c>
      <c r="F139" s="31" t="s">
        <v>46</v>
      </c>
      <c r="G139" s="32" t="s">
        <v>46</v>
      </c>
      <c r="H139" s="27"/>
      <c r="I139" s="27" t="s">
        <v>47</v>
      </c>
      <c r="J139" s="33">
        <v>1</v>
      </c>
      <c r="K139" s="37">
        <f>28510</f>
        <v>28510</v>
      </c>
      <c r="L139" s="34" t="s">
        <v>817</v>
      </c>
      <c r="M139" s="37">
        <f>29010</f>
        <v>29010</v>
      </c>
      <c r="N139" s="34" t="s">
        <v>48</v>
      </c>
      <c r="O139" s="37">
        <f>25070</f>
        <v>25070</v>
      </c>
      <c r="P139" s="34" t="s">
        <v>95</v>
      </c>
      <c r="Q139" s="37">
        <f>25070</f>
        <v>25070</v>
      </c>
      <c r="R139" s="34" t="s">
        <v>95</v>
      </c>
      <c r="S139" s="36">
        <f>27600.67</f>
        <v>27600.67</v>
      </c>
      <c r="T139" s="33">
        <f>168</f>
        <v>168</v>
      </c>
      <c r="U139" s="33" t="str">
        <f>"－"</f>
        <v>－</v>
      </c>
      <c r="V139" s="33">
        <f>4536980</f>
        <v>4536980</v>
      </c>
      <c r="W139" s="33" t="str">
        <f>"－"</f>
        <v>－</v>
      </c>
      <c r="X139" s="35">
        <f>15</f>
        <v>15</v>
      </c>
    </row>
    <row r="140" spans="1:24">
      <c r="A140" s="29" t="s">
        <v>813</v>
      </c>
      <c r="B140" s="29" t="s">
        <v>463</v>
      </c>
      <c r="C140" s="29" t="s">
        <v>464</v>
      </c>
      <c r="D140" s="29" t="s">
        <v>465</v>
      </c>
      <c r="E140" s="30" t="s">
        <v>46</v>
      </c>
      <c r="F140" s="31" t="s">
        <v>46</v>
      </c>
      <c r="G140" s="32" t="s">
        <v>46</v>
      </c>
      <c r="H140" s="27"/>
      <c r="I140" s="27" t="s">
        <v>47</v>
      </c>
      <c r="J140" s="33">
        <v>1</v>
      </c>
      <c r="K140" s="37">
        <f>10600</f>
        <v>10600</v>
      </c>
      <c r="L140" s="34" t="s">
        <v>814</v>
      </c>
      <c r="M140" s="37">
        <f>11070</f>
        <v>11070</v>
      </c>
      <c r="N140" s="34" t="s">
        <v>820</v>
      </c>
      <c r="O140" s="37">
        <f>9680</f>
        <v>9680</v>
      </c>
      <c r="P140" s="34" t="s">
        <v>95</v>
      </c>
      <c r="Q140" s="37">
        <f>9750</f>
        <v>9750</v>
      </c>
      <c r="R140" s="34" t="s">
        <v>95</v>
      </c>
      <c r="S140" s="36">
        <f>10703.33</f>
        <v>10703.33</v>
      </c>
      <c r="T140" s="33">
        <f>5515</f>
        <v>5515</v>
      </c>
      <c r="U140" s="33" t="str">
        <f>"－"</f>
        <v>－</v>
      </c>
      <c r="V140" s="33">
        <f>57679220</f>
        <v>57679220</v>
      </c>
      <c r="W140" s="33" t="str">
        <f>"－"</f>
        <v>－</v>
      </c>
      <c r="X140" s="35">
        <f>18</f>
        <v>18</v>
      </c>
    </row>
    <row r="141" spans="1:24">
      <c r="A141" s="29" t="s">
        <v>813</v>
      </c>
      <c r="B141" s="29" t="s">
        <v>466</v>
      </c>
      <c r="C141" s="29" t="s">
        <v>467</v>
      </c>
      <c r="D141" s="29" t="s">
        <v>468</v>
      </c>
      <c r="E141" s="30" t="s">
        <v>46</v>
      </c>
      <c r="F141" s="31" t="s">
        <v>46</v>
      </c>
      <c r="G141" s="32" t="s">
        <v>46</v>
      </c>
      <c r="H141" s="27"/>
      <c r="I141" s="27" t="s">
        <v>47</v>
      </c>
      <c r="J141" s="33">
        <v>1</v>
      </c>
      <c r="K141" s="37">
        <f>21340</f>
        <v>21340</v>
      </c>
      <c r="L141" s="34" t="s">
        <v>814</v>
      </c>
      <c r="M141" s="37">
        <f>22460</f>
        <v>22460</v>
      </c>
      <c r="N141" s="34" t="s">
        <v>48</v>
      </c>
      <c r="O141" s="37">
        <f>18890</f>
        <v>18890</v>
      </c>
      <c r="P141" s="34" t="s">
        <v>95</v>
      </c>
      <c r="Q141" s="37">
        <f>18960</f>
        <v>18960</v>
      </c>
      <c r="R141" s="34" t="s">
        <v>95</v>
      </c>
      <c r="S141" s="36">
        <f>21202.35</f>
        <v>21202.35</v>
      </c>
      <c r="T141" s="33">
        <f>922</f>
        <v>922</v>
      </c>
      <c r="U141" s="33" t="str">
        <f>"－"</f>
        <v>－</v>
      </c>
      <c r="V141" s="33">
        <f>19256370</f>
        <v>19256370</v>
      </c>
      <c r="W141" s="33" t="str">
        <f>"－"</f>
        <v>－</v>
      </c>
      <c r="X141" s="35">
        <f>17</f>
        <v>17</v>
      </c>
    </row>
    <row r="142" spans="1:24">
      <c r="A142" s="29" t="s">
        <v>813</v>
      </c>
      <c r="B142" s="29" t="s">
        <v>469</v>
      </c>
      <c r="C142" s="29" t="s">
        <v>470</v>
      </c>
      <c r="D142" s="29" t="s">
        <v>471</v>
      </c>
      <c r="E142" s="30" t="s">
        <v>46</v>
      </c>
      <c r="F142" s="31" t="s">
        <v>46</v>
      </c>
      <c r="G142" s="32" t="s">
        <v>46</v>
      </c>
      <c r="H142" s="27"/>
      <c r="I142" s="27" t="s">
        <v>47</v>
      </c>
      <c r="J142" s="33">
        <v>1</v>
      </c>
      <c r="K142" s="37">
        <f>23690</f>
        <v>23690</v>
      </c>
      <c r="L142" s="34" t="s">
        <v>814</v>
      </c>
      <c r="M142" s="37">
        <f>24770</f>
        <v>24770</v>
      </c>
      <c r="N142" s="34" t="s">
        <v>100</v>
      </c>
      <c r="O142" s="37">
        <f>21780</f>
        <v>21780</v>
      </c>
      <c r="P142" s="34" t="s">
        <v>95</v>
      </c>
      <c r="Q142" s="37">
        <f>21780</f>
        <v>21780</v>
      </c>
      <c r="R142" s="34" t="s">
        <v>95</v>
      </c>
      <c r="S142" s="36">
        <f>23855.33</f>
        <v>23855.33</v>
      </c>
      <c r="T142" s="33">
        <f>166</f>
        <v>166</v>
      </c>
      <c r="U142" s="33" t="str">
        <f>"－"</f>
        <v>－</v>
      </c>
      <c r="V142" s="33">
        <f>3895970</f>
        <v>3895970</v>
      </c>
      <c r="W142" s="33" t="str">
        <f>"－"</f>
        <v>－</v>
      </c>
      <c r="X142" s="35">
        <f>15</f>
        <v>15</v>
      </c>
    </row>
    <row r="143" spans="1:24">
      <c r="A143" s="29" t="s">
        <v>813</v>
      </c>
      <c r="B143" s="29" t="s">
        <v>472</v>
      </c>
      <c r="C143" s="29" t="s">
        <v>473</v>
      </c>
      <c r="D143" s="29" t="s">
        <v>474</v>
      </c>
      <c r="E143" s="30" t="s">
        <v>46</v>
      </c>
      <c r="F143" s="31" t="s">
        <v>46</v>
      </c>
      <c r="G143" s="32" t="s">
        <v>46</v>
      </c>
      <c r="H143" s="27"/>
      <c r="I143" s="27" t="s">
        <v>47</v>
      </c>
      <c r="J143" s="33">
        <v>1</v>
      </c>
      <c r="K143" s="37">
        <f>24880</f>
        <v>24880</v>
      </c>
      <c r="L143" s="34" t="s">
        <v>814</v>
      </c>
      <c r="M143" s="37">
        <f>26390</f>
        <v>26390</v>
      </c>
      <c r="N143" s="34" t="s">
        <v>100</v>
      </c>
      <c r="O143" s="37">
        <f>22160</f>
        <v>22160</v>
      </c>
      <c r="P143" s="34" t="s">
        <v>95</v>
      </c>
      <c r="Q143" s="37">
        <f>22230</f>
        <v>22230</v>
      </c>
      <c r="R143" s="34" t="s">
        <v>95</v>
      </c>
      <c r="S143" s="36">
        <f>24882.22</f>
        <v>24882.22</v>
      </c>
      <c r="T143" s="33">
        <f>4594</f>
        <v>4594</v>
      </c>
      <c r="U143" s="33" t="str">
        <f>"－"</f>
        <v>－</v>
      </c>
      <c r="V143" s="33">
        <f>111503940</f>
        <v>111503940</v>
      </c>
      <c r="W143" s="33" t="str">
        <f>"－"</f>
        <v>－</v>
      </c>
      <c r="X143" s="35">
        <f>18</f>
        <v>18</v>
      </c>
    </row>
    <row r="144" spans="1:24">
      <c r="A144" s="29" t="s">
        <v>813</v>
      </c>
      <c r="B144" s="29" t="s">
        <v>475</v>
      </c>
      <c r="C144" s="29" t="s">
        <v>476</v>
      </c>
      <c r="D144" s="29" t="s">
        <v>477</v>
      </c>
      <c r="E144" s="30" t="s">
        <v>46</v>
      </c>
      <c r="F144" s="31" t="s">
        <v>46</v>
      </c>
      <c r="G144" s="32" t="s">
        <v>46</v>
      </c>
      <c r="H144" s="27"/>
      <c r="I144" s="27" t="s">
        <v>47</v>
      </c>
      <c r="J144" s="33">
        <v>1</v>
      </c>
      <c r="K144" s="37">
        <f>19680</f>
        <v>19680</v>
      </c>
      <c r="L144" s="34" t="s">
        <v>814</v>
      </c>
      <c r="M144" s="37">
        <f>20450</f>
        <v>20450</v>
      </c>
      <c r="N144" s="34" t="s">
        <v>48</v>
      </c>
      <c r="O144" s="37">
        <f>18180</f>
        <v>18180</v>
      </c>
      <c r="P144" s="34" t="s">
        <v>95</v>
      </c>
      <c r="Q144" s="37">
        <f>18180</f>
        <v>18180</v>
      </c>
      <c r="R144" s="34" t="s">
        <v>95</v>
      </c>
      <c r="S144" s="36">
        <f>19705</f>
        <v>19705</v>
      </c>
      <c r="T144" s="33">
        <f>1572</f>
        <v>1572</v>
      </c>
      <c r="U144" s="33">
        <f>4</f>
        <v>4</v>
      </c>
      <c r="V144" s="33">
        <f>30282200</f>
        <v>30282200</v>
      </c>
      <c r="W144" s="33">
        <f>80360</f>
        <v>80360</v>
      </c>
      <c r="X144" s="35">
        <f>18</f>
        <v>18</v>
      </c>
    </row>
    <row r="145" spans="1:24">
      <c r="A145" s="29" t="s">
        <v>813</v>
      </c>
      <c r="B145" s="29" t="s">
        <v>478</v>
      </c>
      <c r="C145" s="29" t="s">
        <v>479</v>
      </c>
      <c r="D145" s="29" t="s">
        <v>480</v>
      </c>
      <c r="E145" s="30" t="s">
        <v>46</v>
      </c>
      <c r="F145" s="31" t="s">
        <v>46</v>
      </c>
      <c r="G145" s="32" t="s">
        <v>46</v>
      </c>
      <c r="H145" s="27"/>
      <c r="I145" s="27" t="s">
        <v>47</v>
      </c>
      <c r="J145" s="33">
        <v>1</v>
      </c>
      <c r="K145" s="37">
        <f>13220</f>
        <v>13220</v>
      </c>
      <c r="L145" s="34" t="s">
        <v>814</v>
      </c>
      <c r="M145" s="37">
        <f>13990</f>
        <v>13990</v>
      </c>
      <c r="N145" s="34" t="s">
        <v>48</v>
      </c>
      <c r="O145" s="37">
        <f>11350</f>
        <v>11350</v>
      </c>
      <c r="P145" s="34" t="s">
        <v>95</v>
      </c>
      <c r="Q145" s="37">
        <f>11530</f>
        <v>11530</v>
      </c>
      <c r="R145" s="34" t="s">
        <v>95</v>
      </c>
      <c r="S145" s="36">
        <f>13032.22</f>
        <v>13032.22</v>
      </c>
      <c r="T145" s="33">
        <f>6881</f>
        <v>6881</v>
      </c>
      <c r="U145" s="33">
        <f>2</f>
        <v>2</v>
      </c>
      <c r="V145" s="33">
        <f>88169010</f>
        <v>88169010</v>
      </c>
      <c r="W145" s="33">
        <f>25660</f>
        <v>25660</v>
      </c>
      <c r="X145" s="35">
        <f>18</f>
        <v>18</v>
      </c>
    </row>
    <row r="146" spans="1:24">
      <c r="A146" s="29" t="s">
        <v>813</v>
      </c>
      <c r="B146" s="29" t="s">
        <v>481</v>
      </c>
      <c r="C146" s="29" t="s">
        <v>482</v>
      </c>
      <c r="D146" s="29" t="s">
        <v>483</v>
      </c>
      <c r="E146" s="30" t="s">
        <v>46</v>
      </c>
      <c r="F146" s="31" t="s">
        <v>46</v>
      </c>
      <c r="G146" s="32" t="s">
        <v>46</v>
      </c>
      <c r="H146" s="27"/>
      <c r="I146" s="27" t="s">
        <v>47</v>
      </c>
      <c r="J146" s="33">
        <v>1</v>
      </c>
      <c r="K146" s="37">
        <f>33100</f>
        <v>33100</v>
      </c>
      <c r="L146" s="34" t="s">
        <v>814</v>
      </c>
      <c r="M146" s="37">
        <f>34300</f>
        <v>34300</v>
      </c>
      <c r="N146" s="34" t="s">
        <v>815</v>
      </c>
      <c r="O146" s="37">
        <f>29560</f>
        <v>29560</v>
      </c>
      <c r="P146" s="34" t="s">
        <v>95</v>
      </c>
      <c r="Q146" s="37">
        <f>29730</f>
        <v>29730</v>
      </c>
      <c r="R146" s="34" t="s">
        <v>95</v>
      </c>
      <c r="S146" s="36">
        <f>32681.67</f>
        <v>32681.67</v>
      </c>
      <c r="T146" s="33">
        <f>346</f>
        <v>346</v>
      </c>
      <c r="U146" s="33" t="str">
        <f t="shared" ref="U146:U154" si="2">"－"</f>
        <v>－</v>
      </c>
      <c r="V146" s="33">
        <f>11201860</f>
        <v>11201860</v>
      </c>
      <c r="W146" s="33" t="str">
        <f t="shared" ref="W146:W154" si="3">"－"</f>
        <v>－</v>
      </c>
      <c r="X146" s="35">
        <f>12</f>
        <v>12</v>
      </c>
    </row>
    <row r="147" spans="1:24">
      <c r="A147" s="29" t="s">
        <v>813</v>
      </c>
      <c r="B147" s="29" t="s">
        <v>484</v>
      </c>
      <c r="C147" s="29" t="s">
        <v>485</v>
      </c>
      <c r="D147" s="29" t="s">
        <v>486</v>
      </c>
      <c r="E147" s="30" t="s">
        <v>46</v>
      </c>
      <c r="F147" s="31" t="s">
        <v>46</v>
      </c>
      <c r="G147" s="32" t="s">
        <v>46</v>
      </c>
      <c r="H147" s="27"/>
      <c r="I147" s="27" t="s">
        <v>47</v>
      </c>
      <c r="J147" s="33">
        <v>1</v>
      </c>
      <c r="K147" s="37">
        <f>20650</f>
        <v>20650</v>
      </c>
      <c r="L147" s="34" t="s">
        <v>814</v>
      </c>
      <c r="M147" s="37">
        <f>21910</f>
        <v>21910</v>
      </c>
      <c r="N147" s="34" t="s">
        <v>48</v>
      </c>
      <c r="O147" s="37">
        <f>18850</f>
        <v>18850</v>
      </c>
      <c r="P147" s="34" t="s">
        <v>95</v>
      </c>
      <c r="Q147" s="37">
        <f>18870</f>
        <v>18870</v>
      </c>
      <c r="R147" s="34" t="s">
        <v>95</v>
      </c>
      <c r="S147" s="36">
        <f>21001.11</f>
        <v>21001.11</v>
      </c>
      <c r="T147" s="33">
        <f>1184</f>
        <v>1184</v>
      </c>
      <c r="U147" s="33" t="str">
        <f t="shared" si="2"/>
        <v>－</v>
      </c>
      <c r="V147" s="33">
        <f>24466800</f>
        <v>24466800</v>
      </c>
      <c r="W147" s="33" t="str">
        <f t="shared" si="3"/>
        <v>－</v>
      </c>
      <c r="X147" s="35">
        <f>18</f>
        <v>18</v>
      </c>
    </row>
    <row r="148" spans="1:24">
      <c r="A148" s="29" t="s">
        <v>813</v>
      </c>
      <c r="B148" s="29" t="s">
        <v>487</v>
      </c>
      <c r="C148" s="29" t="s">
        <v>488</v>
      </c>
      <c r="D148" s="29" t="s">
        <v>489</v>
      </c>
      <c r="E148" s="30" t="s">
        <v>46</v>
      </c>
      <c r="F148" s="31" t="s">
        <v>46</v>
      </c>
      <c r="G148" s="32" t="s">
        <v>46</v>
      </c>
      <c r="H148" s="27"/>
      <c r="I148" s="27" t="s">
        <v>47</v>
      </c>
      <c r="J148" s="33">
        <v>1</v>
      </c>
      <c r="K148" s="37">
        <f>23500</f>
        <v>23500</v>
      </c>
      <c r="L148" s="34" t="s">
        <v>814</v>
      </c>
      <c r="M148" s="37">
        <f>24790</f>
        <v>24790</v>
      </c>
      <c r="N148" s="34" t="s">
        <v>815</v>
      </c>
      <c r="O148" s="37">
        <f>21540</f>
        <v>21540</v>
      </c>
      <c r="P148" s="34" t="s">
        <v>95</v>
      </c>
      <c r="Q148" s="37">
        <f>21540</f>
        <v>21540</v>
      </c>
      <c r="R148" s="34" t="s">
        <v>95</v>
      </c>
      <c r="S148" s="36">
        <f>23802.86</f>
        <v>23802.86</v>
      </c>
      <c r="T148" s="33">
        <f>683</f>
        <v>683</v>
      </c>
      <c r="U148" s="33" t="str">
        <f t="shared" si="2"/>
        <v>－</v>
      </c>
      <c r="V148" s="33">
        <f>16171180</f>
        <v>16171180</v>
      </c>
      <c r="W148" s="33" t="str">
        <f t="shared" si="3"/>
        <v>－</v>
      </c>
      <c r="X148" s="35">
        <f>14</f>
        <v>14</v>
      </c>
    </row>
    <row r="149" spans="1:24">
      <c r="A149" s="29" t="s">
        <v>813</v>
      </c>
      <c r="B149" s="29" t="s">
        <v>490</v>
      </c>
      <c r="C149" s="29" t="s">
        <v>491</v>
      </c>
      <c r="D149" s="29" t="s">
        <v>492</v>
      </c>
      <c r="E149" s="30" t="s">
        <v>46</v>
      </c>
      <c r="F149" s="31" t="s">
        <v>46</v>
      </c>
      <c r="G149" s="32" t="s">
        <v>46</v>
      </c>
      <c r="H149" s="27"/>
      <c r="I149" s="27" t="s">
        <v>47</v>
      </c>
      <c r="J149" s="33">
        <v>1</v>
      </c>
      <c r="K149" s="37">
        <f>6600</f>
        <v>6600</v>
      </c>
      <c r="L149" s="34" t="s">
        <v>814</v>
      </c>
      <c r="M149" s="37">
        <f>6890</f>
        <v>6890</v>
      </c>
      <c r="N149" s="34" t="s">
        <v>48</v>
      </c>
      <c r="O149" s="37">
        <f>6060</f>
        <v>6060</v>
      </c>
      <c r="P149" s="34" t="s">
        <v>95</v>
      </c>
      <c r="Q149" s="37">
        <f>6110</f>
        <v>6110</v>
      </c>
      <c r="R149" s="34" t="s">
        <v>95</v>
      </c>
      <c r="S149" s="36">
        <f>6619.44</f>
        <v>6619.44</v>
      </c>
      <c r="T149" s="33">
        <f>3892</f>
        <v>3892</v>
      </c>
      <c r="U149" s="33" t="str">
        <f t="shared" si="2"/>
        <v>－</v>
      </c>
      <c r="V149" s="33">
        <f>25590210</f>
        <v>25590210</v>
      </c>
      <c r="W149" s="33" t="str">
        <f t="shared" si="3"/>
        <v>－</v>
      </c>
      <c r="X149" s="35">
        <f>18</f>
        <v>18</v>
      </c>
    </row>
    <row r="150" spans="1:24">
      <c r="A150" s="29" t="s">
        <v>813</v>
      </c>
      <c r="B150" s="29" t="s">
        <v>493</v>
      </c>
      <c r="C150" s="29" t="s">
        <v>494</v>
      </c>
      <c r="D150" s="29" t="s">
        <v>495</v>
      </c>
      <c r="E150" s="30" t="s">
        <v>46</v>
      </c>
      <c r="F150" s="31" t="s">
        <v>46</v>
      </c>
      <c r="G150" s="32" t="s">
        <v>46</v>
      </c>
      <c r="H150" s="27"/>
      <c r="I150" s="27" t="s">
        <v>47</v>
      </c>
      <c r="J150" s="33">
        <v>1</v>
      </c>
      <c r="K150" s="37">
        <f>17380</f>
        <v>17380</v>
      </c>
      <c r="L150" s="34" t="s">
        <v>814</v>
      </c>
      <c r="M150" s="37">
        <f>17790</f>
        <v>17790</v>
      </c>
      <c r="N150" s="34" t="s">
        <v>817</v>
      </c>
      <c r="O150" s="37">
        <f>14920</f>
        <v>14920</v>
      </c>
      <c r="P150" s="34" t="s">
        <v>95</v>
      </c>
      <c r="Q150" s="37">
        <f>15050</f>
        <v>15050</v>
      </c>
      <c r="R150" s="34" t="s">
        <v>95</v>
      </c>
      <c r="S150" s="36">
        <f>16853.85</f>
        <v>16853.849999999999</v>
      </c>
      <c r="T150" s="33">
        <f>344</f>
        <v>344</v>
      </c>
      <c r="U150" s="33" t="str">
        <f t="shared" si="2"/>
        <v>－</v>
      </c>
      <c r="V150" s="33">
        <f>5510450</f>
        <v>5510450</v>
      </c>
      <c r="W150" s="33" t="str">
        <f t="shared" si="3"/>
        <v>－</v>
      </c>
      <c r="X150" s="35">
        <f>13</f>
        <v>13</v>
      </c>
    </row>
    <row r="151" spans="1:24">
      <c r="A151" s="29" t="s">
        <v>813</v>
      </c>
      <c r="B151" s="29" t="s">
        <v>496</v>
      </c>
      <c r="C151" s="29" t="s">
        <v>497</v>
      </c>
      <c r="D151" s="29" t="s">
        <v>498</v>
      </c>
      <c r="E151" s="30" t="s">
        <v>46</v>
      </c>
      <c r="F151" s="31" t="s">
        <v>46</v>
      </c>
      <c r="G151" s="32" t="s">
        <v>46</v>
      </c>
      <c r="H151" s="27"/>
      <c r="I151" s="27" t="s">
        <v>47</v>
      </c>
      <c r="J151" s="33">
        <v>1</v>
      </c>
      <c r="K151" s="37">
        <f>34150</f>
        <v>34150</v>
      </c>
      <c r="L151" s="34" t="s">
        <v>814</v>
      </c>
      <c r="M151" s="37">
        <f>35650</f>
        <v>35650</v>
      </c>
      <c r="N151" s="34" t="s">
        <v>48</v>
      </c>
      <c r="O151" s="37">
        <f>31200</f>
        <v>31200</v>
      </c>
      <c r="P151" s="34" t="s">
        <v>95</v>
      </c>
      <c r="Q151" s="37">
        <f>31300</f>
        <v>31300</v>
      </c>
      <c r="R151" s="34" t="s">
        <v>95</v>
      </c>
      <c r="S151" s="36">
        <f>34177.78</f>
        <v>34177.78</v>
      </c>
      <c r="T151" s="33">
        <f>1045</f>
        <v>1045</v>
      </c>
      <c r="U151" s="33" t="str">
        <f t="shared" si="2"/>
        <v>－</v>
      </c>
      <c r="V151" s="33">
        <f>34609750</f>
        <v>34609750</v>
      </c>
      <c r="W151" s="33" t="str">
        <f t="shared" si="3"/>
        <v>－</v>
      </c>
      <c r="X151" s="35">
        <f>18</f>
        <v>18</v>
      </c>
    </row>
    <row r="152" spans="1:24">
      <c r="A152" s="29" t="s">
        <v>813</v>
      </c>
      <c r="B152" s="29" t="s">
        <v>499</v>
      </c>
      <c r="C152" s="29" t="s">
        <v>500</v>
      </c>
      <c r="D152" s="29" t="s">
        <v>501</v>
      </c>
      <c r="E152" s="30" t="s">
        <v>46</v>
      </c>
      <c r="F152" s="31" t="s">
        <v>46</v>
      </c>
      <c r="G152" s="32" t="s">
        <v>46</v>
      </c>
      <c r="H152" s="27"/>
      <c r="I152" s="27" t="s">
        <v>47</v>
      </c>
      <c r="J152" s="33">
        <v>1</v>
      </c>
      <c r="K152" s="37">
        <f>20750</f>
        <v>20750</v>
      </c>
      <c r="L152" s="34" t="s">
        <v>100</v>
      </c>
      <c r="M152" s="37">
        <f>20750</f>
        <v>20750</v>
      </c>
      <c r="N152" s="34" t="s">
        <v>100</v>
      </c>
      <c r="O152" s="37">
        <f>17860</f>
        <v>17860</v>
      </c>
      <c r="P152" s="34" t="s">
        <v>95</v>
      </c>
      <c r="Q152" s="37">
        <f>17860</f>
        <v>17860</v>
      </c>
      <c r="R152" s="34" t="s">
        <v>95</v>
      </c>
      <c r="S152" s="36">
        <f>19136.67</f>
        <v>19136.669999999998</v>
      </c>
      <c r="T152" s="33">
        <f>75</f>
        <v>75</v>
      </c>
      <c r="U152" s="33" t="str">
        <f t="shared" si="2"/>
        <v>－</v>
      </c>
      <c r="V152" s="33">
        <f>1441240</f>
        <v>1441240</v>
      </c>
      <c r="W152" s="33" t="str">
        <f t="shared" si="3"/>
        <v>－</v>
      </c>
      <c r="X152" s="35">
        <f>6</f>
        <v>6</v>
      </c>
    </row>
    <row r="153" spans="1:24">
      <c r="A153" s="29" t="s">
        <v>813</v>
      </c>
      <c r="B153" s="29" t="s">
        <v>502</v>
      </c>
      <c r="C153" s="29" t="s">
        <v>503</v>
      </c>
      <c r="D153" s="29" t="s">
        <v>504</v>
      </c>
      <c r="E153" s="30" t="s">
        <v>46</v>
      </c>
      <c r="F153" s="31" t="s">
        <v>46</v>
      </c>
      <c r="G153" s="32" t="s">
        <v>46</v>
      </c>
      <c r="H153" s="27"/>
      <c r="I153" s="27" t="s">
        <v>47</v>
      </c>
      <c r="J153" s="33">
        <v>1</v>
      </c>
      <c r="K153" s="37">
        <f>8530</f>
        <v>8530</v>
      </c>
      <c r="L153" s="34" t="s">
        <v>814</v>
      </c>
      <c r="M153" s="37">
        <f>8740</f>
        <v>8740</v>
      </c>
      <c r="N153" s="34" t="s">
        <v>48</v>
      </c>
      <c r="O153" s="37">
        <f>7600</f>
        <v>7600</v>
      </c>
      <c r="P153" s="34" t="s">
        <v>95</v>
      </c>
      <c r="Q153" s="37">
        <f>7650</f>
        <v>7650</v>
      </c>
      <c r="R153" s="34" t="s">
        <v>95</v>
      </c>
      <c r="S153" s="36">
        <f>8361.11</f>
        <v>8361.11</v>
      </c>
      <c r="T153" s="33">
        <f>8475</f>
        <v>8475</v>
      </c>
      <c r="U153" s="33" t="str">
        <f t="shared" si="2"/>
        <v>－</v>
      </c>
      <c r="V153" s="33">
        <f>70031420</f>
        <v>70031420</v>
      </c>
      <c r="W153" s="33" t="str">
        <f t="shared" si="3"/>
        <v>－</v>
      </c>
      <c r="X153" s="35">
        <f>18</f>
        <v>18</v>
      </c>
    </row>
    <row r="154" spans="1:24">
      <c r="A154" s="29" t="s">
        <v>813</v>
      </c>
      <c r="B154" s="29" t="s">
        <v>505</v>
      </c>
      <c r="C154" s="29" t="s">
        <v>506</v>
      </c>
      <c r="D154" s="29" t="s">
        <v>507</v>
      </c>
      <c r="E154" s="30" t="s">
        <v>46</v>
      </c>
      <c r="F154" s="31" t="s">
        <v>46</v>
      </c>
      <c r="G154" s="32" t="s">
        <v>46</v>
      </c>
      <c r="H154" s="27"/>
      <c r="I154" s="27" t="s">
        <v>47</v>
      </c>
      <c r="J154" s="33">
        <v>1</v>
      </c>
      <c r="K154" s="37">
        <f>12440</f>
        <v>12440</v>
      </c>
      <c r="L154" s="34" t="s">
        <v>814</v>
      </c>
      <c r="M154" s="37">
        <f>13060</f>
        <v>13060</v>
      </c>
      <c r="N154" s="34" t="s">
        <v>48</v>
      </c>
      <c r="O154" s="37">
        <f>11450</f>
        <v>11450</v>
      </c>
      <c r="P154" s="34" t="s">
        <v>95</v>
      </c>
      <c r="Q154" s="37">
        <f>11460</f>
        <v>11460</v>
      </c>
      <c r="R154" s="34" t="s">
        <v>95</v>
      </c>
      <c r="S154" s="36">
        <f>12543.33</f>
        <v>12543.33</v>
      </c>
      <c r="T154" s="33">
        <f>1347</f>
        <v>1347</v>
      </c>
      <c r="U154" s="33" t="str">
        <f t="shared" si="2"/>
        <v>－</v>
      </c>
      <c r="V154" s="33">
        <f>16973400</f>
        <v>16973400</v>
      </c>
      <c r="W154" s="33" t="str">
        <f t="shared" si="3"/>
        <v>－</v>
      </c>
      <c r="X154" s="35">
        <f>15</f>
        <v>15</v>
      </c>
    </row>
    <row r="155" spans="1:24">
      <c r="A155" s="29" t="s">
        <v>813</v>
      </c>
      <c r="B155" s="29" t="s">
        <v>508</v>
      </c>
      <c r="C155" s="29" t="s">
        <v>509</v>
      </c>
      <c r="D155" s="29" t="s">
        <v>510</v>
      </c>
      <c r="E155" s="30" t="s">
        <v>46</v>
      </c>
      <c r="F155" s="31" t="s">
        <v>46</v>
      </c>
      <c r="G155" s="32" t="s">
        <v>46</v>
      </c>
      <c r="H155" s="27"/>
      <c r="I155" s="27" t="s">
        <v>47</v>
      </c>
      <c r="J155" s="33">
        <v>1</v>
      </c>
      <c r="K155" s="37">
        <f>31850</f>
        <v>31850</v>
      </c>
      <c r="L155" s="34" t="s">
        <v>814</v>
      </c>
      <c r="M155" s="37">
        <f>32700</f>
        <v>32700</v>
      </c>
      <c r="N155" s="34" t="s">
        <v>61</v>
      </c>
      <c r="O155" s="37">
        <f>26940</f>
        <v>26940</v>
      </c>
      <c r="P155" s="34" t="s">
        <v>95</v>
      </c>
      <c r="Q155" s="37">
        <f>26970</f>
        <v>26970</v>
      </c>
      <c r="R155" s="34" t="s">
        <v>95</v>
      </c>
      <c r="S155" s="36">
        <f>31291.11</f>
        <v>31291.11</v>
      </c>
      <c r="T155" s="33">
        <f>1744</f>
        <v>1744</v>
      </c>
      <c r="U155" s="33">
        <f>14</f>
        <v>14</v>
      </c>
      <c r="V155" s="33">
        <f>51527780</f>
        <v>51527780</v>
      </c>
      <c r="W155" s="33">
        <f>377580</f>
        <v>377580</v>
      </c>
      <c r="X155" s="35">
        <f>18</f>
        <v>18</v>
      </c>
    </row>
    <row r="156" spans="1:24">
      <c r="A156" s="29" t="s">
        <v>813</v>
      </c>
      <c r="B156" s="29" t="s">
        <v>511</v>
      </c>
      <c r="C156" s="29" t="s">
        <v>512</v>
      </c>
      <c r="D156" s="29" t="s">
        <v>513</v>
      </c>
      <c r="E156" s="30" t="s">
        <v>46</v>
      </c>
      <c r="F156" s="31" t="s">
        <v>46</v>
      </c>
      <c r="G156" s="32" t="s">
        <v>46</v>
      </c>
      <c r="H156" s="27"/>
      <c r="I156" s="27" t="s">
        <v>47</v>
      </c>
      <c r="J156" s="33">
        <v>10</v>
      </c>
      <c r="K156" s="37">
        <f>962</f>
        <v>962</v>
      </c>
      <c r="L156" s="34" t="s">
        <v>814</v>
      </c>
      <c r="M156" s="37">
        <f>1003</f>
        <v>1003</v>
      </c>
      <c r="N156" s="34" t="s">
        <v>48</v>
      </c>
      <c r="O156" s="37">
        <f>884</f>
        <v>884</v>
      </c>
      <c r="P156" s="34" t="s">
        <v>95</v>
      </c>
      <c r="Q156" s="37">
        <f>892</f>
        <v>892</v>
      </c>
      <c r="R156" s="34" t="s">
        <v>95</v>
      </c>
      <c r="S156" s="36">
        <f>966.5</f>
        <v>966.5</v>
      </c>
      <c r="T156" s="33">
        <f>231130</f>
        <v>231130</v>
      </c>
      <c r="U156" s="33" t="str">
        <f>"－"</f>
        <v>－</v>
      </c>
      <c r="V156" s="33">
        <f>217327470</f>
        <v>217327470</v>
      </c>
      <c r="W156" s="33" t="str">
        <f>"－"</f>
        <v>－</v>
      </c>
      <c r="X156" s="35">
        <f>18</f>
        <v>18</v>
      </c>
    </row>
    <row r="157" spans="1:24">
      <c r="A157" s="29" t="s">
        <v>813</v>
      </c>
      <c r="B157" s="29" t="s">
        <v>514</v>
      </c>
      <c r="C157" s="29" t="s">
        <v>515</v>
      </c>
      <c r="D157" s="29" t="s">
        <v>516</v>
      </c>
      <c r="E157" s="30" t="s">
        <v>46</v>
      </c>
      <c r="F157" s="31" t="s">
        <v>46</v>
      </c>
      <c r="G157" s="32" t="s">
        <v>46</v>
      </c>
      <c r="H157" s="27"/>
      <c r="I157" s="27" t="s">
        <v>47</v>
      </c>
      <c r="J157" s="33">
        <v>10</v>
      </c>
      <c r="K157" s="37">
        <f>2056</f>
        <v>2056</v>
      </c>
      <c r="L157" s="34" t="s">
        <v>814</v>
      </c>
      <c r="M157" s="37">
        <f>2097</f>
        <v>2097</v>
      </c>
      <c r="N157" s="34" t="s">
        <v>817</v>
      </c>
      <c r="O157" s="37">
        <f>1870</f>
        <v>1870</v>
      </c>
      <c r="P157" s="34" t="s">
        <v>95</v>
      </c>
      <c r="Q157" s="37">
        <f>1870</f>
        <v>1870</v>
      </c>
      <c r="R157" s="34" t="s">
        <v>95</v>
      </c>
      <c r="S157" s="36">
        <f>2027</f>
        <v>2027</v>
      </c>
      <c r="T157" s="33">
        <f>27380</f>
        <v>27380</v>
      </c>
      <c r="U157" s="33" t="str">
        <f>"－"</f>
        <v>－</v>
      </c>
      <c r="V157" s="33">
        <f>56771500</f>
        <v>56771500</v>
      </c>
      <c r="W157" s="33" t="str">
        <f>"－"</f>
        <v>－</v>
      </c>
      <c r="X157" s="35">
        <f>10</f>
        <v>10</v>
      </c>
    </row>
    <row r="158" spans="1:24">
      <c r="A158" s="29" t="s">
        <v>813</v>
      </c>
      <c r="B158" s="29" t="s">
        <v>517</v>
      </c>
      <c r="C158" s="29" t="s">
        <v>518</v>
      </c>
      <c r="D158" s="29" t="s">
        <v>519</v>
      </c>
      <c r="E158" s="30" t="s">
        <v>46</v>
      </c>
      <c r="F158" s="31" t="s">
        <v>46</v>
      </c>
      <c r="G158" s="32" t="s">
        <v>46</v>
      </c>
      <c r="H158" s="27"/>
      <c r="I158" s="27" t="s">
        <v>47</v>
      </c>
      <c r="J158" s="33">
        <v>10</v>
      </c>
      <c r="K158" s="37">
        <f>2090</f>
        <v>2090</v>
      </c>
      <c r="L158" s="34" t="s">
        <v>814</v>
      </c>
      <c r="M158" s="37">
        <f>2200</f>
        <v>2200</v>
      </c>
      <c r="N158" s="34" t="s">
        <v>48</v>
      </c>
      <c r="O158" s="37">
        <f>1899</f>
        <v>1899</v>
      </c>
      <c r="P158" s="34" t="s">
        <v>95</v>
      </c>
      <c r="Q158" s="37">
        <f>1899</f>
        <v>1899</v>
      </c>
      <c r="R158" s="34" t="s">
        <v>95</v>
      </c>
      <c r="S158" s="36">
        <f>2105.83</f>
        <v>2105.83</v>
      </c>
      <c r="T158" s="33">
        <f>40500</f>
        <v>40500</v>
      </c>
      <c r="U158" s="33" t="str">
        <f>"－"</f>
        <v>－</v>
      </c>
      <c r="V158" s="33">
        <f>85746200</f>
        <v>85746200</v>
      </c>
      <c r="W158" s="33" t="str">
        <f>"－"</f>
        <v>－</v>
      </c>
      <c r="X158" s="35">
        <f>18</f>
        <v>18</v>
      </c>
    </row>
    <row r="159" spans="1:24">
      <c r="A159" s="29" t="s">
        <v>813</v>
      </c>
      <c r="B159" s="29" t="s">
        <v>520</v>
      </c>
      <c r="C159" s="29" t="s">
        <v>521</v>
      </c>
      <c r="D159" s="29" t="s">
        <v>522</v>
      </c>
      <c r="E159" s="30" t="s">
        <v>46</v>
      </c>
      <c r="F159" s="31" t="s">
        <v>46</v>
      </c>
      <c r="G159" s="32" t="s">
        <v>46</v>
      </c>
      <c r="H159" s="27"/>
      <c r="I159" s="27" t="s">
        <v>47</v>
      </c>
      <c r="J159" s="33">
        <v>10</v>
      </c>
      <c r="K159" s="37">
        <f>1265</f>
        <v>1265</v>
      </c>
      <c r="L159" s="34" t="s">
        <v>814</v>
      </c>
      <c r="M159" s="37">
        <f>1329</f>
        <v>1329</v>
      </c>
      <c r="N159" s="34" t="s">
        <v>48</v>
      </c>
      <c r="O159" s="37">
        <f>1151</f>
        <v>1151</v>
      </c>
      <c r="P159" s="34" t="s">
        <v>95</v>
      </c>
      <c r="Q159" s="37">
        <f>1151</f>
        <v>1151</v>
      </c>
      <c r="R159" s="34" t="s">
        <v>95</v>
      </c>
      <c r="S159" s="36">
        <f>1257</f>
        <v>1257</v>
      </c>
      <c r="T159" s="33">
        <f>24420</f>
        <v>24420</v>
      </c>
      <c r="U159" s="33" t="str">
        <f>"－"</f>
        <v>－</v>
      </c>
      <c r="V159" s="33">
        <f>31161860</f>
        <v>31161860</v>
      </c>
      <c r="W159" s="33" t="str">
        <f>"－"</f>
        <v>－</v>
      </c>
      <c r="X159" s="35">
        <f>11</f>
        <v>11</v>
      </c>
    </row>
    <row r="160" spans="1:24">
      <c r="A160" s="29" t="s">
        <v>813</v>
      </c>
      <c r="B160" s="29" t="s">
        <v>523</v>
      </c>
      <c r="C160" s="29" t="s">
        <v>524</v>
      </c>
      <c r="D160" s="29" t="s">
        <v>525</v>
      </c>
      <c r="E160" s="30" t="s">
        <v>46</v>
      </c>
      <c r="F160" s="31" t="s">
        <v>46</v>
      </c>
      <c r="G160" s="32" t="s">
        <v>46</v>
      </c>
      <c r="H160" s="27"/>
      <c r="I160" s="27" t="s">
        <v>47</v>
      </c>
      <c r="J160" s="33">
        <v>1</v>
      </c>
      <c r="K160" s="37">
        <f>2515</f>
        <v>2515</v>
      </c>
      <c r="L160" s="34" t="s">
        <v>814</v>
      </c>
      <c r="M160" s="37">
        <f>2698</f>
        <v>2698</v>
      </c>
      <c r="N160" s="34" t="s">
        <v>49</v>
      </c>
      <c r="O160" s="37">
        <f>2262</f>
        <v>2262</v>
      </c>
      <c r="P160" s="34" t="s">
        <v>95</v>
      </c>
      <c r="Q160" s="37">
        <f>2268</f>
        <v>2268</v>
      </c>
      <c r="R160" s="34" t="s">
        <v>95</v>
      </c>
      <c r="S160" s="36">
        <f>2584.11</f>
        <v>2584.11</v>
      </c>
      <c r="T160" s="33">
        <f>1602362</f>
        <v>1602362</v>
      </c>
      <c r="U160" s="33">
        <f>315172</f>
        <v>315172</v>
      </c>
      <c r="V160" s="33">
        <f>4083598585</f>
        <v>4083598585</v>
      </c>
      <c r="W160" s="33">
        <f>831844014</f>
        <v>831844014</v>
      </c>
      <c r="X160" s="35">
        <f>18</f>
        <v>18</v>
      </c>
    </row>
    <row r="161" spans="1:24">
      <c r="A161" s="29" t="s">
        <v>813</v>
      </c>
      <c r="B161" s="29" t="s">
        <v>526</v>
      </c>
      <c r="C161" s="29" t="s">
        <v>527</v>
      </c>
      <c r="D161" s="29" t="s">
        <v>528</v>
      </c>
      <c r="E161" s="30" t="s">
        <v>46</v>
      </c>
      <c r="F161" s="31" t="s">
        <v>46</v>
      </c>
      <c r="G161" s="32" t="s">
        <v>46</v>
      </c>
      <c r="H161" s="27"/>
      <c r="I161" s="27" t="s">
        <v>47</v>
      </c>
      <c r="J161" s="33">
        <v>1</v>
      </c>
      <c r="K161" s="37">
        <f>2580</f>
        <v>2580</v>
      </c>
      <c r="L161" s="34" t="s">
        <v>814</v>
      </c>
      <c r="M161" s="37">
        <f>2683</f>
        <v>2683</v>
      </c>
      <c r="N161" s="34" t="s">
        <v>816</v>
      </c>
      <c r="O161" s="37">
        <f>2570</f>
        <v>2570</v>
      </c>
      <c r="P161" s="34" t="s">
        <v>814</v>
      </c>
      <c r="Q161" s="37">
        <f>2634</f>
        <v>2634</v>
      </c>
      <c r="R161" s="34" t="s">
        <v>95</v>
      </c>
      <c r="S161" s="36">
        <f>2613.72</f>
        <v>2613.7199999999998</v>
      </c>
      <c r="T161" s="33">
        <f>300972</f>
        <v>300972</v>
      </c>
      <c r="U161" s="33">
        <f>210090</f>
        <v>210090</v>
      </c>
      <c r="V161" s="33">
        <f>790068912</f>
        <v>790068912</v>
      </c>
      <c r="W161" s="33">
        <f>551434860</f>
        <v>551434860</v>
      </c>
      <c r="X161" s="35">
        <f>18</f>
        <v>18</v>
      </c>
    </row>
    <row r="162" spans="1:24">
      <c r="A162" s="29" t="s">
        <v>813</v>
      </c>
      <c r="B162" s="29" t="s">
        <v>529</v>
      </c>
      <c r="C162" s="29" t="s">
        <v>530</v>
      </c>
      <c r="D162" s="29" t="s">
        <v>531</v>
      </c>
      <c r="E162" s="30" t="s">
        <v>46</v>
      </c>
      <c r="F162" s="31" t="s">
        <v>46</v>
      </c>
      <c r="G162" s="32" t="s">
        <v>46</v>
      </c>
      <c r="H162" s="27"/>
      <c r="I162" s="27" t="s">
        <v>47</v>
      </c>
      <c r="J162" s="33">
        <v>1</v>
      </c>
      <c r="K162" s="37">
        <f>2336</f>
        <v>2336</v>
      </c>
      <c r="L162" s="34" t="s">
        <v>814</v>
      </c>
      <c r="M162" s="37">
        <f>2478</f>
        <v>2478</v>
      </c>
      <c r="N162" s="34" t="s">
        <v>49</v>
      </c>
      <c r="O162" s="37">
        <f>2099</f>
        <v>2099</v>
      </c>
      <c r="P162" s="34" t="s">
        <v>95</v>
      </c>
      <c r="Q162" s="37">
        <f>2104</f>
        <v>2104</v>
      </c>
      <c r="R162" s="34" t="s">
        <v>95</v>
      </c>
      <c r="S162" s="36">
        <f>2383.67</f>
        <v>2383.67</v>
      </c>
      <c r="T162" s="33">
        <f>218806</f>
        <v>218806</v>
      </c>
      <c r="U162" s="33">
        <f>84065</f>
        <v>84065</v>
      </c>
      <c r="V162" s="33">
        <f>521533631</f>
        <v>521533631</v>
      </c>
      <c r="W162" s="33">
        <f>207385445</f>
        <v>207385445</v>
      </c>
      <c r="X162" s="35">
        <f>18</f>
        <v>18</v>
      </c>
    </row>
    <row r="163" spans="1:24">
      <c r="A163" s="29" t="s">
        <v>813</v>
      </c>
      <c r="B163" s="29" t="s">
        <v>532</v>
      </c>
      <c r="C163" s="29" t="s">
        <v>533</v>
      </c>
      <c r="D163" s="29" t="s">
        <v>534</v>
      </c>
      <c r="E163" s="30" t="s">
        <v>46</v>
      </c>
      <c r="F163" s="31" t="s">
        <v>46</v>
      </c>
      <c r="G163" s="32" t="s">
        <v>46</v>
      </c>
      <c r="H163" s="27"/>
      <c r="I163" s="27" t="s">
        <v>47</v>
      </c>
      <c r="J163" s="33">
        <v>1</v>
      </c>
      <c r="K163" s="37">
        <f>1918</f>
        <v>1918</v>
      </c>
      <c r="L163" s="34" t="s">
        <v>814</v>
      </c>
      <c r="M163" s="37">
        <f>1989</f>
        <v>1989</v>
      </c>
      <c r="N163" s="34" t="s">
        <v>48</v>
      </c>
      <c r="O163" s="37">
        <f>1747</f>
        <v>1747</v>
      </c>
      <c r="P163" s="34" t="s">
        <v>95</v>
      </c>
      <c r="Q163" s="37">
        <f>1751</f>
        <v>1751</v>
      </c>
      <c r="R163" s="34" t="s">
        <v>95</v>
      </c>
      <c r="S163" s="36">
        <f>1922.72</f>
        <v>1922.72</v>
      </c>
      <c r="T163" s="33">
        <f>140914</f>
        <v>140914</v>
      </c>
      <c r="U163" s="33">
        <f>296</f>
        <v>296</v>
      </c>
      <c r="V163" s="33">
        <f>268518358</f>
        <v>268518358</v>
      </c>
      <c r="W163" s="33">
        <f>542270</f>
        <v>542270</v>
      </c>
      <c r="X163" s="35">
        <f>18</f>
        <v>18</v>
      </c>
    </row>
    <row r="164" spans="1:24">
      <c r="A164" s="29" t="s">
        <v>813</v>
      </c>
      <c r="B164" s="29" t="s">
        <v>535</v>
      </c>
      <c r="C164" s="29" t="s">
        <v>536</v>
      </c>
      <c r="D164" s="29" t="s">
        <v>537</v>
      </c>
      <c r="E164" s="30" t="s">
        <v>46</v>
      </c>
      <c r="F164" s="31" t="s">
        <v>46</v>
      </c>
      <c r="G164" s="32" t="s">
        <v>46</v>
      </c>
      <c r="H164" s="27"/>
      <c r="I164" s="27" t="s">
        <v>47</v>
      </c>
      <c r="J164" s="33">
        <v>1</v>
      </c>
      <c r="K164" s="37">
        <f>2244</f>
        <v>2244</v>
      </c>
      <c r="L164" s="34" t="s">
        <v>814</v>
      </c>
      <c r="M164" s="37">
        <f>2404</f>
        <v>2404</v>
      </c>
      <c r="N164" s="34" t="s">
        <v>150</v>
      </c>
      <c r="O164" s="37">
        <f>2085</f>
        <v>2085</v>
      </c>
      <c r="P164" s="34" t="s">
        <v>95</v>
      </c>
      <c r="Q164" s="37">
        <f>2100</f>
        <v>2100</v>
      </c>
      <c r="R164" s="34" t="s">
        <v>95</v>
      </c>
      <c r="S164" s="36">
        <f>2303.78</f>
        <v>2303.7800000000002</v>
      </c>
      <c r="T164" s="33">
        <f>301047</f>
        <v>301047</v>
      </c>
      <c r="U164" s="33">
        <f>44500</f>
        <v>44500</v>
      </c>
      <c r="V164" s="33">
        <f>687195237</f>
        <v>687195237</v>
      </c>
      <c r="W164" s="33">
        <f>100840550</f>
        <v>100840550</v>
      </c>
      <c r="X164" s="35">
        <f>18</f>
        <v>18</v>
      </c>
    </row>
    <row r="165" spans="1:24">
      <c r="A165" s="29" t="s">
        <v>813</v>
      </c>
      <c r="B165" s="29" t="s">
        <v>538</v>
      </c>
      <c r="C165" s="29" t="s">
        <v>539</v>
      </c>
      <c r="D165" s="29" t="s">
        <v>540</v>
      </c>
      <c r="E165" s="30" t="s">
        <v>46</v>
      </c>
      <c r="F165" s="31" t="s">
        <v>46</v>
      </c>
      <c r="G165" s="32" t="s">
        <v>46</v>
      </c>
      <c r="H165" s="27"/>
      <c r="I165" s="27" t="s">
        <v>47</v>
      </c>
      <c r="J165" s="33">
        <v>1</v>
      </c>
      <c r="K165" s="37">
        <f>11630</f>
        <v>11630</v>
      </c>
      <c r="L165" s="34" t="s">
        <v>814</v>
      </c>
      <c r="M165" s="37">
        <f>11840</f>
        <v>11840</v>
      </c>
      <c r="N165" s="34" t="s">
        <v>150</v>
      </c>
      <c r="O165" s="37">
        <f>10550</f>
        <v>10550</v>
      </c>
      <c r="P165" s="34" t="s">
        <v>95</v>
      </c>
      <c r="Q165" s="37">
        <f>10590</f>
        <v>10590</v>
      </c>
      <c r="R165" s="34" t="s">
        <v>95</v>
      </c>
      <c r="S165" s="36">
        <f>11590.56</f>
        <v>11590.56</v>
      </c>
      <c r="T165" s="33">
        <f>15707</f>
        <v>15707</v>
      </c>
      <c r="U165" s="33">
        <f>4603</f>
        <v>4603</v>
      </c>
      <c r="V165" s="33">
        <f>178176260</f>
        <v>178176260</v>
      </c>
      <c r="W165" s="33">
        <f>50076260</f>
        <v>50076260</v>
      </c>
      <c r="X165" s="35">
        <f>18</f>
        <v>18</v>
      </c>
    </row>
    <row r="166" spans="1:24">
      <c r="A166" s="29" t="s">
        <v>813</v>
      </c>
      <c r="B166" s="29" t="s">
        <v>541</v>
      </c>
      <c r="C166" s="29" t="s">
        <v>542</v>
      </c>
      <c r="D166" s="29" t="s">
        <v>543</v>
      </c>
      <c r="E166" s="30" t="s">
        <v>46</v>
      </c>
      <c r="F166" s="31" t="s">
        <v>46</v>
      </c>
      <c r="G166" s="32" t="s">
        <v>46</v>
      </c>
      <c r="H166" s="27"/>
      <c r="I166" s="27" t="s">
        <v>47</v>
      </c>
      <c r="J166" s="33">
        <v>100</v>
      </c>
      <c r="K166" s="37">
        <f>134</f>
        <v>134</v>
      </c>
      <c r="L166" s="34" t="s">
        <v>814</v>
      </c>
      <c r="M166" s="37">
        <f>138</f>
        <v>138</v>
      </c>
      <c r="N166" s="34" t="s">
        <v>100</v>
      </c>
      <c r="O166" s="37">
        <f>123</f>
        <v>123</v>
      </c>
      <c r="P166" s="34" t="s">
        <v>95</v>
      </c>
      <c r="Q166" s="37">
        <f>123</f>
        <v>123</v>
      </c>
      <c r="R166" s="34" t="s">
        <v>95</v>
      </c>
      <c r="S166" s="36">
        <f>133.47</f>
        <v>133.47</v>
      </c>
      <c r="T166" s="33">
        <f>27200</f>
        <v>27200</v>
      </c>
      <c r="U166" s="33" t="str">
        <f>"－"</f>
        <v>－</v>
      </c>
      <c r="V166" s="33">
        <f>3557500</f>
        <v>3557500</v>
      </c>
      <c r="W166" s="33" t="str">
        <f>"－"</f>
        <v>－</v>
      </c>
      <c r="X166" s="35">
        <f>17</f>
        <v>17</v>
      </c>
    </row>
    <row r="167" spans="1:24">
      <c r="A167" s="29" t="s">
        <v>813</v>
      </c>
      <c r="B167" s="29" t="s">
        <v>544</v>
      </c>
      <c r="C167" s="29" t="s">
        <v>545</v>
      </c>
      <c r="D167" s="29" t="s">
        <v>546</v>
      </c>
      <c r="E167" s="30" t="s">
        <v>46</v>
      </c>
      <c r="F167" s="31" t="s">
        <v>46</v>
      </c>
      <c r="G167" s="32" t="s">
        <v>46</v>
      </c>
      <c r="H167" s="27"/>
      <c r="I167" s="27" t="s">
        <v>47</v>
      </c>
      <c r="J167" s="33">
        <v>1</v>
      </c>
      <c r="K167" s="37">
        <f>2296</f>
        <v>2296</v>
      </c>
      <c r="L167" s="34" t="s">
        <v>814</v>
      </c>
      <c r="M167" s="37">
        <f>2417</f>
        <v>2417</v>
      </c>
      <c r="N167" s="34" t="s">
        <v>150</v>
      </c>
      <c r="O167" s="37">
        <f>1988</f>
        <v>1988</v>
      </c>
      <c r="P167" s="34" t="s">
        <v>95</v>
      </c>
      <c r="Q167" s="37">
        <f>1996</f>
        <v>1996</v>
      </c>
      <c r="R167" s="34" t="s">
        <v>95</v>
      </c>
      <c r="S167" s="36">
        <f>2256.72</f>
        <v>2256.7199999999998</v>
      </c>
      <c r="T167" s="33">
        <f>5427137</f>
        <v>5427137</v>
      </c>
      <c r="U167" s="33">
        <f>140784</f>
        <v>140784</v>
      </c>
      <c r="V167" s="33">
        <f>12086887364</f>
        <v>12086887364</v>
      </c>
      <c r="W167" s="33">
        <f>314784959</f>
        <v>314784959</v>
      </c>
      <c r="X167" s="35">
        <f>18</f>
        <v>18</v>
      </c>
    </row>
    <row r="168" spans="1:24">
      <c r="A168" s="29" t="s">
        <v>813</v>
      </c>
      <c r="B168" s="29" t="s">
        <v>737</v>
      </c>
      <c r="C168" s="29" t="s">
        <v>738</v>
      </c>
      <c r="D168" s="29" t="s">
        <v>739</v>
      </c>
      <c r="E168" s="30" t="s">
        <v>46</v>
      </c>
      <c r="F168" s="31" t="s">
        <v>46</v>
      </c>
      <c r="G168" s="32" t="s">
        <v>46</v>
      </c>
      <c r="H168" s="27"/>
      <c r="I168" s="27" t="s">
        <v>47</v>
      </c>
      <c r="J168" s="33">
        <v>1</v>
      </c>
      <c r="K168" s="37">
        <f>16250</f>
        <v>16250</v>
      </c>
      <c r="L168" s="34" t="s">
        <v>814</v>
      </c>
      <c r="M168" s="37">
        <f>17970</f>
        <v>17970</v>
      </c>
      <c r="N168" s="34" t="s">
        <v>816</v>
      </c>
      <c r="O168" s="37">
        <f>15920</f>
        <v>15920</v>
      </c>
      <c r="P168" s="34" t="s">
        <v>814</v>
      </c>
      <c r="Q168" s="37">
        <f>16900</f>
        <v>16900</v>
      </c>
      <c r="R168" s="34" t="s">
        <v>95</v>
      </c>
      <c r="S168" s="36">
        <f>16628.89</f>
        <v>16628.89</v>
      </c>
      <c r="T168" s="33">
        <f>2937</f>
        <v>2937</v>
      </c>
      <c r="U168" s="33" t="str">
        <f>"－"</f>
        <v>－</v>
      </c>
      <c r="V168" s="33">
        <f>50017330</f>
        <v>50017330</v>
      </c>
      <c r="W168" s="33" t="str">
        <f>"－"</f>
        <v>－</v>
      </c>
      <c r="X168" s="35">
        <f>18</f>
        <v>18</v>
      </c>
    </row>
    <row r="169" spans="1:24">
      <c r="A169" s="29" t="s">
        <v>813</v>
      </c>
      <c r="B169" s="29" t="s">
        <v>740</v>
      </c>
      <c r="C169" s="29" t="s">
        <v>741</v>
      </c>
      <c r="D169" s="29" t="s">
        <v>742</v>
      </c>
      <c r="E169" s="30" t="s">
        <v>46</v>
      </c>
      <c r="F169" s="31" t="s">
        <v>46</v>
      </c>
      <c r="G169" s="32" t="s">
        <v>46</v>
      </c>
      <c r="H169" s="27"/>
      <c r="I169" s="27" t="s">
        <v>47</v>
      </c>
      <c r="J169" s="33">
        <v>10</v>
      </c>
      <c r="K169" s="37">
        <f>1599</f>
        <v>1599</v>
      </c>
      <c r="L169" s="34" t="s">
        <v>814</v>
      </c>
      <c r="M169" s="37">
        <f>1850</f>
        <v>1850</v>
      </c>
      <c r="N169" s="34" t="s">
        <v>150</v>
      </c>
      <c r="O169" s="37">
        <f>1580</f>
        <v>1580</v>
      </c>
      <c r="P169" s="34" t="s">
        <v>95</v>
      </c>
      <c r="Q169" s="37">
        <f>1650</f>
        <v>1650</v>
      </c>
      <c r="R169" s="34" t="s">
        <v>95</v>
      </c>
      <c r="S169" s="36">
        <f>1682.54</f>
        <v>1682.54</v>
      </c>
      <c r="T169" s="33">
        <f>2430</f>
        <v>2430</v>
      </c>
      <c r="U169" s="33" t="str">
        <f>"－"</f>
        <v>－</v>
      </c>
      <c r="V169" s="33">
        <f>4302000</f>
        <v>4302000</v>
      </c>
      <c r="W169" s="33" t="str">
        <f>"－"</f>
        <v>－</v>
      </c>
      <c r="X169" s="35">
        <f>13</f>
        <v>13</v>
      </c>
    </row>
    <row r="170" spans="1:24">
      <c r="A170" s="29" t="s">
        <v>813</v>
      </c>
      <c r="B170" s="29" t="s">
        <v>743</v>
      </c>
      <c r="C170" s="29" t="s">
        <v>744</v>
      </c>
      <c r="D170" s="29" t="s">
        <v>745</v>
      </c>
      <c r="E170" s="30" t="s">
        <v>46</v>
      </c>
      <c r="F170" s="31" t="s">
        <v>46</v>
      </c>
      <c r="G170" s="32" t="s">
        <v>46</v>
      </c>
      <c r="H170" s="27"/>
      <c r="I170" s="27" t="s">
        <v>47</v>
      </c>
      <c r="J170" s="33">
        <v>1</v>
      </c>
      <c r="K170" s="37">
        <f>9800</f>
        <v>9800</v>
      </c>
      <c r="L170" s="34" t="s">
        <v>814</v>
      </c>
      <c r="M170" s="37">
        <f>10160</f>
        <v>10160</v>
      </c>
      <c r="N170" s="34" t="s">
        <v>100</v>
      </c>
      <c r="O170" s="37">
        <f>8900</f>
        <v>8900</v>
      </c>
      <c r="P170" s="34" t="s">
        <v>95</v>
      </c>
      <c r="Q170" s="37">
        <f>8900</f>
        <v>8900</v>
      </c>
      <c r="R170" s="34" t="s">
        <v>95</v>
      </c>
      <c r="S170" s="36">
        <f>9696.88</f>
        <v>9696.8799999999992</v>
      </c>
      <c r="T170" s="33">
        <f>426</f>
        <v>426</v>
      </c>
      <c r="U170" s="33" t="str">
        <f>"－"</f>
        <v>－</v>
      </c>
      <c r="V170" s="33">
        <f>3915410</f>
        <v>3915410</v>
      </c>
      <c r="W170" s="33" t="str">
        <f>"－"</f>
        <v>－</v>
      </c>
      <c r="X170" s="35">
        <f>16</f>
        <v>16</v>
      </c>
    </row>
    <row r="171" spans="1:24">
      <c r="A171" s="29" t="s">
        <v>813</v>
      </c>
      <c r="B171" s="29" t="s">
        <v>746</v>
      </c>
      <c r="C171" s="29" t="s">
        <v>747</v>
      </c>
      <c r="D171" s="29" t="s">
        <v>748</v>
      </c>
      <c r="E171" s="30" t="s">
        <v>46</v>
      </c>
      <c r="F171" s="31" t="s">
        <v>46</v>
      </c>
      <c r="G171" s="32" t="s">
        <v>46</v>
      </c>
      <c r="H171" s="27"/>
      <c r="I171" s="27" t="s">
        <v>47</v>
      </c>
      <c r="J171" s="33">
        <v>1</v>
      </c>
      <c r="K171" s="37">
        <f>28800</f>
        <v>28800</v>
      </c>
      <c r="L171" s="34" t="s">
        <v>814</v>
      </c>
      <c r="M171" s="37">
        <f>31400</f>
        <v>31400</v>
      </c>
      <c r="N171" s="34" t="s">
        <v>48</v>
      </c>
      <c r="O171" s="37">
        <f>25870</f>
        <v>25870</v>
      </c>
      <c r="P171" s="34" t="s">
        <v>818</v>
      </c>
      <c r="Q171" s="37">
        <f>28540</f>
        <v>28540</v>
      </c>
      <c r="R171" s="34" t="s">
        <v>95</v>
      </c>
      <c r="S171" s="36">
        <f>28895</f>
        <v>28895</v>
      </c>
      <c r="T171" s="33">
        <f>565</f>
        <v>565</v>
      </c>
      <c r="U171" s="33" t="str">
        <f>"－"</f>
        <v>－</v>
      </c>
      <c r="V171" s="33">
        <f>16265960</f>
        <v>16265960</v>
      </c>
      <c r="W171" s="33" t="str">
        <f>"－"</f>
        <v>－</v>
      </c>
      <c r="X171" s="35">
        <f>18</f>
        <v>18</v>
      </c>
    </row>
    <row r="172" spans="1:24">
      <c r="A172" s="29" t="s">
        <v>813</v>
      </c>
      <c r="B172" s="29" t="s">
        <v>749</v>
      </c>
      <c r="C172" s="29" t="s">
        <v>750</v>
      </c>
      <c r="D172" s="29" t="s">
        <v>751</v>
      </c>
      <c r="E172" s="30" t="s">
        <v>46</v>
      </c>
      <c r="F172" s="31" t="s">
        <v>46</v>
      </c>
      <c r="G172" s="32" t="s">
        <v>46</v>
      </c>
      <c r="H172" s="27"/>
      <c r="I172" s="27" t="s">
        <v>47</v>
      </c>
      <c r="J172" s="33">
        <v>1</v>
      </c>
      <c r="K172" s="37">
        <f>13390</f>
        <v>13390</v>
      </c>
      <c r="L172" s="34" t="s">
        <v>818</v>
      </c>
      <c r="M172" s="37">
        <f>16300</f>
        <v>16300</v>
      </c>
      <c r="N172" s="34" t="s">
        <v>150</v>
      </c>
      <c r="O172" s="37">
        <f>13390</f>
        <v>13390</v>
      </c>
      <c r="P172" s="34" t="s">
        <v>818</v>
      </c>
      <c r="Q172" s="37">
        <f>14800</f>
        <v>14800</v>
      </c>
      <c r="R172" s="34" t="s">
        <v>95</v>
      </c>
      <c r="S172" s="36">
        <f>14900</f>
        <v>14900</v>
      </c>
      <c r="T172" s="33">
        <f>16</f>
        <v>16</v>
      </c>
      <c r="U172" s="33" t="str">
        <f>"－"</f>
        <v>－</v>
      </c>
      <c r="V172" s="33">
        <f>244350</f>
        <v>244350</v>
      </c>
      <c r="W172" s="33" t="str">
        <f>"－"</f>
        <v>－</v>
      </c>
      <c r="X172" s="35">
        <f>6</f>
        <v>6</v>
      </c>
    </row>
    <row r="173" spans="1:24">
      <c r="A173" s="29" t="s">
        <v>813</v>
      </c>
      <c r="B173" s="29" t="s">
        <v>547</v>
      </c>
      <c r="C173" s="29" t="s">
        <v>548</v>
      </c>
      <c r="D173" s="29" t="s">
        <v>549</v>
      </c>
      <c r="E173" s="30" t="s">
        <v>46</v>
      </c>
      <c r="F173" s="31" t="s">
        <v>46</v>
      </c>
      <c r="G173" s="32" t="s">
        <v>46</v>
      </c>
      <c r="H173" s="27"/>
      <c r="I173" s="27" t="s">
        <v>47</v>
      </c>
      <c r="J173" s="33">
        <v>10</v>
      </c>
      <c r="K173" s="37">
        <f>50500</f>
        <v>50500</v>
      </c>
      <c r="L173" s="34" t="s">
        <v>814</v>
      </c>
      <c r="M173" s="37">
        <f>51600</f>
        <v>51600</v>
      </c>
      <c r="N173" s="34" t="s">
        <v>150</v>
      </c>
      <c r="O173" s="37">
        <f>50400</f>
        <v>50400</v>
      </c>
      <c r="P173" s="34" t="s">
        <v>814</v>
      </c>
      <c r="Q173" s="37">
        <f>50700</f>
        <v>50700</v>
      </c>
      <c r="R173" s="34" t="s">
        <v>95</v>
      </c>
      <c r="S173" s="36">
        <f>50700</f>
        <v>50700</v>
      </c>
      <c r="T173" s="33">
        <f>7910</f>
        <v>7910</v>
      </c>
      <c r="U173" s="33">
        <f>1000</f>
        <v>1000</v>
      </c>
      <c r="V173" s="33">
        <f>401775000</f>
        <v>401775000</v>
      </c>
      <c r="W173" s="33">
        <f>50482000</f>
        <v>50482000</v>
      </c>
      <c r="X173" s="35">
        <f>18</f>
        <v>18</v>
      </c>
    </row>
    <row r="174" spans="1:24">
      <c r="A174" s="29" t="s">
        <v>813</v>
      </c>
      <c r="B174" s="29" t="s">
        <v>550</v>
      </c>
      <c r="C174" s="29" t="s">
        <v>551</v>
      </c>
      <c r="D174" s="29" t="s">
        <v>552</v>
      </c>
      <c r="E174" s="30" t="s">
        <v>46</v>
      </c>
      <c r="F174" s="31" t="s">
        <v>46</v>
      </c>
      <c r="G174" s="32" t="s">
        <v>46</v>
      </c>
      <c r="H174" s="27"/>
      <c r="I174" s="27" t="s">
        <v>47</v>
      </c>
      <c r="J174" s="33">
        <v>100</v>
      </c>
      <c r="K174" s="37">
        <f>158</f>
        <v>158</v>
      </c>
      <c r="L174" s="34" t="s">
        <v>814</v>
      </c>
      <c r="M174" s="37">
        <f>166</f>
        <v>166</v>
      </c>
      <c r="N174" s="34" t="s">
        <v>100</v>
      </c>
      <c r="O174" s="37">
        <f>150</f>
        <v>150</v>
      </c>
      <c r="P174" s="34" t="s">
        <v>95</v>
      </c>
      <c r="Q174" s="37">
        <f>150</f>
        <v>150</v>
      </c>
      <c r="R174" s="34" t="s">
        <v>95</v>
      </c>
      <c r="S174" s="36">
        <f>161.11</f>
        <v>161.11000000000001</v>
      </c>
      <c r="T174" s="33">
        <f>3104600</f>
        <v>3104600</v>
      </c>
      <c r="U174" s="33">
        <f>16600</f>
        <v>16600</v>
      </c>
      <c r="V174" s="33">
        <f>497919112</f>
        <v>497919112</v>
      </c>
      <c r="W174" s="33">
        <f>2649412</f>
        <v>2649412</v>
      </c>
      <c r="X174" s="35">
        <f>18</f>
        <v>18</v>
      </c>
    </row>
    <row r="175" spans="1:24">
      <c r="A175" s="29" t="s">
        <v>813</v>
      </c>
      <c r="B175" s="29" t="s">
        <v>553</v>
      </c>
      <c r="C175" s="29" t="s">
        <v>554</v>
      </c>
      <c r="D175" s="29" t="s">
        <v>555</v>
      </c>
      <c r="E175" s="30" t="s">
        <v>46</v>
      </c>
      <c r="F175" s="31" t="s">
        <v>46</v>
      </c>
      <c r="G175" s="32" t="s">
        <v>46</v>
      </c>
      <c r="H175" s="27"/>
      <c r="I175" s="27" t="s">
        <v>47</v>
      </c>
      <c r="J175" s="33">
        <v>10</v>
      </c>
      <c r="K175" s="37">
        <f>27590</f>
        <v>27590</v>
      </c>
      <c r="L175" s="34" t="s">
        <v>814</v>
      </c>
      <c r="M175" s="37">
        <f>29340</f>
        <v>29340</v>
      </c>
      <c r="N175" s="34" t="s">
        <v>150</v>
      </c>
      <c r="O175" s="37">
        <f>24700</f>
        <v>24700</v>
      </c>
      <c r="P175" s="34" t="s">
        <v>95</v>
      </c>
      <c r="Q175" s="37">
        <f>24750</f>
        <v>24750</v>
      </c>
      <c r="R175" s="34" t="s">
        <v>95</v>
      </c>
      <c r="S175" s="36">
        <f>28201.11</f>
        <v>28201.11</v>
      </c>
      <c r="T175" s="33">
        <f>13810</f>
        <v>13810</v>
      </c>
      <c r="U175" s="33" t="str">
        <f>"－"</f>
        <v>－</v>
      </c>
      <c r="V175" s="33">
        <f>378689900</f>
        <v>378689900</v>
      </c>
      <c r="W175" s="33" t="str">
        <f>"－"</f>
        <v>－</v>
      </c>
      <c r="X175" s="35">
        <f>18</f>
        <v>18</v>
      </c>
    </row>
    <row r="176" spans="1:24">
      <c r="A176" s="29" t="s">
        <v>813</v>
      </c>
      <c r="B176" s="29" t="s">
        <v>556</v>
      </c>
      <c r="C176" s="29" t="s">
        <v>557</v>
      </c>
      <c r="D176" s="29" t="s">
        <v>558</v>
      </c>
      <c r="E176" s="30" t="s">
        <v>46</v>
      </c>
      <c r="F176" s="31" t="s">
        <v>46</v>
      </c>
      <c r="G176" s="32" t="s">
        <v>46</v>
      </c>
      <c r="H176" s="27"/>
      <c r="I176" s="27" t="s">
        <v>47</v>
      </c>
      <c r="J176" s="33">
        <v>10</v>
      </c>
      <c r="K176" s="37">
        <f>2626</f>
        <v>2626</v>
      </c>
      <c r="L176" s="34" t="s">
        <v>814</v>
      </c>
      <c r="M176" s="37">
        <f>2800</f>
        <v>2800</v>
      </c>
      <c r="N176" s="34" t="s">
        <v>150</v>
      </c>
      <c r="O176" s="37">
        <f>2381</f>
        <v>2381</v>
      </c>
      <c r="P176" s="34" t="s">
        <v>95</v>
      </c>
      <c r="Q176" s="37">
        <f>2393</f>
        <v>2393</v>
      </c>
      <c r="R176" s="34" t="s">
        <v>95</v>
      </c>
      <c r="S176" s="36">
        <f>2690.33</f>
        <v>2690.33</v>
      </c>
      <c r="T176" s="33">
        <f>356980</f>
        <v>356980</v>
      </c>
      <c r="U176" s="33">
        <f>207320</f>
        <v>207320</v>
      </c>
      <c r="V176" s="33">
        <f>961442470</f>
        <v>961442470</v>
      </c>
      <c r="W176" s="33">
        <f>566374260</f>
        <v>566374260</v>
      </c>
      <c r="X176" s="35">
        <f>18</f>
        <v>18</v>
      </c>
    </row>
    <row r="177" spans="1:24">
      <c r="A177" s="29" t="s">
        <v>813</v>
      </c>
      <c r="B177" s="29" t="s">
        <v>559</v>
      </c>
      <c r="C177" s="29" t="s">
        <v>560</v>
      </c>
      <c r="D177" s="29" t="s">
        <v>561</v>
      </c>
      <c r="E177" s="30" t="s">
        <v>46</v>
      </c>
      <c r="F177" s="31" t="s">
        <v>46</v>
      </c>
      <c r="G177" s="32" t="s">
        <v>46</v>
      </c>
      <c r="H177" s="27"/>
      <c r="I177" s="27" t="s">
        <v>47</v>
      </c>
      <c r="J177" s="33">
        <v>10</v>
      </c>
      <c r="K177" s="37">
        <f>1410</f>
        <v>1410</v>
      </c>
      <c r="L177" s="34" t="s">
        <v>814</v>
      </c>
      <c r="M177" s="37">
        <f>1518</f>
        <v>1518</v>
      </c>
      <c r="N177" s="34" t="s">
        <v>49</v>
      </c>
      <c r="O177" s="37">
        <f>1348</f>
        <v>1348</v>
      </c>
      <c r="P177" s="34" t="s">
        <v>95</v>
      </c>
      <c r="Q177" s="37">
        <f>1363</f>
        <v>1363</v>
      </c>
      <c r="R177" s="34" t="s">
        <v>95</v>
      </c>
      <c r="S177" s="36">
        <f>1470.28</f>
        <v>1470.28</v>
      </c>
      <c r="T177" s="33">
        <f>108670</f>
        <v>108670</v>
      </c>
      <c r="U177" s="33" t="str">
        <f>"－"</f>
        <v>－</v>
      </c>
      <c r="V177" s="33">
        <f>158248480</f>
        <v>158248480</v>
      </c>
      <c r="W177" s="33" t="str">
        <f>"－"</f>
        <v>－</v>
      </c>
      <c r="X177" s="35">
        <f>18</f>
        <v>18</v>
      </c>
    </row>
    <row r="178" spans="1:24">
      <c r="A178" s="29" t="s">
        <v>813</v>
      </c>
      <c r="B178" s="29" t="s">
        <v>562</v>
      </c>
      <c r="C178" s="29" t="s">
        <v>563</v>
      </c>
      <c r="D178" s="29" t="s">
        <v>564</v>
      </c>
      <c r="E178" s="30" t="s">
        <v>46</v>
      </c>
      <c r="F178" s="31" t="s">
        <v>46</v>
      </c>
      <c r="G178" s="32" t="s">
        <v>46</v>
      </c>
      <c r="H178" s="27"/>
      <c r="I178" s="27" t="s">
        <v>47</v>
      </c>
      <c r="J178" s="33">
        <v>100</v>
      </c>
      <c r="K178" s="37">
        <f>177</f>
        <v>177</v>
      </c>
      <c r="L178" s="34" t="s">
        <v>814</v>
      </c>
      <c r="M178" s="37">
        <f>192</f>
        <v>192</v>
      </c>
      <c r="N178" s="34" t="s">
        <v>49</v>
      </c>
      <c r="O178" s="37">
        <f>166</f>
        <v>166</v>
      </c>
      <c r="P178" s="34" t="s">
        <v>95</v>
      </c>
      <c r="Q178" s="37">
        <f>167</f>
        <v>167</v>
      </c>
      <c r="R178" s="34" t="s">
        <v>95</v>
      </c>
      <c r="S178" s="36">
        <f>181.22</f>
        <v>181.22</v>
      </c>
      <c r="T178" s="33">
        <f>233300</f>
        <v>233300</v>
      </c>
      <c r="U178" s="33" t="str">
        <f>"－"</f>
        <v>－</v>
      </c>
      <c r="V178" s="33">
        <f>42687900</f>
        <v>42687900</v>
      </c>
      <c r="W178" s="33" t="str">
        <f>"－"</f>
        <v>－</v>
      </c>
      <c r="X178" s="35">
        <f>18</f>
        <v>18</v>
      </c>
    </row>
    <row r="179" spans="1:24">
      <c r="A179" s="29" t="s">
        <v>813</v>
      </c>
      <c r="B179" s="29" t="s">
        <v>565</v>
      </c>
      <c r="C179" s="29" t="s">
        <v>566</v>
      </c>
      <c r="D179" s="29" t="s">
        <v>567</v>
      </c>
      <c r="E179" s="30" t="s">
        <v>46</v>
      </c>
      <c r="F179" s="31" t="s">
        <v>46</v>
      </c>
      <c r="G179" s="32" t="s">
        <v>46</v>
      </c>
      <c r="H179" s="27"/>
      <c r="I179" s="27" t="s">
        <v>47</v>
      </c>
      <c r="J179" s="33">
        <v>10</v>
      </c>
      <c r="K179" s="37">
        <f>4300</f>
        <v>4300</v>
      </c>
      <c r="L179" s="34" t="s">
        <v>100</v>
      </c>
      <c r="M179" s="37">
        <f>4435</f>
        <v>4435</v>
      </c>
      <c r="N179" s="34" t="s">
        <v>816</v>
      </c>
      <c r="O179" s="37">
        <f>4300</f>
        <v>4300</v>
      </c>
      <c r="P179" s="34" t="s">
        <v>100</v>
      </c>
      <c r="Q179" s="37">
        <f>4390</f>
        <v>4390</v>
      </c>
      <c r="R179" s="34" t="s">
        <v>95</v>
      </c>
      <c r="S179" s="36">
        <f>4344.44</f>
        <v>4344.4399999999996</v>
      </c>
      <c r="T179" s="33">
        <f>670</f>
        <v>670</v>
      </c>
      <c r="U179" s="33" t="str">
        <f>"－"</f>
        <v>－</v>
      </c>
      <c r="V179" s="33">
        <f>2918550</f>
        <v>2918550</v>
      </c>
      <c r="W179" s="33" t="str">
        <f>"－"</f>
        <v>－</v>
      </c>
      <c r="X179" s="35">
        <f>9</f>
        <v>9</v>
      </c>
    </row>
    <row r="180" spans="1:24">
      <c r="A180" s="29" t="s">
        <v>813</v>
      </c>
      <c r="B180" s="29" t="s">
        <v>752</v>
      </c>
      <c r="C180" s="29" t="s">
        <v>753</v>
      </c>
      <c r="D180" s="29" t="s">
        <v>754</v>
      </c>
      <c r="E180" s="30" t="s">
        <v>46</v>
      </c>
      <c r="F180" s="31" t="s">
        <v>46</v>
      </c>
      <c r="G180" s="32" t="s">
        <v>46</v>
      </c>
      <c r="H180" s="27"/>
      <c r="I180" s="27" t="s">
        <v>47</v>
      </c>
      <c r="J180" s="33">
        <v>10</v>
      </c>
      <c r="K180" s="37">
        <f>835</f>
        <v>835</v>
      </c>
      <c r="L180" s="34" t="s">
        <v>814</v>
      </c>
      <c r="M180" s="37">
        <f>835</f>
        <v>835</v>
      </c>
      <c r="N180" s="34" t="s">
        <v>814</v>
      </c>
      <c r="O180" s="37">
        <f>835</f>
        <v>835</v>
      </c>
      <c r="P180" s="34" t="s">
        <v>814</v>
      </c>
      <c r="Q180" s="37">
        <f>835</f>
        <v>835</v>
      </c>
      <c r="R180" s="34" t="s">
        <v>814</v>
      </c>
      <c r="S180" s="36">
        <f>835</f>
        <v>835</v>
      </c>
      <c r="T180" s="33">
        <f>120</f>
        <v>120</v>
      </c>
      <c r="U180" s="33" t="str">
        <f t="shared" ref="U180:U193" si="4">"－"</f>
        <v>－</v>
      </c>
      <c r="V180" s="33">
        <f>100200</f>
        <v>100200</v>
      </c>
      <c r="W180" s="33" t="str">
        <f t="shared" ref="W180:W193" si="5">"－"</f>
        <v>－</v>
      </c>
      <c r="X180" s="35">
        <f>1</f>
        <v>1</v>
      </c>
    </row>
    <row r="181" spans="1:24">
      <c r="A181" s="29" t="s">
        <v>813</v>
      </c>
      <c r="B181" s="29" t="s">
        <v>755</v>
      </c>
      <c r="C181" s="29" t="s">
        <v>756</v>
      </c>
      <c r="D181" s="29" t="s">
        <v>757</v>
      </c>
      <c r="E181" s="30" t="s">
        <v>46</v>
      </c>
      <c r="F181" s="31" t="s">
        <v>46</v>
      </c>
      <c r="G181" s="32" t="s">
        <v>46</v>
      </c>
      <c r="H181" s="27"/>
      <c r="I181" s="27" t="s">
        <v>47</v>
      </c>
      <c r="J181" s="33">
        <v>10</v>
      </c>
      <c r="K181" s="37">
        <f>349</f>
        <v>349</v>
      </c>
      <c r="L181" s="34" t="s">
        <v>814</v>
      </c>
      <c r="M181" s="37">
        <f>349</f>
        <v>349</v>
      </c>
      <c r="N181" s="34" t="s">
        <v>814</v>
      </c>
      <c r="O181" s="37">
        <f>311</f>
        <v>311</v>
      </c>
      <c r="P181" s="34" t="s">
        <v>821</v>
      </c>
      <c r="Q181" s="37">
        <f>311</f>
        <v>311</v>
      </c>
      <c r="R181" s="34" t="s">
        <v>91</v>
      </c>
      <c r="S181" s="36">
        <f>331.43</f>
        <v>331.43</v>
      </c>
      <c r="T181" s="33">
        <f>420</f>
        <v>420</v>
      </c>
      <c r="U181" s="33" t="str">
        <f t="shared" si="4"/>
        <v>－</v>
      </c>
      <c r="V181" s="33">
        <f>143300</f>
        <v>143300</v>
      </c>
      <c r="W181" s="33" t="str">
        <f t="shared" si="5"/>
        <v>－</v>
      </c>
      <c r="X181" s="35">
        <f>7</f>
        <v>7</v>
      </c>
    </row>
    <row r="182" spans="1:24">
      <c r="A182" s="29" t="s">
        <v>813</v>
      </c>
      <c r="B182" s="29" t="s">
        <v>758</v>
      </c>
      <c r="C182" s="29" t="s">
        <v>759</v>
      </c>
      <c r="D182" s="29" t="s">
        <v>760</v>
      </c>
      <c r="E182" s="30" t="s">
        <v>46</v>
      </c>
      <c r="F182" s="31" t="s">
        <v>46</v>
      </c>
      <c r="G182" s="32" t="s">
        <v>46</v>
      </c>
      <c r="H182" s="27"/>
      <c r="I182" s="27" t="s">
        <v>47</v>
      </c>
      <c r="J182" s="33">
        <v>10</v>
      </c>
      <c r="K182" s="37">
        <f>1022</f>
        <v>1022</v>
      </c>
      <c r="L182" s="34" t="s">
        <v>818</v>
      </c>
      <c r="M182" s="37">
        <f>1215</f>
        <v>1215</v>
      </c>
      <c r="N182" s="34" t="s">
        <v>100</v>
      </c>
      <c r="O182" s="37">
        <f>1022</f>
        <v>1022</v>
      </c>
      <c r="P182" s="34" t="s">
        <v>818</v>
      </c>
      <c r="Q182" s="37">
        <f>1181</f>
        <v>1181</v>
      </c>
      <c r="R182" s="34" t="s">
        <v>91</v>
      </c>
      <c r="S182" s="36">
        <f>1154.75</f>
        <v>1154.75</v>
      </c>
      <c r="T182" s="33">
        <f>110</f>
        <v>110</v>
      </c>
      <c r="U182" s="33" t="str">
        <f t="shared" si="4"/>
        <v>－</v>
      </c>
      <c r="V182" s="33">
        <f>117790</f>
        <v>117790</v>
      </c>
      <c r="W182" s="33" t="str">
        <f t="shared" si="5"/>
        <v>－</v>
      </c>
      <c r="X182" s="35">
        <f>4</f>
        <v>4</v>
      </c>
    </row>
    <row r="183" spans="1:24">
      <c r="A183" s="29" t="s">
        <v>813</v>
      </c>
      <c r="B183" s="29" t="s">
        <v>761</v>
      </c>
      <c r="C183" s="29" t="s">
        <v>762</v>
      </c>
      <c r="D183" s="29" t="s">
        <v>763</v>
      </c>
      <c r="E183" s="30" t="s">
        <v>46</v>
      </c>
      <c r="F183" s="31" t="s">
        <v>46</v>
      </c>
      <c r="G183" s="32" t="s">
        <v>46</v>
      </c>
      <c r="H183" s="27"/>
      <c r="I183" s="27" t="s">
        <v>47</v>
      </c>
      <c r="J183" s="33">
        <v>10</v>
      </c>
      <c r="K183" s="37">
        <f>406</f>
        <v>406</v>
      </c>
      <c r="L183" s="34" t="s">
        <v>814</v>
      </c>
      <c r="M183" s="37">
        <f>456</f>
        <v>456</v>
      </c>
      <c r="N183" s="34" t="s">
        <v>95</v>
      </c>
      <c r="O183" s="37">
        <f>401</f>
        <v>401</v>
      </c>
      <c r="P183" s="34" t="s">
        <v>818</v>
      </c>
      <c r="Q183" s="37">
        <f>430</f>
        <v>430</v>
      </c>
      <c r="R183" s="34" t="s">
        <v>95</v>
      </c>
      <c r="S183" s="36">
        <f>417</f>
        <v>417</v>
      </c>
      <c r="T183" s="33">
        <f>4710</f>
        <v>4710</v>
      </c>
      <c r="U183" s="33" t="str">
        <f t="shared" si="4"/>
        <v>－</v>
      </c>
      <c r="V183" s="33">
        <f>1993460</f>
        <v>1993460</v>
      </c>
      <c r="W183" s="33" t="str">
        <f t="shared" si="5"/>
        <v>－</v>
      </c>
      <c r="X183" s="35">
        <f>18</f>
        <v>18</v>
      </c>
    </row>
    <row r="184" spans="1:24">
      <c r="A184" s="29" t="s">
        <v>813</v>
      </c>
      <c r="B184" s="29" t="s">
        <v>764</v>
      </c>
      <c r="C184" s="29" t="s">
        <v>765</v>
      </c>
      <c r="D184" s="29" t="s">
        <v>766</v>
      </c>
      <c r="E184" s="30" t="s">
        <v>46</v>
      </c>
      <c r="F184" s="31" t="s">
        <v>46</v>
      </c>
      <c r="G184" s="32" t="s">
        <v>46</v>
      </c>
      <c r="H184" s="27"/>
      <c r="I184" s="27" t="s">
        <v>47</v>
      </c>
      <c r="J184" s="33">
        <v>10</v>
      </c>
      <c r="K184" s="37">
        <f>315</f>
        <v>315</v>
      </c>
      <c r="L184" s="34" t="s">
        <v>814</v>
      </c>
      <c r="M184" s="37">
        <f>340</f>
        <v>340</v>
      </c>
      <c r="N184" s="34" t="s">
        <v>150</v>
      </c>
      <c r="O184" s="37">
        <f>313</f>
        <v>313</v>
      </c>
      <c r="P184" s="34" t="s">
        <v>95</v>
      </c>
      <c r="Q184" s="37">
        <f>313</f>
        <v>313</v>
      </c>
      <c r="R184" s="34" t="s">
        <v>95</v>
      </c>
      <c r="S184" s="36">
        <f>322.2</f>
        <v>322.2</v>
      </c>
      <c r="T184" s="33">
        <f>8720</f>
        <v>8720</v>
      </c>
      <c r="U184" s="33" t="str">
        <f t="shared" si="4"/>
        <v>－</v>
      </c>
      <c r="V184" s="33">
        <f>2811100</f>
        <v>2811100</v>
      </c>
      <c r="W184" s="33" t="str">
        <f t="shared" si="5"/>
        <v>－</v>
      </c>
      <c r="X184" s="35">
        <f>15</f>
        <v>15</v>
      </c>
    </row>
    <row r="185" spans="1:24">
      <c r="A185" s="29" t="s">
        <v>813</v>
      </c>
      <c r="B185" s="29" t="s">
        <v>767</v>
      </c>
      <c r="C185" s="29" t="s">
        <v>768</v>
      </c>
      <c r="D185" s="29" t="s">
        <v>769</v>
      </c>
      <c r="E185" s="30" t="s">
        <v>46</v>
      </c>
      <c r="F185" s="31" t="s">
        <v>46</v>
      </c>
      <c r="G185" s="32" t="s">
        <v>46</v>
      </c>
      <c r="H185" s="27"/>
      <c r="I185" s="27" t="s">
        <v>47</v>
      </c>
      <c r="J185" s="33">
        <v>100</v>
      </c>
      <c r="K185" s="37">
        <f>2</f>
        <v>2</v>
      </c>
      <c r="L185" s="34" t="s">
        <v>814</v>
      </c>
      <c r="M185" s="37">
        <f>3</f>
        <v>3</v>
      </c>
      <c r="N185" s="34" t="s">
        <v>817</v>
      </c>
      <c r="O185" s="37">
        <f>1</f>
        <v>1</v>
      </c>
      <c r="P185" s="34" t="s">
        <v>814</v>
      </c>
      <c r="Q185" s="37">
        <f>2</f>
        <v>2</v>
      </c>
      <c r="R185" s="34" t="s">
        <v>95</v>
      </c>
      <c r="S185" s="36">
        <f>2</f>
        <v>2</v>
      </c>
      <c r="T185" s="33">
        <f>312526200</f>
        <v>312526200</v>
      </c>
      <c r="U185" s="33" t="str">
        <f t="shared" si="4"/>
        <v>－</v>
      </c>
      <c r="V185" s="33">
        <f>632847600</f>
        <v>632847600</v>
      </c>
      <c r="W185" s="33" t="str">
        <f t="shared" si="5"/>
        <v>－</v>
      </c>
      <c r="X185" s="35">
        <f>18</f>
        <v>18</v>
      </c>
    </row>
    <row r="186" spans="1:24">
      <c r="A186" s="29" t="s">
        <v>813</v>
      </c>
      <c r="B186" s="29" t="s">
        <v>770</v>
      </c>
      <c r="C186" s="29" t="s">
        <v>771</v>
      </c>
      <c r="D186" s="29" t="s">
        <v>772</v>
      </c>
      <c r="E186" s="30" t="s">
        <v>46</v>
      </c>
      <c r="F186" s="31" t="s">
        <v>46</v>
      </c>
      <c r="G186" s="32" t="s">
        <v>46</v>
      </c>
      <c r="H186" s="27"/>
      <c r="I186" s="27" t="s">
        <v>47</v>
      </c>
      <c r="J186" s="33">
        <v>10</v>
      </c>
      <c r="K186" s="37">
        <f>849</f>
        <v>849</v>
      </c>
      <c r="L186" s="34" t="s">
        <v>814</v>
      </c>
      <c r="M186" s="37">
        <f>887</f>
        <v>887</v>
      </c>
      <c r="N186" s="34" t="s">
        <v>150</v>
      </c>
      <c r="O186" s="37">
        <f>777</f>
        <v>777</v>
      </c>
      <c r="P186" s="34" t="s">
        <v>95</v>
      </c>
      <c r="Q186" s="37">
        <f>777</f>
        <v>777</v>
      </c>
      <c r="R186" s="34" t="s">
        <v>95</v>
      </c>
      <c r="S186" s="36">
        <f>844.44</f>
        <v>844.44</v>
      </c>
      <c r="T186" s="33">
        <f>42200</f>
        <v>42200</v>
      </c>
      <c r="U186" s="33" t="str">
        <f t="shared" si="4"/>
        <v>－</v>
      </c>
      <c r="V186" s="33">
        <f>35201180</f>
        <v>35201180</v>
      </c>
      <c r="W186" s="33" t="str">
        <f t="shared" si="5"/>
        <v>－</v>
      </c>
      <c r="X186" s="35">
        <f>18</f>
        <v>18</v>
      </c>
    </row>
    <row r="187" spans="1:24">
      <c r="A187" s="29" t="s">
        <v>813</v>
      </c>
      <c r="B187" s="29" t="s">
        <v>773</v>
      </c>
      <c r="C187" s="29" t="s">
        <v>774</v>
      </c>
      <c r="D187" s="29" t="s">
        <v>775</v>
      </c>
      <c r="E187" s="30" t="s">
        <v>46</v>
      </c>
      <c r="F187" s="31" t="s">
        <v>46</v>
      </c>
      <c r="G187" s="32" t="s">
        <v>46</v>
      </c>
      <c r="H187" s="27"/>
      <c r="I187" s="27" t="s">
        <v>47</v>
      </c>
      <c r="J187" s="33">
        <v>1</v>
      </c>
      <c r="K187" s="37">
        <f>2758</f>
        <v>2758</v>
      </c>
      <c r="L187" s="34" t="s">
        <v>814</v>
      </c>
      <c r="M187" s="37">
        <f>2758</f>
        <v>2758</v>
      </c>
      <c r="N187" s="34" t="s">
        <v>814</v>
      </c>
      <c r="O187" s="37">
        <f>2250</f>
        <v>2250</v>
      </c>
      <c r="P187" s="34" t="s">
        <v>95</v>
      </c>
      <c r="Q187" s="37">
        <f>2398</f>
        <v>2398</v>
      </c>
      <c r="R187" s="34" t="s">
        <v>95</v>
      </c>
      <c r="S187" s="36">
        <f>2668.88</f>
        <v>2668.88</v>
      </c>
      <c r="T187" s="33">
        <f>58</f>
        <v>58</v>
      </c>
      <c r="U187" s="33" t="str">
        <f t="shared" si="4"/>
        <v>－</v>
      </c>
      <c r="V187" s="33">
        <f>147200</f>
        <v>147200</v>
      </c>
      <c r="W187" s="33" t="str">
        <f t="shared" si="5"/>
        <v>－</v>
      </c>
      <c r="X187" s="35">
        <f>8</f>
        <v>8</v>
      </c>
    </row>
    <row r="188" spans="1:24">
      <c r="A188" s="29" t="s">
        <v>813</v>
      </c>
      <c r="B188" s="29" t="s">
        <v>776</v>
      </c>
      <c r="C188" s="29" t="s">
        <v>777</v>
      </c>
      <c r="D188" s="29" t="s">
        <v>778</v>
      </c>
      <c r="E188" s="30" t="s">
        <v>46</v>
      </c>
      <c r="F188" s="31" t="s">
        <v>46</v>
      </c>
      <c r="G188" s="32" t="s">
        <v>46</v>
      </c>
      <c r="H188" s="27"/>
      <c r="I188" s="27" t="s">
        <v>47</v>
      </c>
      <c r="J188" s="33">
        <v>100</v>
      </c>
      <c r="K188" s="37">
        <f>272</f>
        <v>272</v>
      </c>
      <c r="L188" s="34" t="s">
        <v>814</v>
      </c>
      <c r="M188" s="37">
        <f>290</f>
        <v>290</v>
      </c>
      <c r="N188" s="34" t="s">
        <v>150</v>
      </c>
      <c r="O188" s="37">
        <f>257</f>
        <v>257</v>
      </c>
      <c r="P188" s="34" t="s">
        <v>48</v>
      </c>
      <c r="Q188" s="37">
        <f>270</f>
        <v>270</v>
      </c>
      <c r="R188" s="34" t="s">
        <v>95</v>
      </c>
      <c r="S188" s="36">
        <f>271.86</f>
        <v>271.86</v>
      </c>
      <c r="T188" s="33">
        <f>4500</f>
        <v>4500</v>
      </c>
      <c r="U188" s="33" t="str">
        <f t="shared" si="4"/>
        <v>－</v>
      </c>
      <c r="V188" s="33">
        <f>1195300</f>
        <v>1195300</v>
      </c>
      <c r="W188" s="33" t="str">
        <f t="shared" si="5"/>
        <v>－</v>
      </c>
      <c r="X188" s="35">
        <f>7</f>
        <v>7</v>
      </c>
    </row>
    <row r="189" spans="1:24">
      <c r="A189" s="29" t="s">
        <v>813</v>
      </c>
      <c r="B189" s="29" t="s">
        <v>779</v>
      </c>
      <c r="C189" s="29" t="s">
        <v>780</v>
      </c>
      <c r="D189" s="29" t="s">
        <v>781</v>
      </c>
      <c r="E189" s="30" t="s">
        <v>46</v>
      </c>
      <c r="F189" s="31" t="s">
        <v>46</v>
      </c>
      <c r="G189" s="32" t="s">
        <v>46</v>
      </c>
      <c r="H189" s="27"/>
      <c r="I189" s="27" t="s">
        <v>47</v>
      </c>
      <c r="J189" s="33">
        <v>10</v>
      </c>
      <c r="K189" s="37">
        <f>2699</f>
        <v>2699</v>
      </c>
      <c r="L189" s="34" t="s">
        <v>814</v>
      </c>
      <c r="M189" s="37">
        <f>2970</f>
        <v>2970</v>
      </c>
      <c r="N189" s="34" t="s">
        <v>816</v>
      </c>
      <c r="O189" s="37">
        <f>2636</f>
        <v>2636</v>
      </c>
      <c r="P189" s="34" t="s">
        <v>821</v>
      </c>
      <c r="Q189" s="37">
        <f>2660</f>
        <v>2660</v>
      </c>
      <c r="R189" s="34" t="s">
        <v>95</v>
      </c>
      <c r="S189" s="36">
        <f>2727.85</f>
        <v>2727.85</v>
      </c>
      <c r="T189" s="33">
        <f>980</f>
        <v>980</v>
      </c>
      <c r="U189" s="33" t="str">
        <f t="shared" si="4"/>
        <v>－</v>
      </c>
      <c r="V189" s="33">
        <f>2691060</f>
        <v>2691060</v>
      </c>
      <c r="W189" s="33" t="str">
        <f t="shared" si="5"/>
        <v>－</v>
      </c>
      <c r="X189" s="35">
        <f>13</f>
        <v>13</v>
      </c>
    </row>
    <row r="190" spans="1:24">
      <c r="A190" s="29" t="s">
        <v>813</v>
      </c>
      <c r="B190" s="29" t="s">
        <v>782</v>
      </c>
      <c r="C190" s="29" t="s">
        <v>783</v>
      </c>
      <c r="D190" s="29" t="s">
        <v>784</v>
      </c>
      <c r="E190" s="30" t="s">
        <v>46</v>
      </c>
      <c r="F190" s="31" t="s">
        <v>46</v>
      </c>
      <c r="G190" s="32" t="s">
        <v>46</v>
      </c>
      <c r="H190" s="27"/>
      <c r="I190" s="27" t="s">
        <v>47</v>
      </c>
      <c r="J190" s="33">
        <v>10</v>
      </c>
      <c r="K190" s="37">
        <f>1390</f>
        <v>1390</v>
      </c>
      <c r="L190" s="34" t="s">
        <v>100</v>
      </c>
      <c r="M190" s="37">
        <f>1399</f>
        <v>1399</v>
      </c>
      <c r="N190" s="34" t="s">
        <v>822</v>
      </c>
      <c r="O190" s="37">
        <f>1371</f>
        <v>1371</v>
      </c>
      <c r="P190" s="34" t="s">
        <v>816</v>
      </c>
      <c r="Q190" s="37">
        <f>1371</f>
        <v>1371</v>
      </c>
      <c r="R190" s="34" t="s">
        <v>816</v>
      </c>
      <c r="S190" s="36">
        <f>1387.25</f>
        <v>1387.25</v>
      </c>
      <c r="T190" s="33">
        <f>190</f>
        <v>190</v>
      </c>
      <c r="U190" s="33" t="str">
        <f t="shared" si="4"/>
        <v>－</v>
      </c>
      <c r="V190" s="33">
        <f>264140</f>
        <v>264140</v>
      </c>
      <c r="W190" s="33" t="str">
        <f t="shared" si="5"/>
        <v>－</v>
      </c>
      <c r="X190" s="35">
        <f>4</f>
        <v>4</v>
      </c>
    </row>
    <row r="191" spans="1:24">
      <c r="A191" s="29" t="s">
        <v>813</v>
      </c>
      <c r="B191" s="29" t="s">
        <v>785</v>
      </c>
      <c r="C191" s="29" t="s">
        <v>786</v>
      </c>
      <c r="D191" s="29" t="s">
        <v>787</v>
      </c>
      <c r="E191" s="30" t="s">
        <v>46</v>
      </c>
      <c r="F191" s="31" t="s">
        <v>46</v>
      </c>
      <c r="G191" s="32" t="s">
        <v>46</v>
      </c>
      <c r="H191" s="27"/>
      <c r="I191" s="27" t="s">
        <v>47</v>
      </c>
      <c r="J191" s="33">
        <v>100</v>
      </c>
      <c r="K191" s="37">
        <f>72</f>
        <v>72</v>
      </c>
      <c r="L191" s="34" t="s">
        <v>814</v>
      </c>
      <c r="M191" s="37">
        <f>73</f>
        <v>73</v>
      </c>
      <c r="N191" s="34" t="s">
        <v>819</v>
      </c>
      <c r="O191" s="37">
        <f>67</f>
        <v>67</v>
      </c>
      <c r="P191" s="34" t="s">
        <v>95</v>
      </c>
      <c r="Q191" s="37">
        <f>70</f>
        <v>70</v>
      </c>
      <c r="R191" s="34" t="s">
        <v>95</v>
      </c>
      <c r="S191" s="36">
        <f>70.81</f>
        <v>70.81</v>
      </c>
      <c r="T191" s="33">
        <f>318400</f>
        <v>318400</v>
      </c>
      <c r="U191" s="33" t="str">
        <f t="shared" si="4"/>
        <v>－</v>
      </c>
      <c r="V191" s="33">
        <f>22454300</f>
        <v>22454300</v>
      </c>
      <c r="W191" s="33" t="str">
        <f t="shared" si="5"/>
        <v>－</v>
      </c>
      <c r="X191" s="35">
        <f>16</f>
        <v>16</v>
      </c>
    </row>
    <row r="192" spans="1:24">
      <c r="A192" s="29" t="s">
        <v>813</v>
      </c>
      <c r="B192" s="29" t="s">
        <v>788</v>
      </c>
      <c r="C192" s="29" t="s">
        <v>789</v>
      </c>
      <c r="D192" s="29" t="s">
        <v>790</v>
      </c>
      <c r="E192" s="30" t="s">
        <v>46</v>
      </c>
      <c r="F192" s="31" t="s">
        <v>46</v>
      </c>
      <c r="G192" s="32" t="s">
        <v>46</v>
      </c>
      <c r="H192" s="27"/>
      <c r="I192" s="27" t="s">
        <v>47</v>
      </c>
      <c r="J192" s="33">
        <v>100</v>
      </c>
      <c r="K192" s="37">
        <f>80</f>
        <v>80</v>
      </c>
      <c r="L192" s="34" t="s">
        <v>814</v>
      </c>
      <c r="M192" s="37">
        <f>81</f>
        <v>81</v>
      </c>
      <c r="N192" s="34" t="s">
        <v>815</v>
      </c>
      <c r="O192" s="37">
        <f>77</f>
        <v>77</v>
      </c>
      <c r="P192" s="34" t="s">
        <v>822</v>
      </c>
      <c r="Q192" s="37">
        <f>77</f>
        <v>77</v>
      </c>
      <c r="R192" s="34" t="s">
        <v>95</v>
      </c>
      <c r="S192" s="36">
        <f>79.71</f>
        <v>79.709999999999994</v>
      </c>
      <c r="T192" s="33">
        <f>333300</f>
        <v>333300</v>
      </c>
      <c r="U192" s="33" t="str">
        <f t="shared" si="4"/>
        <v>－</v>
      </c>
      <c r="V192" s="33">
        <f>26284600</f>
        <v>26284600</v>
      </c>
      <c r="W192" s="33" t="str">
        <f t="shared" si="5"/>
        <v>－</v>
      </c>
      <c r="X192" s="35">
        <f>17</f>
        <v>17</v>
      </c>
    </row>
    <row r="193" spans="1:24">
      <c r="A193" s="29" t="s">
        <v>813</v>
      </c>
      <c r="B193" s="29" t="s">
        <v>791</v>
      </c>
      <c r="C193" s="29" t="s">
        <v>792</v>
      </c>
      <c r="D193" s="29" t="s">
        <v>793</v>
      </c>
      <c r="E193" s="30" t="s">
        <v>46</v>
      </c>
      <c r="F193" s="31" t="s">
        <v>46</v>
      </c>
      <c r="G193" s="32" t="s">
        <v>46</v>
      </c>
      <c r="H193" s="27"/>
      <c r="I193" s="27" t="s">
        <v>47</v>
      </c>
      <c r="J193" s="33">
        <v>10</v>
      </c>
      <c r="K193" s="37">
        <f>2099</f>
        <v>2099</v>
      </c>
      <c r="L193" s="34" t="s">
        <v>48</v>
      </c>
      <c r="M193" s="37">
        <f>2099</f>
        <v>2099</v>
      </c>
      <c r="N193" s="34" t="s">
        <v>48</v>
      </c>
      <c r="O193" s="37">
        <f>1820</f>
        <v>1820</v>
      </c>
      <c r="P193" s="34" t="s">
        <v>95</v>
      </c>
      <c r="Q193" s="37">
        <f>1820</f>
        <v>1820</v>
      </c>
      <c r="R193" s="34" t="s">
        <v>95</v>
      </c>
      <c r="S193" s="36">
        <f>2029.33</f>
        <v>2029.33</v>
      </c>
      <c r="T193" s="33">
        <f>250</f>
        <v>250</v>
      </c>
      <c r="U193" s="33" t="str">
        <f t="shared" si="4"/>
        <v>－</v>
      </c>
      <c r="V193" s="33">
        <f>487110</f>
        <v>487110</v>
      </c>
      <c r="W193" s="33" t="str">
        <f t="shared" si="5"/>
        <v>－</v>
      </c>
      <c r="X193" s="35">
        <f>6</f>
        <v>6</v>
      </c>
    </row>
    <row r="194" spans="1:24">
      <c r="A194" s="29" t="s">
        <v>813</v>
      </c>
      <c r="B194" s="29" t="s">
        <v>568</v>
      </c>
      <c r="C194" s="29" t="s">
        <v>569</v>
      </c>
      <c r="D194" s="29" t="s">
        <v>570</v>
      </c>
      <c r="E194" s="30" t="s">
        <v>46</v>
      </c>
      <c r="F194" s="31" t="s">
        <v>46</v>
      </c>
      <c r="G194" s="32" t="s">
        <v>46</v>
      </c>
      <c r="H194" s="27"/>
      <c r="I194" s="27" t="s">
        <v>47</v>
      </c>
      <c r="J194" s="33">
        <v>10</v>
      </c>
      <c r="K194" s="37">
        <f>1710</f>
        <v>1710</v>
      </c>
      <c r="L194" s="34" t="s">
        <v>814</v>
      </c>
      <c r="M194" s="37">
        <f>1763</f>
        <v>1763</v>
      </c>
      <c r="N194" s="34" t="s">
        <v>48</v>
      </c>
      <c r="O194" s="37">
        <f>1537</f>
        <v>1537</v>
      </c>
      <c r="P194" s="34" t="s">
        <v>95</v>
      </c>
      <c r="Q194" s="37">
        <f>1543</f>
        <v>1543</v>
      </c>
      <c r="R194" s="34" t="s">
        <v>95</v>
      </c>
      <c r="S194" s="36">
        <f>1699.44</f>
        <v>1699.44</v>
      </c>
      <c r="T194" s="33">
        <f>99940</f>
        <v>99940</v>
      </c>
      <c r="U194" s="33">
        <f>10010</f>
        <v>10010</v>
      </c>
      <c r="V194" s="33">
        <f>167319110</f>
        <v>167319110</v>
      </c>
      <c r="W194" s="33">
        <f>17064300</f>
        <v>17064300</v>
      </c>
      <c r="X194" s="35">
        <f>18</f>
        <v>18</v>
      </c>
    </row>
    <row r="195" spans="1:24">
      <c r="A195" s="29" t="s">
        <v>813</v>
      </c>
      <c r="B195" s="29" t="s">
        <v>571</v>
      </c>
      <c r="C195" s="29" t="s">
        <v>572</v>
      </c>
      <c r="D195" s="29" t="s">
        <v>573</v>
      </c>
      <c r="E195" s="30" t="s">
        <v>46</v>
      </c>
      <c r="F195" s="31" t="s">
        <v>46</v>
      </c>
      <c r="G195" s="32" t="s">
        <v>46</v>
      </c>
      <c r="H195" s="27"/>
      <c r="I195" s="27" t="s">
        <v>47</v>
      </c>
      <c r="J195" s="33">
        <v>10</v>
      </c>
      <c r="K195" s="37">
        <f>339</f>
        <v>339</v>
      </c>
      <c r="L195" s="34" t="s">
        <v>814</v>
      </c>
      <c r="M195" s="37">
        <f>367</f>
        <v>367</v>
      </c>
      <c r="N195" s="34" t="s">
        <v>150</v>
      </c>
      <c r="O195" s="37">
        <f>302</f>
        <v>302</v>
      </c>
      <c r="P195" s="34" t="s">
        <v>95</v>
      </c>
      <c r="Q195" s="37">
        <f>305</f>
        <v>305</v>
      </c>
      <c r="R195" s="34" t="s">
        <v>95</v>
      </c>
      <c r="S195" s="36">
        <f>343.06</f>
        <v>343.06</v>
      </c>
      <c r="T195" s="33">
        <f>29571010</f>
        <v>29571010</v>
      </c>
      <c r="U195" s="33">
        <f>9350980</f>
        <v>9350980</v>
      </c>
      <c r="V195" s="33">
        <f>10059392198</f>
        <v>10059392198</v>
      </c>
      <c r="W195" s="33">
        <f>3221806348</f>
        <v>3221806348</v>
      </c>
      <c r="X195" s="35">
        <f>18</f>
        <v>18</v>
      </c>
    </row>
    <row r="196" spans="1:24">
      <c r="A196" s="29" t="s">
        <v>813</v>
      </c>
      <c r="B196" s="29" t="s">
        <v>574</v>
      </c>
      <c r="C196" s="29" t="s">
        <v>575</v>
      </c>
      <c r="D196" s="29" t="s">
        <v>576</v>
      </c>
      <c r="E196" s="30" t="s">
        <v>46</v>
      </c>
      <c r="F196" s="31" t="s">
        <v>46</v>
      </c>
      <c r="G196" s="32" t="s">
        <v>46</v>
      </c>
      <c r="H196" s="27"/>
      <c r="I196" s="27" t="s">
        <v>577</v>
      </c>
      <c r="J196" s="33">
        <v>1</v>
      </c>
      <c r="K196" s="37">
        <f>11040</f>
        <v>11040</v>
      </c>
      <c r="L196" s="34" t="s">
        <v>814</v>
      </c>
      <c r="M196" s="37">
        <f>12500</f>
        <v>12500</v>
      </c>
      <c r="N196" s="34" t="s">
        <v>820</v>
      </c>
      <c r="O196" s="37">
        <f>10580</f>
        <v>10580</v>
      </c>
      <c r="P196" s="34" t="s">
        <v>95</v>
      </c>
      <c r="Q196" s="37">
        <f>10670</f>
        <v>10670</v>
      </c>
      <c r="R196" s="34" t="s">
        <v>95</v>
      </c>
      <c r="S196" s="36">
        <f>11612.22</f>
        <v>11612.22</v>
      </c>
      <c r="T196" s="33">
        <f>7851</f>
        <v>7851</v>
      </c>
      <c r="U196" s="33" t="str">
        <f t="shared" ref="U196:U202" si="6">"－"</f>
        <v>－</v>
      </c>
      <c r="V196" s="33">
        <f>90563360</f>
        <v>90563360</v>
      </c>
      <c r="W196" s="33" t="str">
        <f t="shared" ref="W196:W202" si="7">"－"</f>
        <v>－</v>
      </c>
      <c r="X196" s="35">
        <f>18</f>
        <v>18</v>
      </c>
    </row>
    <row r="197" spans="1:24">
      <c r="A197" s="29" t="s">
        <v>813</v>
      </c>
      <c r="B197" s="29" t="s">
        <v>578</v>
      </c>
      <c r="C197" s="29" t="s">
        <v>579</v>
      </c>
      <c r="D197" s="29" t="s">
        <v>580</v>
      </c>
      <c r="E197" s="30" t="s">
        <v>46</v>
      </c>
      <c r="F197" s="31" t="s">
        <v>46</v>
      </c>
      <c r="G197" s="32" t="s">
        <v>46</v>
      </c>
      <c r="H197" s="27"/>
      <c r="I197" s="27" t="s">
        <v>577</v>
      </c>
      <c r="J197" s="33">
        <v>1</v>
      </c>
      <c r="K197" s="37">
        <f>6680</f>
        <v>6680</v>
      </c>
      <c r="L197" s="34" t="s">
        <v>814</v>
      </c>
      <c r="M197" s="37">
        <f>6680</f>
        <v>6680</v>
      </c>
      <c r="N197" s="34" t="s">
        <v>814</v>
      </c>
      <c r="O197" s="37">
        <f>5990</f>
        <v>5990</v>
      </c>
      <c r="P197" s="34" t="s">
        <v>820</v>
      </c>
      <c r="Q197" s="37">
        <f>6420</f>
        <v>6420</v>
      </c>
      <c r="R197" s="34" t="s">
        <v>95</v>
      </c>
      <c r="S197" s="36">
        <f>6245.56</f>
        <v>6245.56</v>
      </c>
      <c r="T197" s="33">
        <f>15449</f>
        <v>15449</v>
      </c>
      <c r="U197" s="33" t="str">
        <f t="shared" si="6"/>
        <v>－</v>
      </c>
      <c r="V197" s="33">
        <f>97958910</f>
        <v>97958910</v>
      </c>
      <c r="W197" s="33" t="str">
        <f t="shared" si="7"/>
        <v>－</v>
      </c>
      <c r="X197" s="35">
        <f>18</f>
        <v>18</v>
      </c>
    </row>
    <row r="198" spans="1:24">
      <c r="A198" s="29" t="s">
        <v>813</v>
      </c>
      <c r="B198" s="29" t="s">
        <v>581</v>
      </c>
      <c r="C198" s="29" t="s">
        <v>582</v>
      </c>
      <c r="D198" s="29" t="s">
        <v>583</v>
      </c>
      <c r="E198" s="30" t="s">
        <v>46</v>
      </c>
      <c r="F198" s="31" t="s">
        <v>46</v>
      </c>
      <c r="G198" s="32" t="s">
        <v>46</v>
      </c>
      <c r="H198" s="27"/>
      <c r="I198" s="27" t="s">
        <v>577</v>
      </c>
      <c r="J198" s="33">
        <v>1</v>
      </c>
      <c r="K198" s="37">
        <f>9080</f>
        <v>9080</v>
      </c>
      <c r="L198" s="34" t="s">
        <v>814</v>
      </c>
      <c r="M198" s="37">
        <f>10920</f>
        <v>10920</v>
      </c>
      <c r="N198" s="34" t="s">
        <v>820</v>
      </c>
      <c r="O198" s="37">
        <f>8100</f>
        <v>8100</v>
      </c>
      <c r="P198" s="34" t="s">
        <v>95</v>
      </c>
      <c r="Q198" s="37">
        <f>8120</f>
        <v>8120</v>
      </c>
      <c r="R198" s="34" t="s">
        <v>95</v>
      </c>
      <c r="S198" s="36">
        <f>9927.22</f>
        <v>9927.2199999999993</v>
      </c>
      <c r="T198" s="33">
        <f>2625</f>
        <v>2625</v>
      </c>
      <c r="U198" s="33" t="str">
        <f t="shared" si="6"/>
        <v>－</v>
      </c>
      <c r="V198" s="33">
        <f>25177600</f>
        <v>25177600</v>
      </c>
      <c r="W198" s="33" t="str">
        <f t="shared" si="7"/>
        <v>－</v>
      </c>
      <c r="X198" s="35">
        <f>18</f>
        <v>18</v>
      </c>
    </row>
    <row r="199" spans="1:24">
      <c r="A199" s="29" t="s">
        <v>813</v>
      </c>
      <c r="B199" s="29" t="s">
        <v>584</v>
      </c>
      <c r="C199" s="29" t="s">
        <v>585</v>
      </c>
      <c r="D199" s="29" t="s">
        <v>586</v>
      </c>
      <c r="E199" s="30" t="s">
        <v>46</v>
      </c>
      <c r="F199" s="31" t="s">
        <v>46</v>
      </c>
      <c r="G199" s="32" t="s">
        <v>46</v>
      </c>
      <c r="H199" s="27"/>
      <c r="I199" s="27" t="s">
        <v>577</v>
      </c>
      <c r="J199" s="33">
        <v>1</v>
      </c>
      <c r="K199" s="37">
        <f>9550</f>
        <v>9550</v>
      </c>
      <c r="L199" s="34" t="s">
        <v>814</v>
      </c>
      <c r="M199" s="37">
        <f>9750</f>
        <v>9750</v>
      </c>
      <c r="N199" s="34" t="s">
        <v>95</v>
      </c>
      <c r="O199" s="37">
        <f>8900</f>
        <v>8900</v>
      </c>
      <c r="P199" s="34" t="s">
        <v>90</v>
      </c>
      <c r="Q199" s="37">
        <f>9720</f>
        <v>9720</v>
      </c>
      <c r="R199" s="34" t="s">
        <v>95</v>
      </c>
      <c r="S199" s="36">
        <f>9241.11</f>
        <v>9241.11</v>
      </c>
      <c r="T199" s="33">
        <f>30540</f>
        <v>30540</v>
      </c>
      <c r="U199" s="33" t="str">
        <f t="shared" si="6"/>
        <v>－</v>
      </c>
      <c r="V199" s="33">
        <f>286373900</f>
        <v>286373900</v>
      </c>
      <c r="W199" s="33" t="str">
        <f t="shared" si="7"/>
        <v>－</v>
      </c>
      <c r="X199" s="35">
        <f>18</f>
        <v>18</v>
      </c>
    </row>
    <row r="200" spans="1:24">
      <c r="A200" s="29" t="s">
        <v>813</v>
      </c>
      <c r="B200" s="29" t="s">
        <v>587</v>
      </c>
      <c r="C200" s="29" t="s">
        <v>588</v>
      </c>
      <c r="D200" s="29" t="s">
        <v>589</v>
      </c>
      <c r="E200" s="30" t="s">
        <v>46</v>
      </c>
      <c r="F200" s="31" t="s">
        <v>46</v>
      </c>
      <c r="G200" s="32" t="s">
        <v>46</v>
      </c>
      <c r="H200" s="27"/>
      <c r="I200" s="27" t="s">
        <v>577</v>
      </c>
      <c r="J200" s="33">
        <v>1</v>
      </c>
      <c r="K200" s="37">
        <f>560</f>
        <v>560</v>
      </c>
      <c r="L200" s="34" t="s">
        <v>814</v>
      </c>
      <c r="M200" s="37">
        <f>734</f>
        <v>734</v>
      </c>
      <c r="N200" s="34" t="s">
        <v>95</v>
      </c>
      <c r="O200" s="37">
        <f>472</f>
        <v>472</v>
      </c>
      <c r="P200" s="34" t="s">
        <v>49</v>
      </c>
      <c r="Q200" s="37">
        <f>734</f>
        <v>734</v>
      </c>
      <c r="R200" s="34" t="s">
        <v>95</v>
      </c>
      <c r="S200" s="36">
        <f>525.44</f>
        <v>525.44000000000005</v>
      </c>
      <c r="T200" s="33">
        <f>1579491</f>
        <v>1579491</v>
      </c>
      <c r="U200" s="33" t="str">
        <f t="shared" si="6"/>
        <v>－</v>
      </c>
      <c r="V200" s="33">
        <f>905584676</f>
        <v>905584676</v>
      </c>
      <c r="W200" s="33" t="str">
        <f t="shared" si="7"/>
        <v>－</v>
      </c>
      <c r="X200" s="35">
        <f>18</f>
        <v>18</v>
      </c>
    </row>
    <row r="201" spans="1:24">
      <c r="A201" s="29" t="s">
        <v>813</v>
      </c>
      <c r="B201" s="29" t="s">
        <v>590</v>
      </c>
      <c r="C201" s="29" t="s">
        <v>591</v>
      </c>
      <c r="D201" s="29" t="s">
        <v>592</v>
      </c>
      <c r="E201" s="30" t="s">
        <v>46</v>
      </c>
      <c r="F201" s="31" t="s">
        <v>46</v>
      </c>
      <c r="G201" s="32" t="s">
        <v>46</v>
      </c>
      <c r="H201" s="27"/>
      <c r="I201" s="27" t="s">
        <v>577</v>
      </c>
      <c r="J201" s="33">
        <v>1</v>
      </c>
      <c r="K201" s="37">
        <f>14280</f>
        <v>14280</v>
      </c>
      <c r="L201" s="34" t="s">
        <v>814</v>
      </c>
      <c r="M201" s="37">
        <f>16300</f>
        <v>16300</v>
      </c>
      <c r="N201" s="34" t="s">
        <v>816</v>
      </c>
      <c r="O201" s="37">
        <f>13800</f>
        <v>13800</v>
      </c>
      <c r="P201" s="34" t="s">
        <v>817</v>
      </c>
      <c r="Q201" s="37">
        <f>15190</f>
        <v>15190</v>
      </c>
      <c r="R201" s="34" t="s">
        <v>95</v>
      </c>
      <c r="S201" s="36">
        <f>14770.56</f>
        <v>14770.56</v>
      </c>
      <c r="T201" s="33">
        <f>48503</f>
        <v>48503</v>
      </c>
      <c r="U201" s="33" t="str">
        <f t="shared" si="6"/>
        <v>－</v>
      </c>
      <c r="V201" s="33">
        <f>745249930</f>
        <v>745249930</v>
      </c>
      <c r="W201" s="33" t="str">
        <f t="shared" si="7"/>
        <v>－</v>
      </c>
      <c r="X201" s="35">
        <f>18</f>
        <v>18</v>
      </c>
    </row>
    <row r="202" spans="1:24">
      <c r="A202" s="29" t="s">
        <v>813</v>
      </c>
      <c r="B202" s="29" t="s">
        <v>593</v>
      </c>
      <c r="C202" s="29" t="s">
        <v>594</v>
      </c>
      <c r="D202" s="29" t="s">
        <v>595</v>
      </c>
      <c r="E202" s="30" t="s">
        <v>46</v>
      </c>
      <c r="F202" s="31" t="s">
        <v>46</v>
      </c>
      <c r="G202" s="32" t="s">
        <v>46</v>
      </c>
      <c r="H202" s="27"/>
      <c r="I202" s="27" t="s">
        <v>577</v>
      </c>
      <c r="J202" s="33">
        <v>1</v>
      </c>
      <c r="K202" s="37">
        <f>6730</f>
        <v>6730</v>
      </c>
      <c r="L202" s="34" t="s">
        <v>814</v>
      </c>
      <c r="M202" s="37">
        <f>6830</f>
        <v>6830</v>
      </c>
      <c r="N202" s="34" t="s">
        <v>817</v>
      </c>
      <c r="O202" s="37">
        <f>6310</f>
        <v>6310</v>
      </c>
      <c r="P202" s="34" t="s">
        <v>816</v>
      </c>
      <c r="Q202" s="37">
        <f>6530</f>
        <v>6530</v>
      </c>
      <c r="R202" s="34" t="s">
        <v>95</v>
      </c>
      <c r="S202" s="36">
        <f>6600.56</f>
        <v>6600.56</v>
      </c>
      <c r="T202" s="33">
        <f>6933</f>
        <v>6933</v>
      </c>
      <c r="U202" s="33" t="str">
        <f t="shared" si="6"/>
        <v>－</v>
      </c>
      <c r="V202" s="33">
        <f>45066270</f>
        <v>45066270</v>
      </c>
      <c r="W202" s="33" t="str">
        <f t="shared" si="7"/>
        <v>－</v>
      </c>
      <c r="X202" s="35">
        <f>18</f>
        <v>18</v>
      </c>
    </row>
    <row r="203" spans="1:24">
      <c r="A203" s="29" t="s">
        <v>813</v>
      </c>
      <c r="B203" s="29" t="s">
        <v>596</v>
      </c>
      <c r="C203" s="29" t="s">
        <v>597</v>
      </c>
      <c r="D203" s="29" t="s">
        <v>598</v>
      </c>
      <c r="E203" s="30" t="s">
        <v>46</v>
      </c>
      <c r="F203" s="31" t="s">
        <v>46</v>
      </c>
      <c r="G203" s="32" t="s">
        <v>46</v>
      </c>
      <c r="H203" s="27"/>
      <c r="I203" s="27" t="s">
        <v>577</v>
      </c>
      <c r="J203" s="33">
        <v>1</v>
      </c>
      <c r="K203" s="37">
        <f>1138</f>
        <v>1138</v>
      </c>
      <c r="L203" s="34" t="s">
        <v>814</v>
      </c>
      <c r="M203" s="37">
        <f>1315</f>
        <v>1315</v>
      </c>
      <c r="N203" s="34" t="s">
        <v>49</v>
      </c>
      <c r="O203" s="37">
        <f>960</f>
        <v>960</v>
      </c>
      <c r="P203" s="34" t="s">
        <v>95</v>
      </c>
      <c r="Q203" s="37">
        <f>964</f>
        <v>964</v>
      </c>
      <c r="R203" s="34" t="s">
        <v>95</v>
      </c>
      <c r="S203" s="36">
        <f>1176.44</f>
        <v>1176.44</v>
      </c>
      <c r="T203" s="33">
        <f>13473128</f>
        <v>13473128</v>
      </c>
      <c r="U203" s="33">
        <f>1367</f>
        <v>1367</v>
      </c>
      <c r="V203" s="33">
        <f>15338998850</f>
        <v>15338998850</v>
      </c>
      <c r="W203" s="33">
        <f>1692399</f>
        <v>1692399</v>
      </c>
      <c r="X203" s="35">
        <f>18</f>
        <v>18</v>
      </c>
    </row>
    <row r="204" spans="1:24">
      <c r="A204" s="29" t="s">
        <v>813</v>
      </c>
      <c r="B204" s="29" t="s">
        <v>599</v>
      </c>
      <c r="C204" s="29" t="s">
        <v>600</v>
      </c>
      <c r="D204" s="29" t="s">
        <v>601</v>
      </c>
      <c r="E204" s="30" t="s">
        <v>46</v>
      </c>
      <c r="F204" s="31" t="s">
        <v>46</v>
      </c>
      <c r="G204" s="32" t="s">
        <v>46</v>
      </c>
      <c r="H204" s="27"/>
      <c r="I204" s="27" t="s">
        <v>577</v>
      </c>
      <c r="J204" s="33">
        <v>1</v>
      </c>
      <c r="K204" s="37">
        <f>7300</f>
        <v>7300</v>
      </c>
      <c r="L204" s="34" t="s">
        <v>814</v>
      </c>
      <c r="M204" s="37">
        <f>7900</f>
        <v>7900</v>
      </c>
      <c r="N204" s="34" t="s">
        <v>95</v>
      </c>
      <c r="O204" s="37">
        <f>6690</f>
        <v>6690</v>
      </c>
      <c r="P204" s="34" t="s">
        <v>49</v>
      </c>
      <c r="Q204" s="37">
        <f>7860</f>
        <v>7860</v>
      </c>
      <c r="R204" s="34" t="s">
        <v>95</v>
      </c>
      <c r="S204" s="36">
        <f>7148.33</f>
        <v>7148.33</v>
      </c>
      <c r="T204" s="33">
        <f>231023</f>
        <v>231023</v>
      </c>
      <c r="U204" s="33" t="str">
        <f>"－"</f>
        <v>－</v>
      </c>
      <c r="V204" s="33">
        <f>1674240650</f>
        <v>1674240650</v>
      </c>
      <c r="W204" s="33" t="str">
        <f>"－"</f>
        <v>－</v>
      </c>
      <c r="X204" s="35">
        <f>18</f>
        <v>18</v>
      </c>
    </row>
    <row r="205" spans="1:24">
      <c r="A205" s="29" t="s">
        <v>813</v>
      </c>
      <c r="B205" s="29" t="s">
        <v>602</v>
      </c>
      <c r="C205" s="29" t="s">
        <v>603</v>
      </c>
      <c r="D205" s="29" t="s">
        <v>604</v>
      </c>
      <c r="E205" s="30" t="s">
        <v>46</v>
      </c>
      <c r="F205" s="31" t="s">
        <v>46</v>
      </c>
      <c r="G205" s="32" t="s">
        <v>46</v>
      </c>
      <c r="H205" s="27"/>
      <c r="I205" s="27" t="s">
        <v>577</v>
      </c>
      <c r="J205" s="33">
        <v>1</v>
      </c>
      <c r="K205" s="37">
        <f>24900</f>
        <v>24900</v>
      </c>
      <c r="L205" s="34" t="s">
        <v>814</v>
      </c>
      <c r="M205" s="37">
        <f>26900</f>
        <v>26900</v>
      </c>
      <c r="N205" s="34" t="s">
        <v>820</v>
      </c>
      <c r="O205" s="37">
        <f>19700</f>
        <v>19700</v>
      </c>
      <c r="P205" s="34" t="s">
        <v>95</v>
      </c>
      <c r="Q205" s="37">
        <f>19840</f>
        <v>19840</v>
      </c>
      <c r="R205" s="34" t="s">
        <v>95</v>
      </c>
      <c r="S205" s="36">
        <f>25397.22</f>
        <v>25397.22</v>
      </c>
      <c r="T205" s="33">
        <f>277384</f>
        <v>277384</v>
      </c>
      <c r="U205" s="33">
        <f>4467</f>
        <v>4467</v>
      </c>
      <c r="V205" s="33">
        <f>6503849160</f>
        <v>6503849160</v>
      </c>
      <c r="W205" s="33">
        <f>104742540</f>
        <v>104742540</v>
      </c>
      <c r="X205" s="35">
        <f>18</f>
        <v>18</v>
      </c>
    </row>
    <row r="206" spans="1:24">
      <c r="A206" s="29" t="s">
        <v>813</v>
      </c>
      <c r="B206" s="29" t="s">
        <v>605</v>
      </c>
      <c r="C206" s="29" t="s">
        <v>606</v>
      </c>
      <c r="D206" s="29" t="s">
        <v>607</v>
      </c>
      <c r="E206" s="30" t="s">
        <v>46</v>
      </c>
      <c r="F206" s="31" t="s">
        <v>46</v>
      </c>
      <c r="G206" s="32" t="s">
        <v>46</v>
      </c>
      <c r="H206" s="27"/>
      <c r="I206" s="27" t="s">
        <v>577</v>
      </c>
      <c r="J206" s="33">
        <v>1</v>
      </c>
      <c r="K206" s="37">
        <f>4345</f>
        <v>4345</v>
      </c>
      <c r="L206" s="34" t="s">
        <v>814</v>
      </c>
      <c r="M206" s="37">
        <f>4845</f>
        <v>4845</v>
      </c>
      <c r="N206" s="34" t="s">
        <v>95</v>
      </c>
      <c r="O206" s="37">
        <f>4160</f>
        <v>4160</v>
      </c>
      <c r="P206" s="34" t="s">
        <v>48</v>
      </c>
      <c r="Q206" s="37">
        <f>4795</f>
        <v>4795</v>
      </c>
      <c r="R206" s="34" t="s">
        <v>95</v>
      </c>
      <c r="S206" s="36">
        <f>4281.67</f>
        <v>4281.67</v>
      </c>
      <c r="T206" s="33">
        <f>414670</f>
        <v>414670</v>
      </c>
      <c r="U206" s="33" t="str">
        <f>"－"</f>
        <v>－</v>
      </c>
      <c r="V206" s="33">
        <f>1845733875</f>
        <v>1845733875</v>
      </c>
      <c r="W206" s="33" t="str">
        <f>"－"</f>
        <v>－</v>
      </c>
      <c r="X206" s="35">
        <f>18</f>
        <v>18</v>
      </c>
    </row>
    <row r="207" spans="1:24">
      <c r="A207" s="29" t="s">
        <v>813</v>
      </c>
      <c r="B207" s="29" t="s">
        <v>608</v>
      </c>
      <c r="C207" s="29" t="s">
        <v>609</v>
      </c>
      <c r="D207" s="29" t="s">
        <v>610</v>
      </c>
      <c r="E207" s="30" t="s">
        <v>46</v>
      </c>
      <c r="F207" s="31" t="s">
        <v>46</v>
      </c>
      <c r="G207" s="32" t="s">
        <v>46</v>
      </c>
      <c r="H207" s="27"/>
      <c r="I207" s="27" t="s">
        <v>577</v>
      </c>
      <c r="J207" s="33">
        <v>1</v>
      </c>
      <c r="K207" s="37">
        <f>8760</f>
        <v>8760</v>
      </c>
      <c r="L207" s="34" t="s">
        <v>814</v>
      </c>
      <c r="M207" s="37">
        <f>9230</f>
        <v>9230</v>
      </c>
      <c r="N207" s="34" t="s">
        <v>817</v>
      </c>
      <c r="O207" s="37">
        <f>7590</f>
        <v>7590</v>
      </c>
      <c r="P207" s="34" t="s">
        <v>95</v>
      </c>
      <c r="Q207" s="37">
        <f>7680</f>
        <v>7680</v>
      </c>
      <c r="R207" s="34" t="s">
        <v>95</v>
      </c>
      <c r="S207" s="36">
        <f>8822.22</f>
        <v>8822.2199999999993</v>
      </c>
      <c r="T207" s="33">
        <f>156690</f>
        <v>156690</v>
      </c>
      <c r="U207" s="33">
        <f>24102</f>
        <v>24102</v>
      </c>
      <c r="V207" s="33">
        <f>1370464910</f>
        <v>1370464910</v>
      </c>
      <c r="W207" s="33">
        <f>211479810</f>
        <v>211479810</v>
      </c>
      <c r="X207" s="35">
        <f>18</f>
        <v>18</v>
      </c>
    </row>
    <row r="208" spans="1:24">
      <c r="A208" s="29" t="s">
        <v>813</v>
      </c>
      <c r="B208" s="29" t="s">
        <v>611</v>
      </c>
      <c r="C208" s="29" t="s">
        <v>612</v>
      </c>
      <c r="D208" s="29" t="s">
        <v>613</v>
      </c>
      <c r="E208" s="30" t="s">
        <v>46</v>
      </c>
      <c r="F208" s="31" t="s">
        <v>46</v>
      </c>
      <c r="G208" s="32" t="s">
        <v>46</v>
      </c>
      <c r="H208" s="27"/>
      <c r="I208" s="27" t="s">
        <v>577</v>
      </c>
      <c r="J208" s="33">
        <v>1</v>
      </c>
      <c r="K208" s="37">
        <f>12050</f>
        <v>12050</v>
      </c>
      <c r="L208" s="34" t="s">
        <v>814</v>
      </c>
      <c r="M208" s="37">
        <f>12500</f>
        <v>12500</v>
      </c>
      <c r="N208" s="34" t="s">
        <v>100</v>
      </c>
      <c r="O208" s="37">
        <f>11500</f>
        <v>11500</v>
      </c>
      <c r="P208" s="34" t="s">
        <v>95</v>
      </c>
      <c r="Q208" s="37">
        <f>11590</f>
        <v>11590</v>
      </c>
      <c r="R208" s="34" t="s">
        <v>95</v>
      </c>
      <c r="S208" s="36">
        <f>12124.38</f>
        <v>12124.38</v>
      </c>
      <c r="T208" s="33">
        <f>2759</f>
        <v>2759</v>
      </c>
      <c r="U208" s="33" t="str">
        <f>"－"</f>
        <v>－</v>
      </c>
      <c r="V208" s="33">
        <f>32777240</f>
        <v>32777240</v>
      </c>
      <c r="W208" s="33" t="str">
        <f>"－"</f>
        <v>－</v>
      </c>
      <c r="X208" s="35">
        <f>16</f>
        <v>16</v>
      </c>
    </row>
    <row r="209" spans="1:24">
      <c r="A209" s="29" t="s">
        <v>813</v>
      </c>
      <c r="B209" s="29" t="s">
        <v>614</v>
      </c>
      <c r="C209" s="29" t="s">
        <v>615</v>
      </c>
      <c r="D209" s="29" t="s">
        <v>616</v>
      </c>
      <c r="E209" s="30" t="s">
        <v>46</v>
      </c>
      <c r="F209" s="31" t="s">
        <v>46</v>
      </c>
      <c r="G209" s="32" t="s">
        <v>46</v>
      </c>
      <c r="H209" s="27"/>
      <c r="I209" s="27" t="s">
        <v>577</v>
      </c>
      <c r="J209" s="33">
        <v>1</v>
      </c>
      <c r="K209" s="37">
        <f>14760</f>
        <v>14760</v>
      </c>
      <c r="L209" s="34" t="s">
        <v>814</v>
      </c>
      <c r="M209" s="37">
        <f>15600</f>
        <v>15600</v>
      </c>
      <c r="N209" s="34" t="s">
        <v>150</v>
      </c>
      <c r="O209" s="37">
        <f>13290</f>
        <v>13290</v>
      </c>
      <c r="P209" s="34" t="s">
        <v>95</v>
      </c>
      <c r="Q209" s="37">
        <f>13680</f>
        <v>13680</v>
      </c>
      <c r="R209" s="34" t="s">
        <v>95</v>
      </c>
      <c r="S209" s="36">
        <f>15058.33</f>
        <v>15058.33</v>
      </c>
      <c r="T209" s="33">
        <f>37207</f>
        <v>37207</v>
      </c>
      <c r="U209" s="33">
        <f>13500</f>
        <v>13500</v>
      </c>
      <c r="V209" s="33">
        <f>550216500</f>
        <v>550216500</v>
      </c>
      <c r="W209" s="33">
        <f>198990000</f>
        <v>198990000</v>
      </c>
      <c r="X209" s="35">
        <f>18</f>
        <v>18</v>
      </c>
    </row>
    <row r="210" spans="1:24">
      <c r="A210" s="29" t="s">
        <v>813</v>
      </c>
      <c r="B210" s="29" t="s">
        <v>617</v>
      </c>
      <c r="C210" s="29" t="s">
        <v>618</v>
      </c>
      <c r="D210" s="29" t="s">
        <v>619</v>
      </c>
      <c r="E210" s="30" t="s">
        <v>46</v>
      </c>
      <c r="F210" s="31" t="s">
        <v>46</v>
      </c>
      <c r="G210" s="32" t="s">
        <v>46</v>
      </c>
      <c r="H210" s="27"/>
      <c r="I210" s="27" t="s">
        <v>577</v>
      </c>
      <c r="J210" s="33">
        <v>1</v>
      </c>
      <c r="K210" s="37">
        <f>14000</f>
        <v>14000</v>
      </c>
      <c r="L210" s="34" t="s">
        <v>814</v>
      </c>
      <c r="M210" s="37">
        <f>14500</f>
        <v>14500</v>
      </c>
      <c r="N210" s="34" t="s">
        <v>49</v>
      </c>
      <c r="O210" s="37">
        <f>13200</f>
        <v>13200</v>
      </c>
      <c r="P210" s="34" t="s">
        <v>95</v>
      </c>
      <c r="Q210" s="37">
        <f>13290</f>
        <v>13290</v>
      </c>
      <c r="R210" s="34" t="s">
        <v>95</v>
      </c>
      <c r="S210" s="36">
        <f>14027.06</f>
        <v>14027.06</v>
      </c>
      <c r="T210" s="33">
        <f>574</f>
        <v>574</v>
      </c>
      <c r="U210" s="33" t="str">
        <f>"－"</f>
        <v>－</v>
      </c>
      <c r="V210" s="33">
        <f>7996470</f>
        <v>7996470</v>
      </c>
      <c r="W210" s="33" t="str">
        <f>"－"</f>
        <v>－</v>
      </c>
      <c r="X210" s="35">
        <f>17</f>
        <v>17</v>
      </c>
    </row>
    <row r="211" spans="1:24">
      <c r="A211" s="29" t="s">
        <v>813</v>
      </c>
      <c r="B211" s="29" t="s">
        <v>620</v>
      </c>
      <c r="C211" s="29" t="s">
        <v>621</v>
      </c>
      <c r="D211" s="29" t="s">
        <v>622</v>
      </c>
      <c r="E211" s="30" t="s">
        <v>46</v>
      </c>
      <c r="F211" s="31" t="s">
        <v>46</v>
      </c>
      <c r="G211" s="32" t="s">
        <v>46</v>
      </c>
      <c r="H211" s="27"/>
      <c r="I211" s="27" t="s">
        <v>577</v>
      </c>
      <c r="J211" s="33">
        <v>1</v>
      </c>
      <c r="K211" s="37">
        <f>10070</f>
        <v>10070</v>
      </c>
      <c r="L211" s="34" t="s">
        <v>814</v>
      </c>
      <c r="M211" s="37">
        <f>10860</f>
        <v>10860</v>
      </c>
      <c r="N211" s="34" t="s">
        <v>90</v>
      </c>
      <c r="O211" s="37">
        <f>9100</f>
        <v>9100</v>
      </c>
      <c r="P211" s="34" t="s">
        <v>95</v>
      </c>
      <c r="Q211" s="37">
        <f>9110</f>
        <v>9110</v>
      </c>
      <c r="R211" s="34" t="s">
        <v>95</v>
      </c>
      <c r="S211" s="36">
        <f>10316.67</f>
        <v>10316.67</v>
      </c>
      <c r="T211" s="33">
        <f>14508</f>
        <v>14508</v>
      </c>
      <c r="U211" s="33">
        <f>25</f>
        <v>25</v>
      </c>
      <c r="V211" s="33">
        <f>147924450</f>
        <v>147924450</v>
      </c>
      <c r="W211" s="33">
        <f>246250</f>
        <v>246250</v>
      </c>
      <c r="X211" s="35">
        <f>18</f>
        <v>18</v>
      </c>
    </row>
    <row r="212" spans="1:24">
      <c r="A212" s="29" t="s">
        <v>813</v>
      </c>
      <c r="B212" s="29" t="s">
        <v>623</v>
      </c>
      <c r="C212" s="29" t="s">
        <v>624</v>
      </c>
      <c r="D212" s="29" t="s">
        <v>625</v>
      </c>
      <c r="E212" s="30" t="s">
        <v>46</v>
      </c>
      <c r="F212" s="31" t="s">
        <v>46</v>
      </c>
      <c r="G212" s="32" t="s">
        <v>46</v>
      </c>
      <c r="H212" s="27"/>
      <c r="I212" s="27" t="s">
        <v>577</v>
      </c>
      <c r="J212" s="33">
        <v>1</v>
      </c>
      <c r="K212" s="37">
        <f>6250</f>
        <v>6250</v>
      </c>
      <c r="L212" s="34" t="s">
        <v>814</v>
      </c>
      <c r="M212" s="37">
        <f>6780</f>
        <v>6780</v>
      </c>
      <c r="N212" s="34" t="s">
        <v>95</v>
      </c>
      <c r="O212" s="37">
        <f>6250</f>
        <v>6250</v>
      </c>
      <c r="P212" s="34" t="s">
        <v>814</v>
      </c>
      <c r="Q212" s="37">
        <f>6780</f>
        <v>6780</v>
      </c>
      <c r="R212" s="34" t="s">
        <v>95</v>
      </c>
      <c r="S212" s="36">
        <f>6495.38</f>
        <v>6495.38</v>
      </c>
      <c r="T212" s="33">
        <f>3964</f>
        <v>3964</v>
      </c>
      <c r="U212" s="33" t="str">
        <f t="shared" ref="U212:U217" si="8">"－"</f>
        <v>－</v>
      </c>
      <c r="V212" s="33">
        <f>25585300</f>
        <v>25585300</v>
      </c>
      <c r="W212" s="33" t="str">
        <f t="shared" ref="W212:W217" si="9">"－"</f>
        <v>－</v>
      </c>
      <c r="X212" s="35">
        <f>13</f>
        <v>13</v>
      </c>
    </row>
    <row r="213" spans="1:24">
      <c r="A213" s="29" t="s">
        <v>813</v>
      </c>
      <c r="B213" s="29" t="s">
        <v>626</v>
      </c>
      <c r="C213" s="29" t="s">
        <v>627</v>
      </c>
      <c r="D213" s="29" t="s">
        <v>628</v>
      </c>
      <c r="E213" s="30" t="s">
        <v>46</v>
      </c>
      <c r="F213" s="31" t="s">
        <v>46</v>
      </c>
      <c r="G213" s="32" t="s">
        <v>46</v>
      </c>
      <c r="H213" s="27"/>
      <c r="I213" s="27" t="s">
        <v>577</v>
      </c>
      <c r="J213" s="33">
        <v>1</v>
      </c>
      <c r="K213" s="37">
        <f>9950</f>
        <v>9950</v>
      </c>
      <c r="L213" s="34" t="s">
        <v>814</v>
      </c>
      <c r="M213" s="37">
        <f>10670</f>
        <v>10670</v>
      </c>
      <c r="N213" s="34" t="s">
        <v>100</v>
      </c>
      <c r="O213" s="37">
        <f>9130</f>
        <v>9130</v>
      </c>
      <c r="P213" s="34" t="s">
        <v>95</v>
      </c>
      <c r="Q213" s="37">
        <f>9160</f>
        <v>9160</v>
      </c>
      <c r="R213" s="34" t="s">
        <v>95</v>
      </c>
      <c r="S213" s="36">
        <f>10128.67</f>
        <v>10128.67</v>
      </c>
      <c r="T213" s="33">
        <f>9632</f>
        <v>9632</v>
      </c>
      <c r="U213" s="33" t="str">
        <f t="shared" si="8"/>
        <v>－</v>
      </c>
      <c r="V213" s="33">
        <f>99076260</f>
        <v>99076260</v>
      </c>
      <c r="W213" s="33" t="str">
        <f t="shared" si="9"/>
        <v>－</v>
      </c>
      <c r="X213" s="35">
        <f>15</f>
        <v>15</v>
      </c>
    </row>
    <row r="214" spans="1:24">
      <c r="A214" s="29" t="s">
        <v>813</v>
      </c>
      <c r="B214" s="29" t="s">
        <v>629</v>
      </c>
      <c r="C214" s="29" t="s">
        <v>630</v>
      </c>
      <c r="D214" s="29" t="s">
        <v>631</v>
      </c>
      <c r="E214" s="30" t="s">
        <v>46</v>
      </c>
      <c r="F214" s="31" t="s">
        <v>46</v>
      </c>
      <c r="G214" s="32" t="s">
        <v>46</v>
      </c>
      <c r="H214" s="27"/>
      <c r="I214" s="27" t="s">
        <v>577</v>
      </c>
      <c r="J214" s="33">
        <v>1</v>
      </c>
      <c r="K214" s="37">
        <f>10410</f>
        <v>10410</v>
      </c>
      <c r="L214" s="34" t="s">
        <v>814</v>
      </c>
      <c r="M214" s="37">
        <f>10910</f>
        <v>10910</v>
      </c>
      <c r="N214" s="34" t="s">
        <v>100</v>
      </c>
      <c r="O214" s="37">
        <f>9280</f>
        <v>9280</v>
      </c>
      <c r="P214" s="34" t="s">
        <v>95</v>
      </c>
      <c r="Q214" s="37">
        <f>9280</f>
        <v>9280</v>
      </c>
      <c r="R214" s="34" t="s">
        <v>95</v>
      </c>
      <c r="S214" s="36">
        <f>10263.85</f>
        <v>10263.85</v>
      </c>
      <c r="T214" s="33">
        <f>2314</f>
        <v>2314</v>
      </c>
      <c r="U214" s="33" t="str">
        <f t="shared" si="8"/>
        <v>－</v>
      </c>
      <c r="V214" s="33">
        <f>24742600</f>
        <v>24742600</v>
      </c>
      <c r="W214" s="33" t="str">
        <f t="shared" si="9"/>
        <v>－</v>
      </c>
      <c r="X214" s="35">
        <f>13</f>
        <v>13</v>
      </c>
    </row>
    <row r="215" spans="1:24">
      <c r="A215" s="29" t="s">
        <v>813</v>
      </c>
      <c r="B215" s="29" t="s">
        <v>632</v>
      </c>
      <c r="C215" s="29" t="s">
        <v>633</v>
      </c>
      <c r="D215" s="29" t="s">
        <v>634</v>
      </c>
      <c r="E215" s="30" t="s">
        <v>46</v>
      </c>
      <c r="F215" s="31" t="s">
        <v>46</v>
      </c>
      <c r="G215" s="32" t="s">
        <v>46</v>
      </c>
      <c r="H215" s="27"/>
      <c r="I215" s="27" t="s">
        <v>577</v>
      </c>
      <c r="J215" s="33">
        <v>1</v>
      </c>
      <c r="K215" s="37">
        <f>11600</f>
        <v>11600</v>
      </c>
      <c r="L215" s="34" t="s">
        <v>818</v>
      </c>
      <c r="M215" s="37">
        <f>12100</f>
        <v>12100</v>
      </c>
      <c r="N215" s="34" t="s">
        <v>48</v>
      </c>
      <c r="O215" s="37">
        <f>10610</f>
        <v>10610</v>
      </c>
      <c r="P215" s="34" t="s">
        <v>95</v>
      </c>
      <c r="Q215" s="37">
        <f>10610</f>
        <v>10610</v>
      </c>
      <c r="R215" s="34" t="s">
        <v>95</v>
      </c>
      <c r="S215" s="36">
        <f>11611.25</f>
        <v>11611.25</v>
      </c>
      <c r="T215" s="33">
        <f>584</f>
        <v>584</v>
      </c>
      <c r="U215" s="33" t="str">
        <f t="shared" si="8"/>
        <v>－</v>
      </c>
      <c r="V215" s="33">
        <f>6809470</f>
        <v>6809470</v>
      </c>
      <c r="W215" s="33" t="str">
        <f t="shared" si="9"/>
        <v>－</v>
      </c>
      <c r="X215" s="35">
        <f>8</f>
        <v>8</v>
      </c>
    </row>
    <row r="216" spans="1:24">
      <c r="A216" s="29" t="s">
        <v>813</v>
      </c>
      <c r="B216" s="29" t="s">
        <v>635</v>
      </c>
      <c r="C216" s="29" t="s">
        <v>636</v>
      </c>
      <c r="D216" s="29" t="s">
        <v>637</v>
      </c>
      <c r="E216" s="30" t="s">
        <v>46</v>
      </c>
      <c r="F216" s="31" t="s">
        <v>46</v>
      </c>
      <c r="G216" s="32" t="s">
        <v>46</v>
      </c>
      <c r="H216" s="27"/>
      <c r="I216" s="27" t="s">
        <v>577</v>
      </c>
      <c r="J216" s="33">
        <v>1</v>
      </c>
      <c r="K216" s="37">
        <f>13840</f>
        <v>13840</v>
      </c>
      <c r="L216" s="34" t="s">
        <v>818</v>
      </c>
      <c r="M216" s="37">
        <f>14630</f>
        <v>14630</v>
      </c>
      <c r="N216" s="34" t="s">
        <v>150</v>
      </c>
      <c r="O216" s="37">
        <f>13270</f>
        <v>13270</v>
      </c>
      <c r="P216" s="34" t="s">
        <v>95</v>
      </c>
      <c r="Q216" s="37">
        <f>13270</f>
        <v>13270</v>
      </c>
      <c r="R216" s="34" t="s">
        <v>95</v>
      </c>
      <c r="S216" s="36">
        <f>14037.14</f>
        <v>14037.14</v>
      </c>
      <c r="T216" s="33">
        <f>6162</f>
        <v>6162</v>
      </c>
      <c r="U216" s="33" t="str">
        <f t="shared" si="8"/>
        <v>－</v>
      </c>
      <c r="V216" s="33">
        <f>88685800</f>
        <v>88685800</v>
      </c>
      <c r="W216" s="33" t="str">
        <f t="shared" si="9"/>
        <v>－</v>
      </c>
      <c r="X216" s="35">
        <f>7</f>
        <v>7</v>
      </c>
    </row>
    <row r="217" spans="1:24">
      <c r="A217" s="29" t="s">
        <v>813</v>
      </c>
      <c r="B217" s="29" t="s">
        <v>638</v>
      </c>
      <c r="C217" s="29" t="s">
        <v>639</v>
      </c>
      <c r="D217" s="29" t="s">
        <v>640</v>
      </c>
      <c r="E217" s="30" t="s">
        <v>46</v>
      </c>
      <c r="F217" s="31" t="s">
        <v>46</v>
      </c>
      <c r="G217" s="32" t="s">
        <v>46</v>
      </c>
      <c r="H217" s="27"/>
      <c r="I217" s="27" t="s">
        <v>577</v>
      </c>
      <c r="J217" s="33">
        <v>1</v>
      </c>
      <c r="K217" s="37">
        <f>10620</f>
        <v>10620</v>
      </c>
      <c r="L217" s="34" t="s">
        <v>814</v>
      </c>
      <c r="M217" s="37">
        <f>11190</f>
        <v>11190</v>
      </c>
      <c r="N217" s="34" t="s">
        <v>48</v>
      </c>
      <c r="O217" s="37">
        <f>9630</f>
        <v>9630</v>
      </c>
      <c r="P217" s="34" t="s">
        <v>95</v>
      </c>
      <c r="Q217" s="37">
        <f>9630</f>
        <v>9630</v>
      </c>
      <c r="R217" s="34" t="s">
        <v>95</v>
      </c>
      <c r="S217" s="36">
        <f>10711.43</f>
        <v>10711.43</v>
      </c>
      <c r="T217" s="33">
        <f>5098</f>
        <v>5098</v>
      </c>
      <c r="U217" s="33" t="str">
        <f t="shared" si="8"/>
        <v>－</v>
      </c>
      <c r="V217" s="33">
        <f>54001920</f>
        <v>54001920</v>
      </c>
      <c r="W217" s="33" t="str">
        <f t="shared" si="9"/>
        <v>－</v>
      </c>
      <c r="X217" s="35">
        <f>14</f>
        <v>14</v>
      </c>
    </row>
    <row r="218" spans="1:24">
      <c r="A218" s="29" t="s">
        <v>813</v>
      </c>
      <c r="B218" s="29" t="s">
        <v>641</v>
      </c>
      <c r="C218" s="29" t="s">
        <v>642</v>
      </c>
      <c r="D218" s="29" t="s">
        <v>643</v>
      </c>
      <c r="E218" s="30" t="s">
        <v>46</v>
      </c>
      <c r="F218" s="31" t="s">
        <v>46</v>
      </c>
      <c r="G218" s="32" t="s">
        <v>46</v>
      </c>
      <c r="H218" s="27"/>
      <c r="I218" s="27" t="s">
        <v>577</v>
      </c>
      <c r="J218" s="33">
        <v>1</v>
      </c>
      <c r="K218" s="37">
        <f>9640</f>
        <v>9640</v>
      </c>
      <c r="L218" s="34" t="s">
        <v>814</v>
      </c>
      <c r="M218" s="37">
        <f>10200</f>
        <v>10200</v>
      </c>
      <c r="N218" s="34" t="s">
        <v>100</v>
      </c>
      <c r="O218" s="37">
        <f>8780</f>
        <v>8780</v>
      </c>
      <c r="P218" s="34" t="s">
        <v>95</v>
      </c>
      <c r="Q218" s="37">
        <f>8780</f>
        <v>8780</v>
      </c>
      <c r="R218" s="34" t="s">
        <v>95</v>
      </c>
      <c r="S218" s="36">
        <f>9773.75</f>
        <v>9773.75</v>
      </c>
      <c r="T218" s="33">
        <f>31594</f>
        <v>31594</v>
      </c>
      <c r="U218" s="33">
        <f>23000</f>
        <v>23000</v>
      </c>
      <c r="V218" s="33">
        <f>313914470</f>
        <v>313914470</v>
      </c>
      <c r="W218" s="33">
        <f>227240000</f>
        <v>227240000</v>
      </c>
      <c r="X218" s="35">
        <f>8</f>
        <v>8</v>
      </c>
    </row>
    <row r="219" spans="1:24">
      <c r="A219" s="29" t="s">
        <v>813</v>
      </c>
      <c r="B219" s="29" t="s">
        <v>644</v>
      </c>
      <c r="C219" s="29" t="s">
        <v>645</v>
      </c>
      <c r="D219" s="29" t="s">
        <v>646</v>
      </c>
      <c r="E219" s="30" t="s">
        <v>46</v>
      </c>
      <c r="F219" s="31" t="s">
        <v>46</v>
      </c>
      <c r="G219" s="32" t="s">
        <v>46</v>
      </c>
      <c r="H219" s="27"/>
      <c r="I219" s="27" t="s">
        <v>577</v>
      </c>
      <c r="J219" s="33">
        <v>1</v>
      </c>
      <c r="K219" s="37">
        <f>12080</f>
        <v>12080</v>
      </c>
      <c r="L219" s="34" t="s">
        <v>817</v>
      </c>
      <c r="M219" s="37">
        <f>12250</f>
        <v>12250</v>
      </c>
      <c r="N219" s="34" t="s">
        <v>100</v>
      </c>
      <c r="O219" s="37">
        <f>10480</f>
        <v>10480</v>
      </c>
      <c r="P219" s="34" t="s">
        <v>95</v>
      </c>
      <c r="Q219" s="37">
        <f>10480</f>
        <v>10480</v>
      </c>
      <c r="R219" s="34" t="s">
        <v>95</v>
      </c>
      <c r="S219" s="36">
        <f>11502.86</f>
        <v>11502.86</v>
      </c>
      <c r="T219" s="33">
        <f>61</f>
        <v>61</v>
      </c>
      <c r="U219" s="33" t="str">
        <f>"－"</f>
        <v>－</v>
      </c>
      <c r="V219" s="33">
        <f>709750</f>
        <v>709750</v>
      </c>
      <c r="W219" s="33" t="str">
        <f>"－"</f>
        <v>－</v>
      </c>
      <c r="X219" s="35">
        <f>7</f>
        <v>7</v>
      </c>
    </row>
    <row r="220" spans="1:24">
      <c r="A220" s="29" t="s">
        <v>813</v>
      </c>
      <c r="B220" s="29" t="s">
        <v>647</v>
      </c>
      <c r="C220" s="29" t="s">
        <v>648</v>
      </c>
      <c r="D220" s="29" t="s">
        <v>649</v>
      </c>
      <c r="E220" s="30" t="s">
        <v>46</v>
      </c>
      <c r="F220" s="31" t="s">
        <v>46</v>
      </c>
      <c r="G220" s="32" t="s">
        <v>46</v>
      </c>
      <c r="H220" s="27"/>
      <c r="I220" s="27" t="s">
        <v>47</v>
      </c>
      <c r="J220" s="33">
        <v>10</v>
      </c>
      <c r="K220" s="37">
        <f>1013</f>
        <v>1013</v>
      </c>
      <c r="L220" s="34" t="s">
        <v>814</v>
      </c>
      <c r="M220" s="37">
        <f>1023</f>
        <v>1023</v>
      </c>
      <c r="N220" s="34" t="s">
        <v>95</v>
      </c>
      <c r="O220" s="37">
        <f>1009</f>
        <v>1009</v>
      </c>
      <c r="P220" s="34" t="s">
        <v>48</v>
      </c>
      <c r="Q220" s="37">
        <f>1021</f>
        <v>1021</v>
      </c>
      <c r="R220" s="34" t="s">
        <v>95</v>
      </c>
      <c r="S220" s="36">
        <f>1015.67</f>
        <v>1015.67</v>
      </c>
      <c r="T220" s="33">
        <f>64030</f>
        <v>64030</v>
      </c>
      <c r="U220" s="33" t="str">
        <f>"－"</f>
        <v>－</v>
      </c>
      <c r="V220" s="33">
        <f>65068270</f>
        <v>65068270</v>
      </c>
      <c r="W220" s="33" t="str">
        <f>"－"</f>
        <v>－</v>
      </c>
      <c r="X220" s="35">
        <f>18</f>
        <v>18</v>
      </c>
    </row>
    <row r="221" spans="1:24">
      <c r="A221" s="29" t="s">
        <v>813</v>
      </c>
      <c r="B221" s="29" t="s">
        <v>650</v>
      </c>
      <c r="C221" s="29" t="s">
        <v>651</v>
      </c>
      <c r="D221" s="29" t="s">
        <v>652</v>
      </c>
      <c r="E221" s="30" t="s">
        <v>46</v>
      </c>
      <c r="F221" s="31" t="s">
        <v>46</v>
      </c>
      <c r="G221" s="32" t="s">
        <v>46</v>
      </c>
      <c r="H221" s="27"/>
      <c r="I221" s="27" t="s">
        <v>47</v>
      </c>
      <c r="J221" s="33">
        <v>10</v>
      </c>
      <c r="K221" s="37">
        <f>989</f>
        <v>989</v>
      </c>
      <c r="L221" s="34" t="s">
        <v>814</v>
      </c>
      <c r="M221" s="37">
        <f>1020</f>
        <v>1020</v>
      </c>
      <c r="N221" s="34" t="s">
        <v>816</v>
      </c>
      <c r="O221" s="37">
        <f>983</f>
        <v>983</v>
      </c>
      <c r="P221" s="34" t="s">
        <v>814</v>
      </c>
      <c r="Q221" s="37">
        <f>995</f>
        <v>995</v>
      </c>
      <c r="R221" s="34" t="s">
        <v>95</v>
      </c>
      <c r="S221" s="36">
        <f>992.78</f>
        <v>992.78</v>
      </c>
      <c r="T221" s="33">
        <f>1715260</f>
        <v>1715260</v>
      </c>
      <c r="U221" s="33">
        <f>1494120</f>
        <v>1494120</v>
      </c>
      <c r="V221" s="33">
        <f>1708794137</f>
        <v>1708794137</v>
      </c>
      <c r="W221" s="33">
        <f>1489917757</f>
        <v>1489917757</v>
      </c>
      <c r="X221" s="35">
        <f>18</f>
        <v>18</v>
      </c>
    </row>
    <row r="222" spans="1:24">
      <c r="A222" s="29" t="s">
        <v>813</v>
      </c>
      <c r="B222" s="29" t="s">
        <v>653</v>
      </c>
      <c r="C222" s="29" t="s">
        <v>654</v>
      </c>
      <c r="D222" s="29" t="s">
        <v>655</v>
      </c>
      <c r="E222" s="30" t="s">
        <v>46</v>
      </c>
      <c r="F222" s="31" t="s">
        <v>46</v>
      </c>
      <c r="G222" s="32" t="s">
        <v>46</v>
      </c>
      <c r="H222" s="27"/>
      <c r="I222" s="27" t="s">
        <v>47</v>
      </c>
      <c r="J222" s="33">
        <v>10</v>
      </c>
      <c r="K222" s="37">
        <f>1032</f>
        <v>1032</v>
      </c>
      <c r="L222" s="34" t="s">
        <v>814</v>
      </c>
      <c r="M222" s="37">
        <f>1050</f>
        <v>1050</v>
      </c>
      <c r="N222" s="34" t="s">
        <v>95</v>
      </c>
      <c r="O222" s="37">
        <f>1027</f>
        <v>1027</v>
      </c>
      <c r="P222" s="34" t="s">
        <v>48</v>
      </c>
      <c r="Q222" s="37">
        <f>1050</f>
        <v>1050</v>
      </c>
      <c r="R222" s="34" t="s">
        <v>95</v>
      </c>
      <c r="S222" s="36">
        <f>1035.78</f>
        <v>1035.78</v>
      </c>
      <c r="T222" s="33">
        <f>246580</f>
        <v>246580</v>
      </c>
      <c r="U222" s="33">
        <f>195000</f>
        <v>195000</v>
      </c>
      <c r="V222" s="33">
        <f>254883900</f>
        <v>254883900</v>
      </c>
      <c r="W222" s="33">
        <f>201528500</f>
        <v>201528500</v>
      </c>
      <c r="X222" s="35">
        <f>18</f>
        <v>18</v>
      </c>
    </row>
    <row r="223" spans="1:24">
      <c r="A223" s="29" t="s">
        <v>813</v>
      </c>
      <c r="B223" s="29" t="s">
        <v>656</v>
      </c>
      <c r="C223" s="29" t="s">
        <v>657</v>
      </c>
      <c r="D223" s="29" t="s">
        <v>658</v>
      </c>
      <c r="E223" s="30" t="s">
        <v>46</v>
      </c>
      <c r="F223" s="31" t="s">
        <v>46</v>
      </c>
      <c r="G223" s="32" t="s">
        <v>46</v>
      </c>
      <c r="H223" s="27"/>
      <c r="I223" s="27" t="s">
        <v>47</v>
      </c>
      <c r="J223" s="33">
        <v>10</v>
      </c>
      <c r="K223" s="37">
        <f>1124</f>
        <v>1124</v>
      </c>
      <c r="L223" s="34" t="s">
        <v>814</v>
      </c>
      <c r="M223" s="37">
        <f>1208</f>
        <v>1208</v>
      </c>
      <c r="N223" s="34" t="s">
        <v>49</v>
      </c>
      <c r="O223" s="37">
        <f>1031</f>
        <v>1031</v>
      </c>
      <c r="P223" s="34" t="s">
        <v>95</v>
      </c>
      <c r="Q223" s="37">
        <f>1031</f>
        <v>1031</v>
      </c>
      <c r="R223" s="34" t="s">
        <v>95</v>
      </c>
      <c r="S223" s="36">
        <f>1162.5</f>
        <v>1162.5</v>
      </c>
      <c r="T223" s="33">
        <f>1530570</f>
        <v>1530570</v>
      </c>
      <c r="U223" s="33">
        <f>1286000</f>
        <v>1286000</v>
      </c>
      <c r="V223" s="33">
        <f>1788447270</f>
        <v>1788447270</v>
      </c>
      <c r="W223" s="33">
        <f>1509114940</f>
        <v>1509114940</v>
      </c>
      <c r="X223" s="35">
        <f>18</f>
        <v>18</v>
      </c>
    </row>
    <row r="224" spans="1:24">
      <c r="A224" s="29" t="s">
        <v>813</v>
      </c>
      <c r="B224" s="29" t="s">
        <v>659</v>
      </c>
      <c r="C224" s="29" t="s">
        <v>660</v>
      </c>
      <c r="D224" s="29" t="s">
        <v>661</v>
      </c>
      <c r="E224" s="30" t="s">
        <v>46</v>
      </c>
      <c r="F224" s="31" t="s">
        <v>46</v>
      </c>
      <c r="G224" s="32" t="s">
        <v>46</v>
      </c>
      <c r="H224" s="27"/>
      <c r="I224" s="27" t="s">
        <v>47</v>
      </c>
      <c r="J224" s="33">
        <v>10</v>
      </c>
      <c r="K224" s="37">
        <f>1149</f>
        <v>1149</v>
      </c>
      <c r="L224" s="34" t="s">
        <v>814</v>
      </c>
      <c r="M224" s="37">
        <f>1212</f>
        <v>1212</v>
      </c>
      <c r="N224" s="34" t="s">
        <v>49</v>
      </c>
      <c r="O224" s="37">
        <f>1048</f>
        <v>1048</v>
      </c>
      <c r="P224" s="34" t="s">
        <v>95</v>
      </c>
      <c r="Q224" s="37">
        <f>1048</f>
        <v>1048</v>
      </c>
      <c r="R224" s="34" t="s">
        <v>95</v>
      </c>
      <c r="S224" s="36">
        <f>1171.35</f>
        <v>1171.3499999999999</v>
      </c>
      <c r="T224" s="33">
        <f>1298750</f>
        <v>1298750</v>
      </c>
      <c r="U224" s="33">
        <f>1125000</f>
        <v>1125000</v>
      </c>
      <c r="V224" s="33">
        <f>1507199730</f>
        <v>1507199730</v>
      </c>
      <c r="W224" s="33">
        <f>1305150500</f>
        <v>1305150500</v>
      </c>
      <c r="X224" s="35">
        <f>17</f>
        <v>17</v>
      </c>
    </row>
    <row r="225" spans="1:24">
      <c r="A225" s="29" t="s">
        <v>813</v>
      </c>
      <c r="B225" s="29" t="s">
        <v>662</v>
      </c>
      <c r="C225" s="29" t="s">
        <v>663</v>
      </c>
      <c r="D225" s="29" t="s">
        <v>664</v>
      </c>
      <c r="E225" s="30" t="s">
        <v>46</v>
      </c>
      <c r="F225" s="31" t="s">
        <v>46</v>
      </c>
      <c r="G225" s="32" t="s">
        <v>46</v>
      </c>
      <c r="H225" s="27"/>
      <c r="I225" s="27" t="s">
        <v>47</v>
      </c>
      <c r="J225" s="33">
        <v>10</v>
      </c>
      <c r="K225" s="37">
        <f>1076</f>
        <v>1076</v>
      </c>
      <c r="L225" s="34" t="s">
        <v>814</v>
      </c>
      <c r="M225" s="37">
        <f>1156</f>
        <v>1156</v>
      </c>
      <c r="N225" s="34" t="s">
        <v>150</v>
      </c>
      <c r="O225" s="37">
        <f>1024</f>
        <v>1024</v>
      </c>
      <c r="P225" s="34" t="s">
        <v>95</v>
      </c>
      <c r="Q225" s="37">
        <f>1032</f>
        <v>1032</v>
      </c>
      <c r="R225" s="34" t="s">
        <v>95</v>
      </c>
      <c r="S225" s="36">
        <f>1110.72</f>
        <v>1110.72</v>
      </c>
      <c r="T225" s="33">
        <f>385710</f>
        <v>385710</v>
      </c>
      <c r="U225" s="33">
        <f>72630</f>
        <v>72630</v>
      </c>
      <c r="V225" s="33">
        <f>426023817</f>
        <v>426023817</v>
      </c>
      <c r="W225" s="33">
        <f>81934137</f>
        <v>81934137</v>
      </c>
      <c r="X225" s="35">
        <f>18</f>
        <v>18</v>
      </c>
    </row>
    <row r="226" spans="1:24">
      <c r="A226" s="29" t="s">
        <v>813</v>
      </c>
      <c r="B226" s="29" t="s">
        <v>665</v>
      </c>
      <c r="C226" s="29" t="s">
        <v>666</v>
      </c>
      <c r="D226" s="29" t="s">
        <v>667</v>
      </c>
      <c r="E226" s="30" t="s">
        <v>46</v>
      </c>
      <c r="F226" s="31" t="s">
        <v>46</v>
      </c>
      <c r="G226" s="32" t="s">
        <v>46</v>
      </c>
      <c r="H226" s="27"/>
      <c r="I226" s="27" t="s">
        <v>47</v>
      </c>
      <c r="J226" s="33">
        <v>10</v>
      </c>
      <c r="K226" s="37">
        <f>613</f>
        <v>613</v>
      </c>
      <c r="L226" s="34" t="s">
        <v>814</v>
      </c>
      <c r="M226" s="37">
        <f>661</f>
        <v>661</v>
      </c>
      <c r="N226" s="34" t="s">
        <v>820</v>
      </c>
      <c r="O226" s="37">
        <f>535</f>
        <v>535</v>
      </c>
      <c r="P226" s="34" t="s">
        <v>95</v>
      </c>
      <c r="Q226" s="37">
        <f>537</f>
        <v>537</v>
      </c>
      <c r="R226" s="34" t="s">
        <v>95</v>
      </c>
      <c r="S226" s="36">
        <f>625.17</f>
        <v>625.16999999999996</v>
      </c>
      <c r="T226" s="33">
        <f>1995730</f>
        <v>1995730</v>
      </c>
      <c r="U226" s="33">
        <f>171760</f>
        <v>171760</v>
      </c>
      <c r="V226" s="33">
        <f>1204719928</f>
        <v>1204719928</v>
      </c>
      <c r="W226" s="33">
        <f>109787608</f>
        <v>109787608</v>
      </c>
      <c r="X226" s="35">
        <f>18</f>
        <v>18</v>
      </c>
    </row>
    <row r="227" spans="1:24">
      <c r="A227" s="29" t="s">
        <v>813</v>
      </c>
      <c r="B227" s="29" t="s">
        <v>668</v>
      </c>
      <c r="C227" s="29" t="s">
        <v>669</v>
      </c>
      <c r="D227" s="29" t="s">
        <v>670</v>
      </c>
      <c r="E227" s="30" t="s">
        <v>46</v>
      </c>
      <c r="F227" s="31" t="s">
        <v>46</v>
      </c>
      <c r="G227" s="32" t="s">
        <v>46</v>
      </c>
      <c r="H227" s="27"/>
      <c r="I227" s="27" t="s">
        <v>47</v>
      </c>
      <c r="J227" s="33">
        <v>10</v>
      </c>
      <c r="K227" s="37">
        <f>1298</f>
        <v>1298</v>
      </c>
      <c r="L227" s="34" t="s">
        <v>814</v>
      </c>
      <c r="M227" s="37">
        <f>1310</f>
        <v>1310</v>
      </c>
      <c r="N227" s="34" t="s">
        <v>819</v>
      </c>
      <c r="O227" s="37">
        <f>1185</f>
        <v>1185</v>
      </c>
      <c r="P227" s="34" t="s">
        <v>95</v>
      </c>
      <c r="Q227" s="37">
        <f>1185</f>
        <v>1185</v>
      </c>
      <c r="R227" s="34" t="s">
        <v>95</v>
      </c>
      <c r="S227" s="36">
        <f>1286.94</f>
        <v>1286.94</v>
      </c>
      <c r="T227" s="33">
        <f>4274610</f>
        <v>4274610</v>
      </c>
      <c r="U227" s="33">
        <f>4174900</f>
        <v>4174900</v>
      </c>
      <c r="V227" s="33">
        <f>5554409965</f>
        <v>5554409965</v>
      </c>
      <c r="W227" s="33">
        <f>5429560815</f>
        <v>5429560815</v>
      </c>
      <c r="X227" s="35">
        <f>17</f>
        <v>17</v>
      </c>
    </row>
    <row r="228" spans="1:24">
      <c r="A228" s="29" t="s">
        <v>813</v>
      </c>
      <c r="B228" s="29" t="s">
        <v>671</v>
      </c>
      <c r="C228" s="29" t="s">
        <v>672</v>
      </c>
      <c r="D228" s="29" t="s">
        <v>673</v>
      </c>
      <c r="E228" s="30" t="s">
        <v>46</v>
      </c>
      <c r="F228" s="31" t="s">
        <v>46</v>
      </c>
      <c r="G228" s="32" t="s">
        <v>46</v>
      </c>
      <c r="H228" s="27"/>
      <c r="I228" s="27" t="s">
        <v>47</v>
      </c>
      <c r="J228" s="33">
        <v>1</v>
      </c>
      <c r="K228" s="37">
        <f>966</f>
        <v>966</v>
      </c>
      <c r="L228" s="34" t="s">
        <v>814</v>
      </c>
      <c r="M228" s="37">
        <f>1010</f>
        <v>1010</v>
      </c>
      <c r="N228" s="34" t="s">
        <v>100</v>
      </c>
      <c r="O228" s="37">
        <f>875</f>
        <v>875</v>
      </c>
      <c r="P228" s="34" t="s">
        <v>95</v>
      </c>
      <c r="Q228" s="37">
        <f>876</f>
        <v>876</v>
      </c>
      <c r="R228" s="34" t="s">
        <v>95</v>
      </c>
      <c r="S228" s="36">
        <f>969.06</f>
        <v>969.06</v>
      </c>
      <c r="T228" s="33">
        <f>130585</f>
        <v>130585</v>
      </c>
      <c r="U228" s="33" t="str">
        <f>"－"</f>
        <v>－</v>
      </c>
      <c r="V228" s="33">
        <f>128184206</f>
        <v>128184206</v>
      </c>
      <c r="W228" s="33" t="str">
        <f>"－"</f>
        <v>－</v>
      </c>
      <c r="X228" s="35">
        <f>18</f>
        <v>18</v>
      </c>
    </row>
    <row r="229" spans="1:24">
      <c r="A229" s="29" t="s">
        <v>813</v>
      </c>
      <c r="B229" s="29" t="s">
        <v>674</v>
      </c>
      <c r="C229" s="29" t="s">
        <v>675</v>
      </c>
      <c r="D229" s="29" t="s">
        <v>676</v>
      </c>
      <c r="E229" s="30" t="s">
        <v>46</v>
      </c>
      <c r="F229" s="31" t="s">
        <v>46</v>
      </c>
      <c r="G229" s="32" t="s">
        <v>46</v>
      </c>
      <c r="H229" s="27"/>
      <c r="I229" s="27" t="s">
        <v>47</v>
      </c>
      <c r="J229" s="33">
        <v>10</v>
      </c>
      <c r="K229" s="37">
        <f>1076</f>
        <v>1076</v>
      </c>
      <c r="L229" s="34" t="s">
        <v>814</v>
      </c>
      <c r="M229" s="37">
        <f>1143</f>
        <v>1143</v>
      </c>
      <c r="N229" s="34" t="s">
        <v>79</v>
      </c>
      <c r="O229" s="37">
        <f>1070</f>
        <v>1070</v>
      </c>
      <c r="P229" s="34" t="s">
        <v>814</v>
      </c>
      <c r="Q229" s="37">
        <f>1081</f>
        <v>1081</v>
      </c>
      <c r="R229" s="34" t="s">
        <v>95</v>
      </c>
      <c r="S229" s="36">
        <f>1097.78</f>
        <v>1097.78</v>
      </c>
      <c r="T229" s="33">
        <f>155590</f>
        <v>155590</v>
      </c>
      <c r="U229" s="33" t="str">
        <f>"－"</f>
        <v>－</v>
      </c>
      <c r="V229" s="33">
        <f>172161380</f>
        <v>172161380</v>
      </c>
      <c r="W229" s="33" t="str">
        <f>"－"</f>
        <v>－</v>
      </c>
      <c r="X229" s="35">
        <f>18</f>
        <v>18</v>
      </c>
    </row>
    <row r="230" spans="1:24">
      <c r="A230" s="29" t="s">
        <v>813</v>
      </c>
      <c r="B230" s="29" t="s">
        <v>677</v>
      </c>
      <c r="C230" s="29" t="s">
        <v>678</v>
      </c>
      <c r="D230" s="29" t="s">
        <v>679</v>
      </c>
      <c r="E230" s="30" t="s">
        <v>46</v>
      </c>
      <c r="F230" s="31" t="s">
        <v>46</v>
      </c>
      <c r="G230" s="32" t="s">
        <v>46</v>
      </c>
      <c r="H230" s="27"/>
      <c r="I230" s="27" t="s">
        <v>47</v>
      </c>
      <c r="J230" s="33">
        <v>10</v>
      </c>
      <c r="K230" s="37">
        <f>999</f>
        <v>999</v>
      </c>
      <c r="L230" s="34" t="s">
        <v>814</v>
      </c>
      <c r="M230" s="37">
        <f>1058</f>
        <v>1058</v>
      </c>
      <c r="N230" s="34" t="s">
        <v>49</v>
      </c>
      <c r="O230" s="37">
        <f>934</f>
        <v>934</v>
      </c>
      <c r="P230" s="34" t="s">
        <v>95</v>
      </c>
      <c r="Q230" s="37">
        <f>934</f>
        <v>934</v>
      </c>
      <c r="R230" s="34" t="s">
        <v>95</v>
      </c>
      <c r="S230" s="36">
        <f>1021.44</f>
        <v>1021.44</v>
      </c>
      <c r="T230" s="33">
        <f>504700</f>
        <v>504700</v>
      </c>
      <c r="U230" s="33">
        <f>60</f>
        <v>60</v>
      </c>
      <c r="V230" s="33">
        <f>518542880</f>
        <v>518542880</v>
      </c>
      <c r="W230" s="33">
        <f>62640</f>
        <v>62640</v>
      </c>
      <c r="X230" s="35">
        <f>18</f>
        <v>18</v>
      </c>
    </row>
    <row r="231" spans="1:24">
      <c r="A231" s="29" t="s">
        <v>813</v>
      </c>
      <c r="B231" s="29" t="s">
        <v>680</v>
      </c>
      <c r="C231" s="29" t="s">
        <v>681</v>
      </c>
      <c r="D231" s="29" t="s">
        <v>682</v>
      </c>
      <c r="E231" s="30" t="s">
        <v>46</v>
      </c>
      <c r="F231" s="31" t="s">
        <v>46</v>
      </c>
      <c r="G231" s="32" t="s">
        <v>46</v>
      </c>
      <c r="H231" s="27"/>
      <c r="I231" s="27" t="s">
        <v>47</v>
      </c>
      <c r="J231" s="33">
        <v>10</v>
      </c>
      <c r="K231" s="37">
        <f>1123</f>
        <v>1123</v>
      </c>
      <c r="L231" s="34" t="s">
        <v>814</v>
      </c>
      <c r="M231" s="37">
        <f>1181</f>
        <v>1181</v>
      </c>
      <c r="N231" s="34" t="s">
        <v>49</v>
      </c>
      <c r="O231" s="37">
        <f>1010</f>
        <v>1010</v>
      </c>
      <c r="P231" s="34" t="s">
        <v>95</v>
      </c>
      <c r="Q231" s="37">
        <f>1010</f>
        <v>1010</v>
      </c>
      <c r="R231" s="34" t="s">
        <v>95</v>
      </c>
      <c r="S231" s="36">
        <f>1142.94</f>
        <v>1142.94</v>
      </c>
      <c r="T231" s="33">
        <f>9669160</f>
        <v>9669160</v>
      </c>
      <c r="U231" s="33">
        <f>3514400</f>
        <v>3514400</v>
      </c>
      <c r="V231" s="33">
        <f>10692066600</f>
        <v>10692066600</v>
      </c>
      <c r="W231" s="33">
        <f>3854320370</f>
        <v>3854320370</v>
      </c>
      <c r="X231" s="35">
        <f>18</f>
        <v>18</v>
      </c>
    </row>
    <row r="232" spans="1:24">
      <c r="A232" s="29" t="s">
        <v>813</v>
      </c>
      <c r="B232" s="29" t="s">
        <v>683</v>
      </c>
      <c r="C232" s="29" t="s">
        <v>684</v>
      </c>
      <c r="D232" s="29" t="s">
        <v>685</v>
      </c>
      <c r="E232" s="30" t="s">
        <v>46</v>
      </c>
      <c r="F232" s="31" t="s">
        <v>46</v>
      </c>
      <c r="G232" s="32" t="s">
        <v>46</v>
      </c>
      <c r="H232" s="27"/>
      <c r="I232" s="27" t="s">
        <v>47</v>
      </c>
      <c r="J232" s="33">
        <v>1</v>
      </c>
      <c r="K232" s="37">
        <f>2430</f>
        <v>2430</v>
      </c>
      <c r="L232" s="34" t="s">
        <v>814</v>
      </c>
      <c r="M232" s="37">
        <f>2647</f>
        <v>2647</v>
      </c>
      <c r="N232" s="34" t="s">
        <v>48</v>
      </c>
      <c r="O232" s="37">
        <f>2200</f>
        <v>2200</v>
      </c>
      <c r="P232" s="34" t="s">
        <v>95</v>
      </c>
      <c r="Q232" s="37">
        <f>2200</f>
        <v>2200</v>
      </c>
      <c r="R232" s="34" t="s">
        <v>95</v>
      </c>
      <c r="S232" s="36">
        <f>2493.39</f>
        <v>2493.39</v>
      </c>
      <c r="T232" s="33">
        <f>186361</f>
        <v>186361</v>
      </c>
      <c r="U232" s="33">
        <f>147000</f>
        <v>147000</v>
      </c>
      <c r="V232" s="33">
        <f>458496267</f>
        <v>458496267</v>
      </c>
      <c r="W232" s="33">
        <f>361860000</f>
        <v>361860000</v>
      </c>
      <c r="X232" s="35">
        <f>18</f>
        <v>18</v>
      </c>
    </row>
    <row r="233" spans="1:24">
      <c r="A233" s="29" t="s">
        <v>813</v>
      </c>
      <c r="B233" s="29" t="s">
        <v>686</v>
      </c>
      <c r="C233" s="29" t="s">
        <v>687</v>
      </c>
      <c r="D233" s="29" t="s">
        <v>688</v>
      </c>
      <c r="E233" s="30" t="s">
        <v>46</v>
      </c>
      <c r="F233" s="31" t="s">
        <v>46</v>
      </c>
      <c r="G233" s="32" t="s">
        <v>46</v>
      </c>
      <c r="H233" s="27"/>
      <c r="I233" s="27" t="s">
        <v>47</v>
      </c>
      <c r="J233" s="33">
        <v>10</v>
      </c>
      <c r="K233" s="37">
        <f>1492</f>
        <v>1492</v>
      </c>
      <c r="L233" s="34" t="s">
        <v>818</v>
      </c>
      <c r="M233" s="37">
        <f>1504</f>
        <v>1504</v>
      </c>
      <c r="N233" s="34" t="s">
        <v>822</v>
      </c>
      <c r="O233" s="37">
        <f>1353</f>
        <v>1353</v>
      </c>
      <c r="P233" s="34" t="s">
        <v>95</v>
      </c>
      <c r="Q233" s="37">
        <f>1353</f>
        <v>1353</v>
      </c>
      <c r="R233" s="34" t="s">
        <v>95</v>
      </c>
      <c r="S233" s="36">
        <f>1438</f>
        <v>1438</v>
      </c>
      <c r="T233" s="33">
        <f>1080</f>
        <v>1080</v>
      </c>
      <c r="U233" s="33" t="str">
        <f>"－"</f>
        <v>－</v>
      </c>
      <c r="V233" s="33">
        <f>1563480</f>
        <v>1563480</v>
      </c>
      <c r="W233" s="33" t="str">
        <f>"－"</f>
        <v>－</v>
      </c>
      <c r="X233" s="35">
        <f>6</f>
        <v>6</v>
      </c>
    </row>
    <row r="234" spans="1:24">
      <c r="A234" s="29" t="s">
        <v>813</v>
      </c>
      <c r="B234" s="29" t="s">
        <v>689</v>
      </c>
      <c r="C234" s="29" t="s">
        <v>690</v>
      </c>
      <c r="D234" s="29" t="s">
        <v>691</v>
      </c>
      <c r="E234" s="30" t="s">
        <v>46</v>
      </c>
      <c r="F234" s="31" t="s">
        <v>46</v>
      </c>
      <c r="G234" s="32" t="s">
        <v>46</v>
      </c>
      <c r="H234" s="27"/>
      <c r="I234" s="27" t="s">
        <v>47</v>
      </c>
      <c r="J234" s="33">
        <v>10</v>
      </c>
      <c r="K234" s="37">
        <f>1740</f>
        <v>1740</v>
      </c>
      <c r="L234" s="34" t="s">
        <v>815</v>
      </c>
      <c r="M234" s="37">
        <f>1740</f>
        <v>1740</v>
      </c>
      <c r="N234" s="34" t="s">
        <v>815</v>
      </c>
      <c r="O234" s="37">
        <f>1527</f>
        <v>1527</v>
      </c>
      <c r="P234" s="34" t="s">
        <v>95</v>
      </c>
      <c r="Q234" s="37">
        <f>1527</f>
        <v>1527</v>
      </c>
      <c r="R234" s="34" t="s">
        <v>95</v>
      </c>
      <c r="S234" s="36">
        <f>1656.6</f>
        <v>1656.6</v>
      </c>
      <c r="T234" s="33">
        <f>102700</f>
        <v>102700</v>
      </c>
      <c r="U234" s="33">
        <f>100000</f>
        <v>100000</v>
      </c>
      <c r="V234" s="33">
        <f>172315350</f>
        <v>172315350</v>
      </c>
      <c r="W234" s="33">
        <f>167690000</f>
        <v>167690000</v>
      </c>
      <c r="X234" s="35">
        <f>5</f>
        <v>5</v>
      </c>
    </row>
    <row r="235" spans="1:24">
      <c r="A235" s="29" t="s">
        <v>813</v>
      </c>
      <c r="B235" s="29" t="s">
        <v>692</v>
      </c>
      <c r="C235" s="29" t="s">
        <v>693</v>
      </c>
      <c r="D235" s="29" t="s">
        <v>694</v>
      </c>
      <c r="E235" s="30" t="s">
        <v>46</v>
      </c>
      <c r="F235" s="31" t="s">
        <v>46</v>
      </c>
      <c r="G235" s="32" t="s">
        <v>46</v>
      </c>
      <c r="H235" s="27"/>
      <c r="I235" s="27" t="s">
        <v>47</v>
      </c>
      <c r="J235" s="33">
        <v>1</v>
      </c>
      <c r="K235" s="37">
        <f>23940</f>
        <v>23940</v>
      </c>
      <c r="L235" s="34" t="s">
        <v>61</v>
      </c>
      <c r="M235" s="37">
        <f>23940</f>
        <v>23940</v>
      </c>
      <c r="N235" s="34" t="s">
        <v>61</v>
      </c>
      <c r="O235" s="37">
        <f>21140</f>
        <v>21140</v>
      </c>
      <c r="P235" s="34" t="s">
        <v>95</v>
      </c>
      <c r="Q235" s="37">
        <f>21140</f>
        <v>21140</v>
      </c>
      <c r="R235" s="34" t="s">
        <v>95</v>
      </c>
      <c r="S235" s="36">
        <f>22774.29</f>
        <v>22774.29</v>
      </c>
      <c r="T235" s="33">
        <f>11286</f>
        <v>11286</v>
      </c>
      <c r="U235" s="33">
        <f>10000</f>
        <v>10000</v>
      </c>
      <c r="V235" s="33">
        <f>264159360</f>
        <v>264159360</v>
      </c>
      <c r="W235" s="33">
        <f>235890000</f>
        <v>235890000</v>
      </c>
      <c r="X235" s="35">
        <f>7</f>
        <v>7</v>
      </c>
    </row>
    <row r="236" spans="1:24">
      <c r="A236" s="29" t="s">
        <v>813</v>
      </c>
      <c r="B236" s="29" t="s">
        <v>695</v>
      </c>
      <c r="C236" s="29" t="s">
        <v>696</v>
      </c>
      <c r="D236" s="29" t="s">
        <v>697</v>
      </c>
      <c r="E236" s="30" t="s">
        <v>46</v>
      </c>
      <c r="F236" s="31" t="s">
        <v>46</v>
      </c>
      <c r="G236" s="32" t="s">
        <v>46</v>
      </c>
      <c r="H236" s="27"/>
      <c r="I236" s="27" t="s">
        <v>47</v>
      </c>
      <c r="J236" s="33">
        <v>1</v>
      </c>
      <c r="K236" s="37">
        <f>15090</f>
        <v>15090</v>
      </c>
      <c r="L236" s="34" t="s">
        <v>814</v>
      </c>
      <c r="M236" s="37">
        <f>15720</f>
        <v>15720</v>
      </c>
      <c r="N236" s="34" t="s">
        <v>48</v>
      </c>
      <c r="O236" s="37">
        <f>13510</f>
        <v>13510</v>
      </c>
      <c r="P236" s="34" t="s">
        <v>95</v>
      </c>
      <c r="Q236" s="37">
        <f>13530</f>
        <v>13530</v>
      </c>
      <c r="R236" s="34" t="s">
        <v>95</v>
      </c>
      <c r="S236" s="36">
        <f>15108.13</f>
        <v>15108.13</v>
      </c>
      <c r="T236" s="33">
        <f>2885</f>
        <v>2885</v>
      </c>
      <c r="U236" s="33" t="str">
        <f>"－"</f>
        <v>－</v>
      </c>
      <c r="V236" s="33">
        <f>43910070</f>
        <v>43910070</v>
      </c>
      <c r="W236" s="33" t="str">
        <f>"－"</f>
        <v>－</v>
      </c>
      <c r="X236" s="35">
        <f>16</f>
        <v>16</v>
      </c>
    </row>
    <row r="237" spans="1:24">
      <c r="A237" s="29" t="s">
        <v>813</v>
      </c>
      <c r="B237" s="29" t="s">
        <v>698</v>
      </c>
      <c r="C237" s="29" t="s">
        <v>699</v>
      </c>
      <c r="D237" s="29" t="s">
        <v>700</v>
      </c>
      <c r="E237" s="30" t="s">
        <v>46</v>
      </c>
      <c r="F237" s="31" t="s">
        <v>46</v>
      </c>
      <c r="G237" s="32" t="s">
        <v>46</v>
      </c>
      <c r="H237" s="27"/>
      <c r="I237" s="27" t="s">
        <v>47</v>
      </c>
      <c r="J237" s="33">
        <v>10</v>
      </c>
      <c r="K237" s="37">
        <f>1349</f>
        <v>1349</v>
      </c>
      <c r="L237" s="34" t="s">
        <v>814</v>
      </c>
      <c r="M237" s="37">
        <f>1349</f>
        <v>1349</v>
      </c>
      <c r="N237" s="34" t="s">
        <v>814</v>
      </c>
      <c r="O237" s="37">
        <f>1205</f>
        <v>1205</v>
      </c>
      <c r="P237" s="34" t="s">
        <v>95</v>
      </c>
      <c r="Q237" s="37">
        <f>1205</f>
        <v>1205</v>
      </c>
      <c r="R237" s="34" t="s">
        <v>95</v>
      </c>
      <c r="S237" s="36">
        <f>1281</f>
        <v>1281</v>
      </c>
      <c r="T237" s="33">
        <f>8930</f>
        <v>8930</v>
      </c>
      <c r="U237" s="33" t="str">
        <f>"－"</f>
        <v>－</v>
      </c>
      <c r="V237" s="33">
        <f>11521300</f>
        <v>11521300</v>
      </c>
      <c r="W237" s="33" t="str">
        <f>"－"</f>
        <v>－</v>
      </c>
      <c r="X237" s="35">
        <f>9</f>
        <v>9</v>
      </c>
    </row>
    <row r="238" spans="1:24">
      <c r="A238" s="29" t="s">
        <v>813</v>
      </c>
      <c r="B238" s="29" t="s">
        <v>701</v>
      </c>
      <c r="C238" s="29" t="s">
        <v>702</v>
      </c>
      <c r="D238" s="29" t="s">
        <v>703</v>
      </c>
      <c r="E238" s="30" t="s">
        <v>46</v>
      </c>
      <c r="F238" s="31" t="s">
        <v>46</v>
      </c>
      <c r="G238" s="32" t="s">
        <v>46</v>
      </c>
      <c r="H238" s="27"/>
      <c r="I238" s="27" t="s">
        <v>47</v>
      </c>
      <c r="J238" s="33">
        <v>10</v>
      </c>
      <c r="K238" s="37">
        <f>1287</f>
        <v>1287</v>
      </c>
      <c r="L238" s="34" t="s">
        <v>814</v>
      </c>
      <c r="M238" s="37">
        <f>1319</f>
        <v>1319</v>
      </c>
      <c r="N238" s="34" t="s">
        <v>150</v>
      </c>
      <c r="O238" s="37">
        <f>1189</f>
        <v>1189</v>
      </c>
      <c r="P238" s="34" t="s">
        <v>95</v>
      </c>
      <c r="Q238" s="37">
        <f>1189</f>
        <v>1189</v>
      </c>
      <c r="R238" s="34" t="s">
        <v>95</v>
      </c>
      <c r="S238" s="36">
        <f>1289.44</f>
        <v>1289.44</v>
      </c>
      <c r="T238" s="33">
        <f>44500</f>
        <v>44500</v>
      </c>
      <c r="U238" s="33">
        <f>24000</f>
        <v>24000</v>
      </c>
      <c r="V238" s="33">
        <f>57892340</f>
        <v>57892340</v>
      </c>
      <c r="W238" s="33">
        <f>31368000</f>
        <v>31368000</v>
      </c>
      <c r="X238" s="35">
        <f>18</f>
        <v>18</v>
      </c>
    </row>
    <row r="239" spans="1:24">
      <c r="A239" s="29" t="s">
        <v>813</v>
      </c>
      <c r="B239" s="29" t="s">
        <v>704</v>
      </c>
      <c r="C239" s="29" t="s">
        <v>705</v>
      </c>
      <c r="D239" s="29" t="s">
        <v>706</v>
      </c>
      <c r="E239" s="30" t="s">
        <v>46</v>
      </c>
      <c r="F239" s="31" t="s">
        <v>46</v>
      </c>
      <c r="G239" s="32" t="s">
        <v>46</v>
      </c>
      <c r="H239" s="27"/>
      <c r="I239" s="27" t="s">
        <v>47</v>
      </c>
      <c r="J239" s="33">
        <v>1</v>
      </c>
      <c r="K239" s="37">
        <f>1002</f>
        <v>1002</v>
      </c>
      <c r="L239" s="34" t="s">
        <v>814</v>
      </c>
      <c r="M239" s="37">
        <f>1054</f>
        <v>1054</v>
      </c>
      <c r="N239" s="34" t="s">
        <v>48</v>
      </c>
      <c r="O239" s="37">
        <f>904</f>
        <v>904</v>
      </c>
      <c r="P239" s="34" t="s">
        <v>95</v>
      </c>
      <c r="Q239" s="37">
        <f>916</f>
        <v>916</v>
      </c>
      <c r="R239" s="34" t="s">
        <v>95</v>
      </c>
      <c r="S239" s="36">
        <f>1004.33</f>
        <v>1004.33</v>
      </c>
      <c r="T239" s="33">
        <f>52591</f>
        <v>52591</v>
      </c>
      <c r="U239" s="33" t="str">
        <f t="shared" ref="U239:U244" si="10">"－"</f>
        <v>－</v>
      </c>
      <c r="V239" s="33">
        <f>51214787</f>
        <v>51214787</v>
      </c>
      <c r="W239" s="33" t="str">
        <f t="shared" ref="W239:W244" si="11">"－"</f>
        <v>－</v>
      </c>
      <c r="X239" s="35">
        <f>18</f>
        <v>18</v>
      </c>
    </row>
    <row r="240" spans="1:24">
      <c r="A240" s="29" t="s">
        <v>813</v>
      </c>
      <c r="B240" s="29" t="s">
        <v>707</v>
      </c>
      <c r="C240" s="29" t="s">
        <v>708</v>
      </c>
      <c r="D240" s="29" t="s">
        <v>709</v>
      </c>
      <c r="E240" s="30" t="s">
        <v>46</v>
      </c>
      <c r="F240" s="31" t="s">
        <v>46</v>
      </c>
      <c r="G240" s="32" t="s">
        <v>46</v>
      </c>
      <c r="H240" s="27"/>
      <c r="I240" s="27" t="s">
        <v>47</v>
      </c>
      <c r="J240" s="33">
        <v>1</v>
      </c>
      <c r="K240" s="37">
        <f>10010</f>
        <v>10010</v>
      </c>
      <c r="L240" s="34" t="s">
        <v>814</v>
      </c>
      <c r="M240" s="37">
        <f>10860</f>
        <v>10860</v>
      </c>
      <c r="N240" s="34" t="s">
        <v>820</v>
      </c>
      <c r="O240" s="37">
        <f>9750</f>
        <v>9750</v>
      </c>
      <c r="P240" s="34" t="s">
        <v>818</v>
      </c>
      <c r="Q240" s="37">
        <f>10010</f>
        <v>10010</v>
      </c>
      <c r="R240" s="34" t="s">
        <v>95</v>
      </c>
      <c r="S240" s="36">
        <f>10393.33</f>
        <v>10393.33</v>
      </c>
      <c r="T240" s="33">
        <f>1251</f>
        <v>1251</v>
      </c>
      <c r="U240" s="33" t="str">
        <f t="shared" si="10"/>
        <v>－</v>
      </c>
      <c r="V240" s="33">
        <f>12989850</f>
        <v>12989850</v>
      </c>
      <c r="W240" s="33" t="str">
        <f t="shared" si="11"/>
        <v>－</v>
      </c>
      <c r="X240" s="35">
        <f>18</f>
        <v>18</v>
      </c>
    </row>
    <row r="241" spans="1:24">
      <c r="A241" s="29" t="s">
        <v>813</v>
      </c>
      <c r="B241" s="29" t="s">
        <v>710</v>
      </c>
      <c r="C241" s="29" t="s">
        <v>711</v>
      </c>
      <c r="D241" s="29" t="s">
        <v>712</v>
      </c>
      <c r="E241" s="30" t="s">
        <v>46</v>
      </c>
      <c r="F241" s="31" t="s">
        <v>46</v>
      </c>
      <c r="G241" s="32" t="s">
        <v>46</v>
      </c>
      <c r="H241" s="27"/>
      <c r="I241" s="27" t="s">
        <v>47</v>
      </c>
      <c r="J241" s="33">
        <v>1</v>
      </c>
      <c r="K241" s="37">
        <f>2356</f>
        <v>2356</v>
      </c>
      <c r="L241" s="34" t="s">
        <v>814</v>
      </c>
      <c r="M241" s="37">
        <f>2385</f>
        <v>2385</v>
      </c>
      <c r="N241" s="34" t="s">
        <v>150</v>
      </c>
      <c r="O241" s="37">
        <f>2140</f>
        <v>2140</v>
      </c>
      <c r="P241" s="34" t="s">
        <v>95</v>
      </c>
      <c r="Q241" s="37">
        <f>2149</f>
        <v>2149</v>
      </c>
      <c r="R241" s="34" t="s">
        <v>95</v>
      </c>
      <c r="S241" s="36">
        <f>2337.5</f>
        <v>2337.5</v>
      </c>
      <c r="T241" s="33">
        <f>9581</f>
        <v>9581</v>
      </c>
      <c r="U241" s="33" t="str">
        <f t="shared" si="10"/>
        <v>－</v>
      </c>
      <c r="V241" s="33">
        <f>22298254</f>
        <v>22298254</v>
      </c>
      <c r="W241" s="33" t="str">
        <f t="shared" si="11"/>
        <v>－</v>
      </c>
      <c r="X241" s="35">
        <f>18</f>
        <v>18</v>
      </c>
    </row>
    <row r="242" spans="1:24">
      <c r="A242" s="29" t="s">
        <v>813</v>
      </c>
      <c r="B242" s="29" t="s">
        <v>713</v>
      </c>
      <c r="C242" s="29" t="s">
        <v>714</v>
      </c>
      <c r="D242" s="29" t="s">
        <v>715</v>
      </c>
      <c r="E242" s="30" t="s">
        <v>46</v>
      </c>
      <c r="F242" s="31" t="s">
        <v>46</v>
      </c>
      <c r="G242" s="32" t="s">
        <v>46</v>
      </c>
      <c r="H242" s="27"/>
      <c r="I242" s="27" t="s">
        <v>47</v>
      </c>
      <c r="J242" s="33">
        <v>10</v>
      </c>
      <c r="K242" s="37">
        <f>1000</f>
        <v>1000</v>
      </c>
      <c r="L242" s="34" t="s">
        <v>814</v>
      </c>
      <c r="M242" s="37">
        <f>1153</f>
        <v>1153</v>
      </c>
      <c r="N242" s="34" t="s">
        <v>821</v>
      </c>
      <c r="O242" s="37">
        <f>980</f>
        <v>980</v>
      </c>
      <c r="P242" s="34" t="s">
        <v>818</v>
      </c>
      <c r="Q242" s="37">
        <f>1075</f>
        <v>1075</v>
      </c>
      <c r="R242" s="34" t="s">
        <v>95</v>
      </c>
      <c r="S242" s="36">
        <f>1073.9</f>
        <v>1073.9000000000001</v>
      </c>
      <c r="T242" s="33">
        <f>2980</f>
        <v>2980</v>
      </c>
      <c r="U242" s="33" t="str">
        <f t="shared" si="10"/>
        <v>－</v>
      </c>
      <c r="V242" s="33">
        <f>3158760</f>
        <v>3158760</v>
      </c>
      <c r="W242" s="33" t="str">
        <f t="shared" si="11"/>
        <v>－</v>
      </c>
      <c r="X242" s="35">
        <f>10</f>
        <v>10</v>
      </c>
    </row>
    <row r="243" spans="1:24">
      <c r="A243" s="29" t="s">
        <v>813</v>
      </c>
      <c r="B243" s="29" t="s">
        <v>716</v>
      </c>
      <c r="C243" s="29" t="s">
        <v>717</v>
      </c>
      <c r="D243" s="29" t="s">
        <v>718</v>
      </c>
      <c r="E243" s="30" t="s">
        <v>46</v>
      </c>
      <c r="F243" s="31" t="s">
        <v>46</v>
      </c>
      <c r="G243" s="32" t="s">
        <v>46</v>
      </c>
      <c r="H243" s="27"/>
      <c r="I243" s="27" t="s">
        <v>47</v>
      </c>
      <c r="J243" s="33">
        <v>10</v>
      </c>
      <c r="K243" s="37">
        <f>1012</f>
        <v>1012</v>
      </c>
      <c r="L243" s="34" t="s">
        <v>818</v>
      </c>
      <c r="M243" s="37">
        <f>1040</f>
        <v>1040</v>
      </c>
      <c r="N243" s="34" t="s">
        <v>821</v>
      </c>
      <c r="O243" s="37">
        <f>1005</f>
        <v>1005</v>
      </c>
      <c r="P243" s="34" t="s">
        <v>48</v>
      </c>
      <c r="Q243" s="37">
        <f>1020</f>
        <v>1020</v>
      </c>
      <c r="R243" s="34" t="s">
        <v>95</v>
      </c>
      <c r="S243" s="36">
        <f>1012.31</f>
        <v>1012.31</v>
      </c>
      <c r="T243" s="33">
        <f>27940</f>
        <v>27940</v>
      </c>
      <c r="U243" s="33" t="str">
        <f t="shared" si="10"/>
        <v>－</v>
      </c>
      <c r="V243" s="33">
        <f>28285010</f>
        <v>28285010</v>
      </c>
      <c r="W243" s="33" t="str">
        <f t="shared" si="11"/>
        <v>－</v>
      </c>
      <c r="X243" s="35">
        <f>16</f>
        <v>16</v>
      </c>
    </row>
    <row r="244" spans="1:24">
      <c r="A244" s="29" t="s">
        <v>813</v>
      </c>
      <c r="B244" s="29" t="s">
        <v>719</v>
      </c>
      <c r="C244" s="29" t="s">
        <v>720</v>
      </c>
      <c r="D244" s="29" t="s">
        <v>721</v>
      </c>
      <c r="E244" s="30" t="s">
        <v>46</v>
      </c>
      <c r="F244" s="31" t="s">
        <v>46</v>
      </c>
      <c r="G244" s="32" t="s">
        <v>46</v>
      </c>
      <c r="H244" s="27"/>
      <c r="I244" s="27" t="s">
        <v>47</v>
      </c>
      <c r="J244" s="33">
        <v>10</v>
      </c>
      <c r="K244" s="37">
        <f>2251</f>
        <v>2251</v>
      </c>
      <c r="L244" s="34" t="s">
        <v>814</v>
      </c>
      <c r="M244" s="37">
        <f>2337</f>
        <v>2337</v>
      </c>
      <c r="N244" s="34" t="s">
        <v>816</v>
      </c>
      <c r="O244" s="37">
        <f>2065</f>
        <v>2065</v>
      </c>
      <c r="P244" s="34" t="s">
        <v>95</v>
      </c>
      <c r="Q244" s="37">
        <f>2065</f>
        <v>2065</v>
      </c>
      <c r="R244" s="34" t="s">
        <v>95</v>
      </c>
      <c r="S244" s="36">
        <f>2238.79</f>
        <v>2238.79</v>
      </c>
      <c r="T244" s="33">
        <f>2900</f>
        <v>2900</v>
      </c>
      <c r="U244" s="33" t="str">
        <f t="shared" si="10"/>
        <v>－</v>
      </c>
      <c r="V244" s="33">
        <f>6497580</f>
        <v>6497580</v>
      </c>
      <c r="W244" s="33" t="str">
        <f t="shared" si="11"/>
        <v>－</v>
      </c>
      <c r="X244" s="35">
        <f>14</f>
        <v>14</v>
      </c>
    </row>
    <row r="245" spans="1:24">
      <c r="A245" s="29" t="s">
        <v>813</v>
      </c>
      <c r="B245" s="29" t="s">
        <v>722</v>
      </c>
      <c r="C245" s="29" t="s">
        <v>723</v>
      </c>
      <c r="D245" s="29" t="s">
        <v>724</v>
      </c>
      <c r="E245" s="30" t="s">
        <v>46</v>
      </c>
      <c r="F245" s="31" t="s">
        <v>46</v>
      </c>
      <c r="G245" s="32" t="s">
        <v>46</v>
      </c>
      <c r="H245" s="27"/>
      <c r="I245" s="27" t="s">
        <v>47</v>
      </c>
      <c r="J245" s="33">
        <v>10</v>
      </c>
      <c r="K245" s="37">
        <f>2205</f>
        <v>2205</v>
      </c>
      <c r="L245" s="34" t="s">
        <v>818</v>
      </c>
      <c r="M245" s="37">
        <f>2291</f>
        <v>2291</v>
      </c>
      <c r="N245" s="34" t="s">
        <v>821</v>
      </c>
      <c r="O245" s="37">
        <f>2048</f>
        <v>2048</v>
      </c>
      <c r="P245" s="34" t="s">
        <v>95</v>
      </c>
      <c r="Q245" s="37">
        <f>2048</f>
        <v>2048</v>
      </c>
      <c r="R245" s="34" t="s">
        <v>95</v>
      </c>
      <c r="S245" s="36">
        <f>2222.15</f>
        <v>2222.15</v>
      </c>
      <c r="T245" s="33">
        <f>416240</f>
        <v>416240</v>
      </c>
      <c r="U245" s="33">
        <f>415110</f>
        <v>415110</v>
      </c>
      <c r="V245" s="33">
        <f>927437208</f>
        <v>927437208</v>
      </c>
      <c r="W245" s="33">
        <f>924935648</f>
        <v>924935648</v>
      </c>
      <c r="X245" s="35">
        <f>13</f>
        <v>13</v>
      </c>
    </row>
    <row r="246" spans="1:24">
      <c r="A246" s="29" t="s">
        <v>813</v>
      </c>
      <c r="B246" s="29" t="s">
        <v>725</v>
      </c>
      <c r="C246" s="29" t="s">
        <v>726</v>
      </c>
      <c r="D246" s="29" t="s">
        <v>727</v>
      </c>
      <c r="E246" s="30" t="s">
        <v>46</v>
      </c>
      <c r="F246" s="31" t="s">
        <v>46</v>
      </c>
      <c r="G246" s="32" t="s">
        <v>46</v>
      </c>
      <c r="H246" s="27"/>
      <c r="I246" s="27" t="s">
        <v>47</v>
      </c>
      <c r="J246" s="33">
        <v>10</v>
      </c>
      <c r="K246" s="37">
        <f>1690</f>
        <v>1690</v>
      </c>
      <c r="L246" s="34" t="s">
        <v>79</v>
      </c>
      <c r="M246" s="37">
        <f>1690</f>
        <v>1690</v>
      </c>
      <c r="N246" s="34" t="s">
        <v>79</v>
      </c>
      <c r="O246" s="37">
        <f>1505</f>
        <v>1505</v>
      </c>
      <c r="P246" s="34" t="s">
        <v>95</v>
      </c>
      <c r="Q246" s="37">
        <f>1505</f>
        <v>1505</v>
      </c>
      <c r="R246" s="34" t="s">
        <v>95</v>
      </c>
      <c r="S246" s="36">
        <f>1598.33</f>
        <v>1598.33</v>
      </c>
      <c r="T246" s="33">
        <f>50</f>
        <v>50</v>
      </c>
      <c r="U246" s="33" t="str">
        <f>"－"</f>
        <v>－</v>
      </c>
      <c r="V246" s="33">
        <f>81750</f>
        <v>81750</v>
      </c>
      <c r="W246" s="33" t="str">
        <f>"－"</f>
        <v>－</v>
      </c>
      <c r="X246" s="35">
        <f>3</f>
        <v>3</v>
      </c>
    </row>
    <row r="247" spans="1:24">
      <c r="A247" s="29" t="s">
        <v>813</v>
      </c>
      <c r="B247" s="29" t="s">
        <v>728</v>
      </c>
      <c r="C247" s="29" t="s">
        <v>729</v>
      </c>
      <c r="D247" s="29" t="s">
        <v>730</v>
      </c>
      <c r="E247" s="30" t="s">
        <v>46</v>
      </c>
      <c r="F247" s="31" t="s">
        <v>46</v>
      </c>
      <c r="G247" s="32" t="s">
        <v>46</v>
      </c>
      <c r="H247" s="27"/>
      <c r="I247" s="27" t="s">
        <v>47</v>
      </c>
      <c r="J247" s="33">
        <v>1</v>
      </c>
      <c r="K247" s="37">
        <f>10150</f>
        <v>10150</v>
      </c>
      <c r="L247" s="34" t="s">
        <v>814</v>
      </c>
      <c r="M247" s="37">
        <f>10950</f>
        <v>10950</v>
      </c>
      <c r="N247" s="34" t="s">
        <v>49</v>
      </c>
      <c r="O247" s="37">
        <f>9080</f>
        <v>9080</v>
      </c>
      <c r="P247" s="34" t="s">
        <v>95</v>
      </c>
      <c r="Q247" s="37">
        <f>9100</f>
        <v>9100</v>
      </c>
      <c r="R247" s="34" t="s">
        <v>95</v>
      </c>
      <c r="S247" s="36">
        <f>10336.67</f>
        <v>10336.67</v>
      </c>
      <c r="T247" s="33">
        <f>111007</f>
        <v>111007</v>
      </c>
      <c r="U247" s="33">
        <f>160</f>
        <v>160</v>
      </c>
      <c r="V247" s="33">
        <f>1113034280</f>
        <v>1113034280</v>
      </c>
      <c r="W247" s="33">
        <f>1496950</f>
        <v>1496950</v>
      </c>
      <c r="X247" s="35">
        <f>18</f>
        <v>18</v>
      </c>
    </row>
    <row r="248" spans="1:24">
      <c r="A248" s="29" t="s">
        <v>813</v>
      </c>
      <c r="B248" s="29" t="s">
        <v>734</v>
      </c>
      <c r="C248" s="29" t="s">
        <v>735</v>
      </c>
      <c r="D248" s="29" t="s">
        <v>736</v>
      </c>
      <c r="E248" s="30" t="s">
        <v>46</v>
      </c>
      <c r="F248" s="31" t="s">
        <v>46</v>
      </c>
      <c r="G248" s="32" t="s">
        <v>46</v>
      </c>
      <c r="H248" s="27"/>
      <c r="I248" s="27" t="s">
        <v>47</v>
      </c>
      <c r="J248" s="33">
        <v>1</v>
      </c>
      <c r="K248" s="37">
        <f>10010</f>
        <v>10010</v>
      </c>
      <c r="L248" s="34" t="s">
        <v>814</v>
      </c>
      <c r="M248" s="37">
        <f>10600</f>
        <v>10600</v>
      </c>
      <c r="N248" s="34" t="s">
        <v>150</v>
      </c>
      <c r="O248" s="37">
        <f>9060</f>
        <v>9060</v>
      </c>
      <c r="P248" s="34" t="s">
        <v>95</v>
      </c>
      <c r="Q248" s="37">
        <f>9060</f>
        <v>9060</v>
      </c>
      <c r="R248" s="34" t="s">
        <v>95</v>
      </c>
      <c r="S248" s="36">
        <f>10187.78</f>
        <v>10187.780000000001</v>
      </c>
      <c r="T248" s="33">
        <f>53107</f>
        <v>53107</v>
      </c>
      <c r="U248" s="33" t="str">
        <f>"－"</f>
        <v>－</v>
      </c>
      <c r="V248" s="33">
        <f>524178210</f>
        <v>524178210</v>
      </c>
      <c r="W248" s="33" t="str">
        <f>"－"</f>
        <v>－</v>
      </c>
      <c r="X248" s="35">
        <f>18</f>
        <v>18</v>
      </c>
    </row>
    <row r="249" spans="1:24">
      <c r="A249" s="29" t="s">
        <v>813</v>
      </c>
      <c r="B249" s="29" t="s">
        <v>824</v>
      </c>
      <c r="C249" s="29" t="s">
        <v>825</v>
      </c>
      <c r="D249" s="29" t="s">
        <v>826</v>
      </c>
      <c r="E249" s="30" t="s">
        <v>731</v>
      </c>
      <c r="F249" s="31" t="s">
        <v>732</v>
      </c>
      <c r="G249" s="32" t="s">
        <v>827</v>
      </c>
      <c r="H249" s="27"/>
      <c r="I249" s="27" t="s">
        <v>47</v>
      </c>
      <c r="J249" s="33">
        <v>1</v>
      </c>
      <c r="K249" s="37">
        <f>22920</f>
        <v>22920</v>
      </c>
      <c r="L249" s="34" t="s">
        <v>48</v>
      </c>
      <c r="M249" s="37">
        <f>23030</f>
        <v>23030</v>
      </c>
      <c r="N249" s="34" t="s">
        <v>100</v>
      </c>
      <c r="O249" s="37">
        <f>19990</f>
        <v>19990</v>
      </c>
      <c r="P249" s="34" t="s">
        <v>95</v>
      </c>
      <c r="Q249" s="37">
        <f>19990</f>
        <v>19990</v>
      </c>
      <c r="R249" s="34" t="s">
        <v>95</v>
      </c>
      <c r="S249" s="36">
        <f>22030</f>
        <v>22030</v>
      </c>
      <c r="T249" s="33">
        <f>165</f>
        <v>165</v>
      </c>
      <c r="U249" s="33" t="str">
        <f>"－"</f>
        <v>－</v>
      </c>
      <c r="V249" s="33">
        <f>3511020</f>
        <v>3511020</v>
      </c>
      <c r="W249" s="33" t="str">
        <f>"－"</f>
        <v>－</v>
      </c>
      <c r="X249" s="35">
        <f>8</f>
        <v>8</v>
      </c>
    </row>
    <row r="250" spans="1:24">
      <c r="A250" s="29" t="s">
        <v>813</v>
      </c>
      <c r="B250" s="29" t="s">
        <v>828</v>
      </c>
      <c r="C250" s="29" t="s">
        <v>829</v>
      </c>
      <c r="D250" s="29" t="s">
        <v>830</v>
      </c>
      <c r="E250" s="30" t="s">
        <v>731</v>
      </c>
      <c r="F250" s="31" t="s">
        <v>732</v>
      </c>
      <c r="G250" s="32" t="s">
        <v>831</v>
      </c>
      <c r="H250" s="27"/>
      <c r="I250" s="27" t="s">
        <v>47</v>
      </c>
      <c r="J250" s="33">
        <v>1</v>
      </c>
      <c r="K250" s="37">
        <f>3140</f>
        <v>3140</v>
      </c>
      <c r="L250" s="34" t="s">
        <v>821</v>
      </c>
      <c r="M250" s="37">
        <f>3140</f>
        <v>3140</v>
      </c>
      <c r="N250" s="34" t="s">
        <v>821</v>
      </c>
      <c r="O250" s="37">
        <f>2800</f>
        <v>2800</v>
      </c>
      <c r="P250" s="34" t="s">
        <v>821</v>
      </c>
      <c r="Q250" s="37">
        <f>2818</f>
        <v>2818</v>
      </c>
      <c r="R250" s="34" t="s">
        <v>95</v>
      </c>
      <c r="S250" s="36">
        <f>2812.33</f>
        <v>2812.33</v>
      </c>
      <c r="T250" s="33">
        <f>3069</f>
        <v>3069</v>
      </c>
      <c r="U250" s="33" t="str">
        <f>"－"</f>
        <v>－</v>
      </c>
      <c r="V250" s="33">
        <f>8748376</f>
        <v>8748376</v>
      </c>
      <c r="W250" s="33" t="str">
        <f>"－"</f>
        <v>－</v>
      </c>
      <c r="X250" s="35">
        <f>3</f>
        <v>3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X248"/>
  <sheetViews>
    <sheetView showGridLines="0" view="pageBreakPreview" zoomScaleNormal="70" zoomScaleSheetLayoutView="100" workbookViewId="0"/>
  </sheetViews>
  <sheetFormatPr defaultRowHeight="13.5"/>
  <cols>
    <col min="1" max="1" width="13.125" style="1" bestFit="1" customWidth="1"/>
    <col min="2" max="2" width="10.75" style="1" bestFit="1" customWidth="1"/>
    <col min="3" max="4" width="27.625" style="1" customWidth="1"/>
    <col min="5" max="5" width="13.75" style="3" bestFit="1" customWidth="1"/>
    <col min="6" max="6" width="20.75" style="3" bestFit="1" customWidth="1"/>
    <col min="7" max="7" width="11.25" style="3" customWidth="1"/>
    <col min="8" max="8" width="8.75" style="1" bestFit="1" customWidth="1"/>
    <col min="9" max="9" width="11.75" style="1" bestFit="1" customWidth="1"/>
    <col min="10" max="10" width="12.625" style="1" bestFit="1" customWidth="1"/>
    <col min="11" max="11" width="16.25" style="1" customWidth="1"/>
    <col min="12" max="12" width="5.625" style="1" bestFit="1" customWidth="1"/>
    <col min="13" max="13" width="16.25" style="1" customWidth="1"/>
    <col min="14" max="14" width="5.625" style="1" bestFit="1" customWidth="1"/>
    <col min="15" max="15" width="16.25" style="1" customWidth="1"/>
    <col min="16" max="16" width="5.625" style="1" bestFit="1" customWidth="1"/>
    <col min="17" max="17" width="16.25" style="1" customWidth="1"/>
    <col min="18" max="18" width="5.625" style="1" bestFit="1" customWidth="1"/>
    <col min="19" max="19" width="23.875" style="1" bestFit="1" customWidth="1"/>
    <col min="20" max="20" width="16.25" style="1" customWidth="1"/>
    <col min="21" max="21" width="24.125" style="1" customWidth="1"/>
    <col min="22" max="22" width="19.875" style="1" bestFit="1" customWidth="1"/>
    <col min="23" max="23" width="25" style="1" bestFit="1" customWidth="1"/>
    <col min="24" max="24" width="13.125" style="1" bestFit="1" customWidth="1"/>
    <col min="25" max="16384" width="9" style="1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80" t="s">
        <v>22</v>
      </c>
      <c r="O1" s="80"/>
      <c r="P1" s="80"/>
      <c r="Q1" s="80"/>
      <c r="R1" s="80"/>
      <c r="S1" s="80"/>
      <c r="T1" s="80"/>
      <c r="U1" s="80"/>
      <c r="V1" s="80"/>
      <c r="W1" s="80"/>
      <c r="X1" s="81"/>
    </row>
    <row r="2" spans="1:24" ht="99" customHeight="1">
      <c r="A2" s="86" t="s">
        <v>23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2"/>
      <c r="O2" s="82"/>
      <c r="P2" s="82"/>
      <c r="Q2" s="82"/>
      <c r="R2" s="82"/>
      <c r="S2" s="82"/>
      <c r="T2" s="82"/>
      <c r="U2" s="82"/>
      <c r="V2" s="82"/>
      <c r="W2" s="82"/>
      <c r="X2" s="83"/>
    </row>
    <row r="3" spans="1:24" ht="39" customHeight="1">
      <c r="A3" s="88" t="s">
        <v>24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</row>
    <row r="4" spans="1:24" s="2" customFormat="1" ht="13.5" customHeight="1">
      <c r="A4" s="7" t="s">
        <v>25</v>
      </c>
      <c r="B4" s="7" t="s">
        <v>0</v>
      </c>
      <c r="C4" s="7"/>
      <c r="D4" s="7"/>
      <c r="E4" s="8"/>
      <c r="F4" s="9"/>
      <c r="G4" s="10" t="s">
        <v>2</v>
      </c>
      <c r="H4" s="7" t="s">
        <v>26</v>
      </c>
      <c r="I4" s="7" t="s">
        <v>3</v>
      </c>
      <c r="J4" s="7" t="s">
        <v>4</v>
      </c>
      <c r="K4" s="11" t="s">
        <v>5</v>
      </c>
      <c r="L4" s="10" t="s">
        <v>2</v>
      </c>
      <c r="M4" s="11" t="s">
        <v>6</v>
      </c>
      <c r="N4" s="10" t="s">
        <v>2</v>
      </c>
      <c r="O4" s="11" t="s">
        <v>7</v>
      </c>
      <c r="P4" s="10" t="s">
        <v>2</v>
      </c>
      <c r="Q4" s="11" t="s">
        <v>8</v>
      </c>
      <c r="R4" s="10" t="s">
        <v>2</v>
      </c>
      <c r="S4" s="7" t="s">
        <v>9</v>
      </c>
      <c r="T4" s="7" t="s">
        <v>10</v>
      </c>
      <c r="U4" s="12" t="s">
        <v>11</v>
      </c>
      <c r="V4" s="7" t="s">
        <v>12</v>
      </c>
      <c r="W4" s="7" t="s">
        <v>13</v>
      </c>
      <c r="X4" s="7" t="s">
        <v>14</v>
      </c>
    </row>
    <row r="5" spans="1:24">
      <c r="A5" s="13" t="s">
        <v>27</v>
      </c>
      <c r="B5" s="13" t="s">
        <v>28</v>
      </c>
      <c r="C5" s="13" t="s">
        <v>29</v>
      </c>
      <c r="D5" s="13" t="s">
        <v>1</v>
      </c>
      <c r="E5" s="14" t="s">
        <v>30</v>
      </c>
      <c r="F5" s="15" t="s">
        <v>31</v>
      </c>
      <c r="G5" s="16" t="s">
        <v>32</v>
      </c>
      <c r="H5" s="17" t="s">
        <v>33</v>
      </c>
      <c r="I5" s="17" t="s">
        <v>15</v>
      </c>
      <c r="J5" s="17" t="s">
        <v>34</v>
      </c>
      <c r="K5" s="18" t="s">
        <v>16</v>
      </c>
      <c r="L5" s="16" t="s">
        <v>32</v>
      </c>
      <c r="M5" s="18" t="s">
        <v>35</v>
      </c>
      <c r="N5" s="16" t="s">
        <v>32</v>
      </c>
      <c r="O5" s="18" t="s">
        <v>17</v>
      </c>
      <c r="P5" s="16" t="s">
        <v>32</v>
      </c>
      <c r="Q5" s="18" t="s">
        <v>18</v>
      </c>
      <c r="R5" s="16" t="s">
        <v>32</v>
      </c>
      <c r="S5" s="19" t="s">
        <v>36</v>
      </c>
      <c r="T5" s="19" t="s">
        <v>19</v>
      </c>
      <c r="U5" s="13" t="s">
        <v>37</v>
      </c>
      <c r="V5" s="19" t="s">
        <v>20</v>
      </c>
      <c r="W5" s="19" t="s">
        <v>38</v>
      </c>
      <c r="X5" s="19" t="s">
        <v>39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40</v>
      </c>
      <c r="K6" s="25" t="s">
        <v>41</v>
      </c>
      <c r="L6" s="26"/>
      <c r="M6" s="25" t="s">
        <v>41</v>
      </c>
      <c r="N6" s="26"/>
      <c r="O6" s="25" t="s">
        <v>41</v>
      </c>
      <c r="P6" s="26"/>
      <c r="Q6" s="25" t="s">
        <v>41</v>
      </c>
      <c r="R6" s="26"/>
      <c r="S6" s="25" t="s">
        <v>41</v>
      </c>
      <c r="T6" s="24" t="s">
        <v>21</v>
      </c>
      <c r="U6" s="24" t="s">
        <v>21</v>
      </c>
      <c r="V6" s="25" t="s">
        <v>41</v>
      </c>
      <c r="W6" s="25" t="s">
        <v>41</v>
      </c>
      <c r="X6" s="24"/>
    </row>
    <row r="7" spans="1:24" s="28" customFormat="1" ht="13.5" customHeight="1">
      <c r="A7" s="29" t="s">
        <v>42</v>
      </c>
      <c r="B7" s="29" t="s">
        <v>43</v>
      </c>
      <c r="C7" s="29" t="s">
        <v>44</v>
      </c>
      <c r="D7" s="29" t="s">
        <v>45</v>
      </c>
      <c r="E7" s="30" t="s">
        <v>46</v>
      </c>
      <c r="F7" s="31" t="s">
        <v>46</v>
      </c>
      <c r="G7" s="32" t="s">
        <v>46</v>
      </c>
      <c r="H7" s="27"/>
      <c r="I7" s="27" t="s">
        <v>47</v>
      </c>
      <c r="J7" s="33">
        <v>10</v>
      </c>
      <c r="K7" s="37">
        <f>1781</f>
        <v>1781</v>
      </c>
      <c r="L7" s="34" t="s">
        <v>48</v>
      </c>
      <c r="M7" s="37">
        <f>1833</f>
        <v>1833</v>
      </c>
      <c r="N7" s="34" t="s">
        <v>49</v>
      </c>
      <c r="O7" s="37">
        <f>1751</f>
        <v>1751</v>
      </c>
      <c r="P7" s="34" t="s">
        <v>50</v>
      </c>
      <c r="Q7" s="37">
        <f>1766</f>
        <v>1766</v>
      </c>
      <c r="R7" s="34" t="s">
        <v>51</v>
      </c>
      <c r="S7" s="36">
        <f>1803.89</f>
        <v>1803.89</v>
      </c>
      <c r="T7" s="33">
        <f>1671890</f>
        <v>1671890</v>
      </c>
      <c r="U7" s="33">
        <f>91450</f>
        <v>91450</v>
      </c>
      <c r="V7" s="33">
        <f>3003961976</f>
        <v>3003961976</v>
      </c>
      <c r="W7" s="33">
        <f>164699946</f>
        <v>164699946</v>
      </c>
      <c r="X7" s="35">
        <f>19</f>
        <v>19</v>
      </c>
    </row>
    <row r="8" spans="1:24">
      <c r="A8" s="29" t="s">
        <v>42</v>
      </c>
      <c r="B8" s="29" t="s">
        <v>52</v>
      </c>
      <c r="C8" s="29" t="s">
        <v>53</v>
      </c>
      <c r="D8" s="29" t="s">
        <v>54</v>
      </c>
      <c r="E8" s="30" t="s">
        <v>46</v>
      </c>
      <c r="F8" s="31" t="s">
        <v>46</v>
      </c>
      <c r="G8" s="32" t="s">
        <v>46</v>
      </c>
      <c r="H8" s="27"/>
      <c r="I8" s="27" t="s">
        <v>47</v>
      </c>
      <c r="J8" s="33">
        <v>10</v>
      </c>
      <c r="K8" s="37">
        <f>1760</f>
        <v>1760</v>
      </c>
      <c r="L8" s="34" t="s">
        <v>48</v>
      </c>
      <c r="M8" s="37">
        <f>1811</f>
        <v>1811</v>
      </c>
      <c r="N8" s="34" t="s">
        <v>49</v>
      </c>
      <c r="O8" s="37">
        <f>1728</f>
        <v>1728</v>
      </c>
      <c r="P8" s="34" t="s">
        <v>50</v>
      </c>
      <c r="Q8" s="37">
        <f>1747</f>
        <v>1747</v>
      </c>
      <c r="R8" s="34" t="s">
        <v>51</v>
      </c>
      <c r="S8" s="36">
        <f>1782.26</f>
        <v>1782.26</v>
      </c>
      <c r="T8" s="33">
        <f>60484210</f>
        <v>60484210</v>
      </c>
      <c r="U8" s="33">
        <f>7997670</f>
        <v>7997670</v>
      </c>
      <c r="V8" s="33">
        <f>107245931209</f>
        <v>107245931209</v>
      </c>
      <c r="W8" s="33">
        <f>14170167359</f>
        <v>14170167359</v>
      </c>
      <c r="X8" s="35">
        <f>19</f>
        <v>19</v>
      </c>
    </row>
    <row r="9" spans="1:24">
      <c r="A9" s="29" t="s">
        <v>42</v>
      </c>
      <c r="B9" s="29" t="s">
        <v>55</v>
      </c>
      <c r="C9" s="29" t="s">
        <v>56</v>
      </c>
      <c r="D9" s="29" t="s">
        <v>57</v>
      </c>
      <c r="E9" s="30" t="s">
        <v>46</v>
      </c>
      <c r="F9" s="31" t="s">
        <v>46</v>
      </c>
      <c r="G9" s="32" t="s">
        <v>46</v>
      </c>
      <c r="H9" s="27"/>
      <c r="I9" s="27" t="s">
        <v>47</v>
      </c>
      <c r="J9" s="33">
        <v>100</v>
      </c>
      <c r="K9" s="37">
        <f>1742</f>
        <v>1742</v>
      </c>
      <c r="L9" s="34" t="s">
        <v>48</v>
      </c>
      <c r="M9" s="37">
        <f>1791</f>
        <v>1791</v>
      </c>
      <c r="N9" s="34" t="s">
        <v>49</v>
      </c>
      <c r="O9" s="37">
        <f>1710</f>
        <v>1710</v>
      </c>
      <c r="P9" s="34" t="s">
        <v>50</v>
      </c>
      <c r="Q9" s="37">
        <f>1725</f>
        <v>1725</v>
      </c>
      <c r="R9" s="34" t="s">
        <v>51</v>
      </c>
      <c r="S9" s="36">
        <f>1763.58</f>
        <v>1763.58</v>
      </c>
      <c r="T9" s="33">
        <f>4665200</f>
        <v>4665200</v>
      </c>
      <c r="U9" s="33">
        <f>1729400</f>
        <v>1729400</v>
      </c>
      <c r="V9" s="33">
        <f>8174164682</f>
        <v>8174164682</v>
      </c>
      <c r="W9" s="33">
        <f>3024679482</f>
        <v>3024679482</v>
      </c>
      <c r="X9" s="35">
        <f>19</f>
        <v>19</v>
      </c>
    </row>
    <row r="10" spans="1:24">
      <c r="A10" s="29" t="s">
        <v>42</v>
      </c>
      <c r="B10" s="29" t="s">
        <v>58</v>
      </c>
      <c r="C10" s="29" t="s">
        <v>59</v>
      </c>
      <c r="D10" s="29" t="s">
        <v>60</v>
      </c>
      <c r="E10" s="30" t="s">
        <v>46</v>
      </c>
      <c r="F10" s="31" t="s">
        <v>46</v>
      </c>
      <c r="G10" s="32" t="s">
        <v>46</v>
      </c>
      <c r="H10" s="27"/>
      <c r="I10" s="27" t="s">
        <v>47</v>
      </c>
      <c r="J10" s="33">
        <v>1</v>
      </c>
      <c r="K10" s="37">
        <f>35400</f>
        <v>35400</v>
      </c>
      <c r="L10" s="34" t="s">
        <v>48</v>
      </c>
      <c r="M10" s="37">
        <f>37000</f>
        <v>37000</v>
      </c>
      <c r="N10" s="34" t="s">
        <v>61</v>
      </c>
      <c r="O10" s="37">
        <f>31400</f>
        <v>31400</v>
      </c>
      <c r="P10" s="34" t="s">
        <v>51</v>
      </c>
      <c r="Q10" s="37">
        <f>31750</f>
        <v>31750</v>
      </c>
      <c r="R10" s="34" t="s">
        <v>51</v>
      </c>
      <c r="S10" s="36">
        <f>34921.05</f>
        <v>34921.050000000003</v>
      </c>
      <c r="T10" s="33">
        <f>12491</f>
        <v>12491</v>
      </c>
      <c r="U10" s="33" t="str">
        <f>"－"</f>
        <v>－</v>
      </c>
      <c r="V10" s="33">
        <f>426565950</f>
        <v>426565950</v>
      </c>
      <c r="W10" s="33" t="str">
        <f>"－"</f>
        <v>－</v>
      </c>
      <c r="X10" s="35">
        <f>19</f>
        <v>19</v>
      </c>
    </row>
    <row r="11" spans="1:24">
      <c r="A11" s="29" t="s">
        <v>42</v>
      </c>
      <c r="B11" s="29" t="s">
        <v>62</v>
      </c>
      <c r="C11" s="29" t="s">
        <v>63</v>
      </c>
      <c r="D11" s="29" t="s">
        <v>64</v>
      </c>
      <c r="E11" s="30" t="s">
        <v>46</v>
      </c>
      <c r="F11" s="31" t="s">
        <v>46</v>
      </c>
      <c r="G11" s="32" t="s">
        <v>46</v>
      </c>
      <c r="H11" s="27"/>
      <c r="I11" s="27" t="s">
        <v>47</v>
      </c>
      <c r="J11" s="33">
        <v>10</v>
      </c>
      <c r="K11" s="37">
        <f>791</f>
        <v>791</v>
      </c>
      <c r="L11" s="34" t="s">
        <v>48</v>
      </c>
      <c r="M11" s="37">
        <f>808</f>
        <v>808</v>
      </c>
      <c r="N11" s="34" t="s">
        <v>49</v>
      </c>
      <c r="O11" s="37">
        <f>777</f>
        <v>777</v>
      </c>
      <c r="P11" s="34" t="s">
        <v>65</v>
      </c>
      <c r="Q11" s="37">
        <f>785</f>
        <v>785</v>
      </c>
      <c r="R11" s="34" t="s">
        <v>51</v>
      </c>
      <c r="S11" s="36">
        <f>796.63</f>
        <v>796.63</v>
      </c>
      <c r="T11" s="33">
        <f>60780</f>
        <v>60780</v>
      </c>
      <c r="U11" s="33" t="str">
        <f>"－"</f>
        <v>－</v>
      </c>
      <c r="V11" s="33">
        <f>48162530</f>
        <v>48162530</v>
      </c>
      <c r="W11" s="33" t="str">
        <f>"－"</f>
        <v>－</v>
      </c>
      <c r="X11" s="35">
        <f>19</f>
        <v>19</v>
      </c>
    </row>
    <row r="12" spans="1:24">
      <c r="A12" s="29" t="s">
        <v>42</v>
      </c>
      <c r="B12" s="29" t="s">
        <v>66</v>
      </c>
      <c r="C12" s="29" t="s">
        <v>67</v>
      </c>
      <c r="D12" s="29" t="s">
        <v>68</v>
      </c>
      <c r="E12" s="30" t="s">
        <v>46</v>
      </c>
      <c r="F12" s="31" t="s">
        <v>46</v>
      </c>
      <c r="G12" s="32" t="s">
        <v>46</v>
      </c>
      <c r="H12" s="27"/>
      <c r="I12" s="27" t="s">
        <v>47</v>
      </c>
      <c r="J12" s="33">
        <v>1</v>
      </c>
      <c r="K12" s="37">
        <f>20450</f>
        <v>20450</v>
      </c>
      <c r="L12" s="34" t="s">
        <v>48</v>
      </c>
      <c r="M12" s="37">
        <f>20900</f>
        <v>20900</v>
      </c>
      <c r="N12" s="34" t="s">
        <v>61</v>
      </c>
      <c r="O12" s="37">
        <f>19630</f>
        <v>19630</v>
      </c>
      <c r="P12" s="34" t="s">
        <v>51</v>
      </c>
      <c r="Q12" s="37">
        <f>19630</f>
        <v>19630</v>
      </c>
      <c r="R12" s="34" t="s">
        <v>51</v>
      </c>
      <c r="S12" s="36">
        <f>20381.18</f>
        <v>20381.18</v>
      </c>
      <c r="T12" s="33">
        <f>997</f>
        <v>997</v>
      </c>
      <c r="U12" s="33" t="str">
        <f>"－"</f>
        <v>－</v>
      </c>
      <c r="V12" s="33">
        <f>20407320</f>
        <v>20407320</v>
      </c>
      <c r="W12" s="33" t="str">
        <f>"－"</f>
        <v>－</v>
      </c>
      <c r="X12" s="35">
        <f>17</f>
        <v>17</v>
      </c>
    </row>
    <row r="13" spans="1:24">
      <c r="A13" s="29" t="s">
        <v>42</v>
      </c>
      <c r="B13" s="29" t="s">
        <v>69</v>
      </c>
      <c r="C13" s="29" t="s">
        <v>70</v>
      </c>
      <c r="D13" s="29" t="s">
        <v>71</v>
      </c>
      <c r="E13" s="30" t="s">
        <v>46</v>
      </c>
      <c r="F13" s="31" t="s">
        <v>46</v>
      </c>
      <c r="G13" s="32" t="s">
        <v>46</v>
      </c>
      <c r="H13" s="27"/>
      <c r="I13" s="27" t="s">
        <v>47</v>
      </c>
      <c r="J13" s="33">
        <v>10</v>
      </c>
      <c r="K13" s="37">
        <f>2849</f>
        <v>2849</v>
      </c>
      <c r="L13" s="34" t="s">
        <v>48</v>
      </c>
      <c r="M13" s="37">
        <f>3000</f>
        <v>3000</v>
      </c>
      <c r="N13" s="34" t="s">
        <v>72</v>
      </c>
      <c r="O13" s="37">
        <f>2650</f>
        <v>2650</v>
      </c>
      <c r="P13" s="34" t="s">
        <v>50</v>
      </c>
      <c r="Q13" s="37">
        <f>2700</f>
        <v>2700</v>
      </c>
      <c r="R13" s="34" t="s">
        <v>51</v>
      </c>
      <c r="S13" s="36">
        <f>2858.56</f>
        <v>2858.56</v>
      </c>
      <c r="T13" s="33">
        <f>12070</f>
        <v>12070</v>
      </c>
      <c r="U13" s="33" t="str">
        <f>"－"</f>
        <v>－</v>
      </c>
      <c r="V13" s="33">
        <f>34430850</f>
        <v>34430850</v>
      </c>
      <c r="W13" s="33" t="str">
        <f>"－"</f>
        <v>－</v>
      </c>
      <c r="X13" s="35">
        <f>18</f>
        <v>18</v>
      </c>
    </row>
    <row r="14" spans="1:24">
      <c r="A14" s="29" t="s">
        <v>42</v>
      </c>
      <c r="B14" s="29" t="s">
        <v>73</v>
      </c>
      <c r="C14" s="29" t="s">
        <v>74</v>
      </c>
      <c r="D14" s="29" t="s">
        <v>75</v>
      </c>
      <c r="E14" s="30" t="s">
        <v>46</v>
      </c>
      <c r="F14" s="31" t="s">
        <v>46</v>
      </c>
      <c r="G14" s="32" t="s">
        <v>46</v>
      </c>
      <c r="H14" s="27"/>
      <c r="I14" s="27" t="s">
        <v>47</v>
      </c>
      <c r="J14" s="33">
        <v>1000</v>
      </c>
      <c r="K14" s="37">
        <f>333</f>
        <v>333</v>
      </c>
      <c r="L14" s="34" t="s">
        <v>48</v>
      </c>
      <c r="M14" s="37">
        <f>345</f>
        <v>345</v>
      </c>
      <c r="N14" s="34" t="s">
        <v>49</v>
      </c>
      <c r="O14" s="37">
        <f>332</f>
        <v>332</v>
      </c>
      <c r="P14" s="34" t="s">
        <v>48</v>
      </c>
      <c r="Q14" s="37">
        <f>335</f>
        <v>335</v>
      </c>
      <c r="R14" s="34" t="s">
        <v>51</v>
      </c>
      <c r="S14" s="36">
        <f>338.67</f>
        <v>338.67</v>
      </c>
      <c r="T14" s="33">
        <f>36000</f>
        <v>36000</v>
      </c>
      <c r="U14" s="33" t="str">
        <f>"－"</f>
        <v>－</v>
      </c>
      <c r="V14" s="33">
        <f>12208000</f>
        <v>12208000</v>
      </c>
      <c r="W14" s="33" t="str">
        <f>"－"</f>
        <v>－</v>
      </c>
      <c r="X14" s="35">
        <f>12</f>
        <v>12</v>
      </c>
    </row>
    <row r="15" spans="1:24">
      <c r="A15" s="29" t="s">
        <v>42</v>
      </c>
      <c r="B15" s="29" t="s">
        <v>76</v>
      </c>
      <c r="C15" s="29" t="s">
        <v>77</v>
      </c>
      <c r="D15" s="29" t="s">
        <v>78</v>
      </c>
      <c r="E15" s="30" t="s">
        <v>46</v>
      </c>
      <c r="F15" s="31" t="s">
        <v>46</v>
      </c>
      <c r="G15" s="32" t="s">
        <v>46</v>
      </c>
      <c r="H15" s="27"/>
      <c r="I15" s="27" t="s">
        <v>47</v>
      </c>
      <c r="J15" s="33">
        <v>1</v>
      </c>
      <c r="K15" s="37">
        <f>23960</f>
        <v>23960</v>
      </c>
      <c r="L15" s="34" t="s">
        <v>48</v>
      </c>
      <c r="M15" s="37">
        <f>24810</f>
        <v>24810</v>
      </c>
      <c r="N15" s="34" t="s">
        <v>79</v>
      </c>
      <c r="O15" s="37">
        <f>23550</f>
        <v>23550</v>
      </c>
      <c r="P15" s="34" t="s">
        <v>50</v>
      </c>
      <c r="Q15" s="37">
        <f>23870</f>
        <v>23870</v>
      </c>
      <c r="R15" s="34" t="s">
        <v>51</v>
      </c>
      <c r="S15" s="36">
        <f>24320.53</f>
        <v>24320.53</v>
      </c>
      <c r="T15" s="33">
        <f>902101</f>
        <v>902101</v>
      </c>
      <c r="U15" s="33">
        <f>256585</f>
        <v>256585</v>
      </c>
      <c r="V15" s="33">
        <f>21848035550</f>
        <v>21848035550</v>
      </c>
      <c r="W15" s="33">
        <f>6235488220</f>
        <v>6235488220</v>
      </c>
      <c r="X15" s="35">
        <f>19</f>
        <v>19</v>
      </c>
    </row>
    <row r="16" spans="1:24">
      <c r="A16" s="29" t="s">
        <v>42</v>
      </c>
      <c r="B16" s="29" t="s">
        <v>80</v>
      </c>
      <c r="C16" s="29" t="s">
        <v>81</v>
      </c>
      <c r="D16" s="29" t="s">
        <v>82</v>
      </c>
      <c r="E16" s="30" t="s">
        <v>46</v>
      </c>
      <c r="F16" s="31" t="s">
        <v>46</v>
      </c>
      <c r="G16" s="32" t="s">
        <v>46</v>
      </c>
      <c r="H16" s="27"/>
      <c r="I16" s="27" t="s">
        <v>47</v>
      </c>
      <c r="J16" s="33">
        <v>1</v>
      </c>
      <c r="K16" s="37">
        <f>24000</f>
        <v>24000</v>
      </c>
      <c r="L16" s="34" t="s">
        <v>48</v>
      </c>
      <c r="M16" s="37">
        <f>24850</f>
        <v>24850</v>
      </c>
      <c r="N16" s="34" t="s">
        <v>79</v>
      </c>
      <c r="O16" s="37">
        <f>23590</f>
        <v>23590</v>
      </c>
      <c r="P16" s="34" t="s">
        <v>50</v>
      </c>
      <c r="Q16" s="37">
        <f>23910</f>
        <v>23910</v>
      </c>
      <c r="R16" s="34" t="s">
        <v>51</v>
      </c>
      <c r="S16" s="36">
        <f>24362.63</f>
        <v>24362.63</v>
      </c>
      <c r="T16" s="33">
        <f>4661706</f>
        <v>4661706</v>
      </c>
      <c r="U16" s="33">
        <f>529164</f>
        <v>529164</v>
      </c>
      <c r="V16" s="33">
        <f>112842116912</f>
        <v>112842116912</v>
      </c>
      <c r="W16" s="33">
        <f>12857754762</f>
        <v>12857754762</v>
      </c>
      <c r="X16" s="35">
        <f>19</f>
        <v>19</v>
      </c>
    </row>
    <row r="17" spans="1:24">
      <c r="A17" s="29" t="s">
        <v>42</v>
      </c>
      <c r="B17" s="29" t="s">
        <v>83</v>
      </c>
      <c r="C17" s="29" t="s">
        <v>84</v>
      </c>
      <c r="D17" s="29" t="s">
        <v>85</v>
      </c>
      <c r="E17" s="30" t="s">
        <v>46</v>
      </c>
      <c r="F17" s="31" t="s">
        <v>46</v>
      </c>
      <c r="G17" s="32" t="s">
        <v>46</v>
      </c>
      <c r="H17" s="27"/>
      <c r="I17" s="27" t="s">
        <v>47</v>
      </c>
      <c r="J17" s="33">
        <v>10</v>
      </c>
      <c r="K17" s="37">
        <f>5760</f>
        <v>5760</v>
      </c>
      <c r="L17" s="34" t="s">
        <v>48</v>
      </c>
      <c r="M17" s="37">
        <f>6360</f>
        <v>6360</v>
      </c>
      <c r="N17" s="34" t="s">
        <v>86</v>
      </c>
      <c r="O17" s="37">
        <f>5650</f>
        <v>5650</v>
      </c>
      <c r="P17" s="34" t="s">
        <v>51</v>
      </c>
      <c r="Q17" s="37">
        <f>5650</f>
        <v>5650</v>
      </c>
      <c r="R17" s="34" t="s">
        <v>51</v>
      </c>
      <c r="S17" s="36">
        <f>5971.58</f>
        <v>5971.58</v>
      </c>
      <c r="T17" s="33">
        <f>12450</f>
        <v>12450</v>
      </c>
      <c r="U17" s="33">
        <f>80</f>
        <v>80</v>
      </c>
      <c r="V17" s="33">
        <f>74291700</f>
        <v>74291700</v>
      </c>
      <c r="W17" s="33">
        <f>503200</f>
        <v>503200</v>
      </c>
      <c r="X17" s="35">
        <f>19</f>
        <v>19</v>
      </c>
    </row>
    <row r="18" spans="1:24">
      <c r="A18" s="29" t="s">
        <v>42</v>
      </c>
      <c r="B18" s="29" t="s">
        <v>87</v>
      </c>
      <c r="C18" s="29" t="s">
        <v>88</v>
      </c>
      <c r="D18" s="29" t="s">
        <v>89</v>
      </c>
      <c r="E18" s="30" t="s">
        <v>46</v>
      </c>
      <c r="F18" s="31" t="s">
        <v>46</v>
      </c>
      <c r="G18" s="32" t="s">
        <v>46</v>
      </c>
      <c r="H18" s="27"/>
      <c r="I18" s="27" t="s">
        <v>47</v>
      </c>
      <c r="J18" s="33">
        <v>100</v>
      </c>
      <c r="K18" s="37">
        <f>368</f>
        <v>368</v>
      </c>
      <c r="L18" s="34" t="s">
        <v>48</v>
      </c>
      <c r="M18" s="37">
        <f>380</f>
        <v>380</v>
      </c>
      <c r="N18" s="34" t="s">
        <v>90</v>
      </c>
      <c r="O18" s="37">
        <f>353</f>
        <v>353</v>
      </c>
      <c r="P18" s="34" t="s">
        <v>91</v>
      </c>
      <c r="Q18" s="37">
        <f>364</f>
        <v>364</v>
      </c>
      <c r="R18" s="34" t="s">
        <v>51</v>
      </c>
      <c r="S18" s="36">
        <f>365.24</f>
        <v>365.24</v>
      </c>
      <c r="T18" s="33">
        <f>39500</f>
        <v>39500</v>
      </c>
      <c r="U18" s="33" t="str">
        <f>"－"</f>
        <v>－</v>
      </c>
      <c r="V18" s="33">
        <f>14381700</f>
        <v>14381700</v>
      </c>
      <c r="W18" s="33" t="str">
        <f>"－"</f>
        <v>－</v>
      </c>
      <c r="X18" s="35">
        <f>17</f>
        <v>17</v>
      </c>
    </row>
    <row r="19" spans="1:24">
      <c r="A19" s="29" t="s">
        <v>42</v>
      </c>
      <c r="B19" s="29" t="s">
        <v>92</v>
      </c>
      <c r="C19" s="29" t="s">
        <v>93</v>
      </c>
      <c r="D19" s="29" t="s">
        <v>94</v>
      </c>
      <c r="E19" s="30" t="s">
        <v>46</v>
      </c>
      <c r="F19" s="31" t="s">
        <v>46</v>
      </c>
      <c r="G19" s="32" t="s">
        <v>46</v>
      </c>
      <c r="H19" s="27"/>
      <c r="I19" s="27" t="s">
        <v>47</v>
      </c>
      <c r="J19" s="33">
        <v>100</v>
      </c>
      <c r="K19" s="37">
        <f>161</f>
        <v>161</v>
      </c>
      <c r="L19" s="34" t="s">
        <v>48</v>
      </c>
      <c r="M19" s="37">
        <f>179</f>
        <v>179</v>
      </c>
      <c r="N19" s="34" t="s">
        <v>79</v>
      </c>
      <c r="O19" s="37">
        <f>157</f>
        <v>157</v>
      </c>
      <c r="P19" s="34" t="s">
        <v>95</v>
      </c>
      <c r="Q19" s="37">
        <f>167</f>
        <v>167</v>
      </c>
      <c r="R19" s="34" t="s">
        <v>51</v>
      </c>
      <c r="S19" s="36">
        <f>170.47</f>
        <v>170.47</v>
      </c>
      <c r="T19" s="33">
        <f>1395500</f>
        <v>1395500</v>
      </c>
      <c r="U19" s="33" t="str">
        <f>"－"</f>
        <v>－</v>
      </c>
      <c r="V19" s="33">
        <f>235832500</f>
        <v>235832500</v>
      </c>
      <c r="W19" s="33" t="str">
        <f>"－"</f>
        <v>－</v>
      </c>
      <c r="X19" s="35">
        <f>19</f>
        <v>19</v>
      </c>
    </row>
    <row r="20" spans="1:24">
      <c r="A20" s="29" t="s">
        <v>42</v>
      </c>
      <c r="B20" s="29" t="s">
        <v>96</v>
      </c>
      <c r="C20" s="29" t="s">
        <v>97</v>
      </c>
      <c r="D20" s="29" t="s">
        <v>98</v>
      </c>
      <c r="E20" s="30" t="s">
        <v>46</v>
      </c>
      <c r="F20" s="31" t="s">
        <v>46</v>
      </c>
      <c r="G20" s="32" t="s">
        <v>46</v>
      </c>
      <c r="H20" s="27"/>
      <c r="I20" s="27" t="s">
        <v>47</v>
      </c>
      <c r="J20" s="33">
        <v>100</v>
      </c>
      <c r="K20" s="37">
        <f>206</f>
        <v>206</v>
      </c>
      <c r="L20" s="34" t="s">
        <v>48</v>
      </c>
      <c r="M20" s="37">
        <f>223</f>
        <v>223</v>
      </c>
      <c r="N20" s="34" t="s">
        <v>99</v>
      </c>
      <c r="O20" s="37">
        <f>204</f>
        <v>204</v>
      </c>
      <c r="P20" s="34" t="s">
        <v>100</v>
      </c>
      <c r="Q20" s="37">
        <f>211</f>
        <v>211</v>
      </c>
      <c r="R20" s="34" t="s">
        <v>51</v>
      </c>
      <c r="S20" s="36">
        <f>212.42</f>
        <v>212.42</v>
      </c>
      <c r="T20" s="33">
        <f>633800</f>
        <v>633800</v>
      </c>
      <c r="U20" s="33">
        <f>400</f>
        <v>400</v>
      </c>
      <c r="V20" s="33">
        <f>136443760</f>
        <v>136443760</v>
      </c>
      <c r="W20" s="33">
        <f>86660</f>
        <v>86660</v>
      </c>
      <c r="X20" s="35">
        <f>19</f>
        <v>19</v>
      </c>
    </row>
    <row r="21" spans="1:24">
      <c r="A21" s="29" t="s">
        <v>42</v>
      </c>
      <c r="B21" s="29" t="s">
        <v>101</v>
      </c>
      <c r="C21" s="29" t="s">
        <v>102</v>
      </c>
      <c r="D21" s="29" t="s">
        <v>103</v>
      </c>
      <c r="E21" s="30" t="s">
        <v>46</v>
      </c>
      <c r="F21" s="31" t="s">
        <v>46</v>
      </c>
      <c r="G21" s="32" t="s">
        <v>46</v>
      </c>
      <c r="H21" s="27"/>
      <c r="I21" s="27" t="s">
        <v>47</v>
      </c>
      <c r="J21" s="33">
        <v>1</v>
      </c>
      <c r="K21" s="37">
        <f>15960</f>
        <v>15960</v>
      </c>
      <c r="L21" s="34" t="s">
        <v>48</v>
      </c>
      <c r="M21" s="37">
        <f>16350</f>
        <v>16350</v>
      </c>
      <c r="N21" s="34" t="s">
        <v>65</v>
      </c>
      <c r="O21" s="37">
        <f>15890</f>
        <v>15890</v>
      </c>
      <c r="P21" s="34" t="s">
        <v>100</v>
      </c>
      <c r="Q21" s="37">
        <f>16130</f>
        <v>16130</v>
      </c>
      <c r="R21" s="34" t="s">
        <v>51</v>
      </c>
      <c r="S21" s="36">
        <f>16099.47</f>
        <v>16099.47</v>
      </c>
      <c r="T21" s="33">
        <f>139745</f>
        <v>139745</v>
      </c>
      <c r="U21" s="33" t="str">
        <f>"－"</f>
        <v>－</v>
      </c>
      <c r="V21" s="33">
        <f>2252142830</f>
        <v>2252142830</v>
      </c>
      <c r="W21" s="33" t="str">
        <f>"－"</f>
        <v>－</v>
      </c>
      <c r="X21" s="35">
        <f>19</f>
        <v>19</v>
      </c>
    </row>
    <row r="22" spans="1:24">
      <c r="A22" s="29" t="s">
        <v>42</v>
      </c>
      <c r="B22" s="29" t="s">
        <v>104</v>
      </c>
      <c r="C22" s="29" t="s">
        <v>105</v>
      </c>
      <c r="D22" s="29" t="s">
        <v>106</v>
      </c>
      <c r="E22" s="30" t="s">
        <v>46</v>
      </c>
      <c r="F22" s="31" t="s">
        <v>46</v>
      </c>
      <c r="G22" s="32" t="s">
        <v>46</v>
      </c>
      <c r="H22" s="27"/>
      <c r="I22" s="27" t="s">
        <v>47</v>
      </c>
      <c r="J22" s="33">
        <v>1</v>
      </c>
      <c r="K22" s="37">
        <f>3375</f>
        <v>3375</v>
      </c>
      <c r="L22" s="34" t="s">
        <v>48</v>
      </c>
      <c r="M22" s="37">
        <f>3375</f>
        <v>3375</v>
      </c>
      <c r="N22" s="34" t="s">
        <v>48</v>
      </c>
      <c r="O22" s="37">
        <f>3115</f>
        <v>3115</v>
      </c>
      <c r="P22" s="34" t="s">
        <v>91</v>
      </c>
      <c r="Q22" s="37">
        <f>3175</f>
        <v>3175</v>
      </c>
      <c r="R22" s="34" t="s">
        <v>51</v>
      </c>
      <c r="S22" s="36">
        <f>3202.63</f>
        <v>3202.63</v>
      </c>
      <c r="T22" s="33">
        <f>1866</f>
        <v>1866</v>
      </c>
      <c r="U22" s="33">
        <f>8</f>
        <v>8</v>
      </c>
      <c r="V22" s="33">
        <f>6068730</f>
        <v>6068730</v>
      </c>
      <c r="W22" s="33">
        <f>24920</f>
        <v>24920</v>
      </c>
      <c r="X22" s="35">
        <f>19</f>
        <v>19</v>
      </c>
    </row>
    <row r="23" spans="1:24">
      <c r="A23" s="29" t="s">
        <v>42</v>
      </c>
      <c r="B23" s="29" t="s">
        <v>107</v>
      </c>
      <c r="C23" s="29" t="s">
        <v>108</v>
      </c>
      <c r="D23" s="29" t="s">
        <v>109</v>
      </c>
      <c r="E23" s="30" t="s">
        <v>46</v>
      </c>
      <c r="F23" s="31" t="s">
        <v>46</v>
      </c>
      <c r="G23" s="32" t="s">
        <v>46</v>
      </c>
      <c r="H23" s="27"/>
      <c r="I23" s="27" t="s">
        <v>47</v>
      </c>
      <c r="J23" s="33">
        <v>10</v>
      </c>
      <c r="K23" s="37">
        <f>4300</f>
        <v>4300</v>
      </c>
      <c r="L23" s="34" t="s">
        <v>48</v>
      </c>
      <c r="M23" s="37">
        <f>4625</f>
        <v>4625</v>
      </c>
      <c r="N23" s="34" t="s">
        <v>65</v>
      </c>
      <c r="O23" s="37">
        <f>4195</f>
        <v>4195</v>
      </c>
      <c r="P23" s="34" t="s">
        <v>90</v>
      </c>
      <c r="Q23" s="37">
        <f>4445</f>
        <v>4445</v>
      </c>
      <c r="R23" s="34" t="s">
        <v>51</v>
      </c>
      <c r="S23" s="36">
        <f>4370.26</f>
        <v>4370.26</v>
      </c>
      <c r="T23" s="33">
        <f>155410</f>
        <v>155410</v>
      </c>
      <c r="U23" s="33">
        <f>210</f>
        <v>210</v>
      </c>
      <c r="V23" s="33">
        <f>683206700</f>
        <v>683206700</v>
      </c>
      <c r="W23" s="33">
        <f>912450</f>
        <v>912450</v>
      </c>
      <c r="X23" s="35">
        <f>19</f>
        <v>19</v>
      </c>
    </row>
    <row r="24" spans="1:24">
      <c r="A24" s="29" t="s">
        <v>42</v>
      </c>
      <c r="B24" s="29" t="s">
        <v>110</v>
      </c>
      <c r="C24" s="29" t="s">
        <v>111</v>
      </c>
      <c r="D24" s="29" t="s">
        <v>112</v>
      </c>
      <c r="E24" s="30" t="s">
        <v>46</v>
      </c>
      <c r="F24" s="31" t="s">
        <v>46</v>
      </c>
      <c r="G24" s="32" t="s">
        <v>46</v>
      </c>
      <c r="H24" s="27"/>
      <c r="I24" s="27" t="s">
        <v>47</v>
      </c>
      <c r="J24" s="33">
        <v>1</v>
      </c>
      <c r="K24" s="37">
        <f>24080</f>
        <v>24080</v>
      </c>
      <c r="L24" s="34" t="s">
        <v>48</v>
      </c>
      <c r="M24" s="37">
        <f>24940</f>
        <v>24940</v>
      </c>
      <c r="N24" s="34" t="s">
        <v>79</v>
      </c>
      <c r="O24" s="37">
        <f>23670</f>
        <v>23670</v>
      </c>
      <c r="P24" s="34" t="s">
        <v>50</v>
      </c>
      <c r="Q24" s="37">
        <f>23970</f>
        <v>23970</v>
      </c>
      <c r="R24" s="34" t="s">
        <v>51</v>
      </c>
      <c r="S24" s="36">
        <f>24438.42</f>
        <v>24438.42</v>
      </c>
      <c r="T24" s="33">
        <f>878353</f>
        <v>878353</v>
      </c>
      <c r="U24" s="33">
        <f>74565</f>
        <v>74565</v>
      </c>
      <c r="V24" s="33">
        <f>21440016674</f>
        <v>21440016674</v>
      </c>
      <c r="W24" s="33">
        <f>1831206564</f>
        <v>1831206564</v>
      </c>
      <c r="X24" s="35">
        <f>19</f>
        <v>19</v>
      </c>
    </row>
    <row r="25" spans="1:24">
      <c r="A25" s="29" t="s">
        <v>42</v>
      </c>
      <c r="B25" s="29" t="s">
        <v>113</v>
      </c>
      <c r="C25" s="29" t="s">
        <v>114</v>
      </c>
      <c r="D25" s="29" t="s">
        <v>115</v>
      </c>
      <c r="E25" s="30" t="s">
        <v>46</v>
      </c>
      <c r="F25" s="31" t="s">
        <v>46</v>
      </c>
      <c r="G25" s="32" t="s">
        <v>46</v>
      </c>
      <c r="H25" s="27"/>
      <c r="I25" s="27" t="s">
        <v>47</v>
      </c>
      <c r="J25" s="33">
        <v>10</v>
      </c>
      <c r="K25" s="37">
        <f>24060</f>
        <v>24060</v>
      </c>
      <c r="L25" s="34" t="s">
        <v>48</v>
      </c>
      <c r="M25" s="37">
        <f>24920</f>
        <v>24920</v>
      </c>
      <c r="N25" s="34" t="s">
        <v>79</v>
      </c>
      <c r="O25" s="37">
        <f>23650</f>
        <v>23650</v>
      </c>
      <c r="P25" s="34" t="s">
        <v>50</v>
      </c>
      <c r="Q25" s="37">
        <f>23980</f>
        <v>23980</v>
      </c>
      <c r="R25" s="34" t="s">
        <v>51</v>
      </c>
      <c r="S25" s="36">
        <f>24425.26</f>
        <v>24425.26</v>
      </c>
      <c r="T25" s="33">
        <f>977320</f>
        <v>977320</v>
      </c>
      <c r="U25" s="33">
        <f>67540</f>
        <v>67540</v>
      </c>
      <c r="V25" s="33">
        <f>23733769700</f>
        <v>23733769700</v>
      </c>
      <c r="W25" s="33">
        <f>1644441400</f>
        <v>1644441400</v>
      </c>
      <c r="X25" s="35">
        <f>19</f>
        <v>19</v>
      </c>
    </row>
    <row r="26" spans="1:24">
      <c r="A26" s="29" t="s">
        <v>42</v>
      </c>
      <c r="B26" s="29" t="s">
        <v>116</v>
      </c>
      <c r="C26" s="29" t="s">
        <v>117</v>
      </c>
      <c r="D26" s="29" t="s">
        <v>118</v>
      </c>
      <c r="E26" s="30" t="s">
        <v>46</v>
      </c>
      <c r="F26" s="31" t="s">
        <v>46</v>
      </c>
      <c r="G26" s="32" t="s">
        <v>46</v>
      </c>
      <c r="H26" s="27"/>
      <c r="I26" s="27" t="s">
        <v>47</v>
      </c>
      <c r="J26" s="33">
        <v>10</v>
      </c>
      <c r="K26" s="37">
        <f>2298</f>
        <v>2298</v>
      </c>
      <c r="L26" s="34" t="s">
        <v>48</v>
      </c>
      <c r="M26" s="37">
        <f>2390</f>
        <v>2390</v>
      </c>
      <c r="N26" s="34" t="s">
        <v>51</v>
      </c>
      <c r="O26" s="37">
        <f>2265</f>
        <v>2265</v>
      </c>
      <c r="P26" s="34" t="s">
        <v>119</v>
      </c>
      <c r="Q26" s="37">
        <f>2384</f>
        <v>2384</v>
      </c>
      <c r="R26" s="34" t="s">
        <v>51</v>
      </c>
      <c r="S26" s="36">
        <f>2318.84</f>
        <v>2318.84</v>
      </c>
      <c r="T26" s="33">
        <f>4723140</f>
        <v>4723140</v>
      </c>
      <c r="U26" s="33">
        <f>356580</f>
        <v>356580</v>
      </c>
      <c r="V26" s="33">
        <f>10977204959</f>
        <v>10977204959</v>
      </c>
      <c r="W26" s="33">
        <f>824608919</f>
        <v>824608919</v>
      </c>
      <c r="X26" s="35">
        <f>19</f>
        <v>19</v>
      </c>
    </row>
    <row r="27" spans="1:24">
      <c r="A27" s="29" t="s">
        <v>42</v>
      </c>
      <c r="B27" s="29" t="s">
        <v>120</v>
      </c>
      <c r="C27" s="29" t="s">
        <v>121</v>
      </c>
      <c r="D27" s="29" t="s">
        <v>122</v>
      </c>
      <c r="E27" s="30" t="s">
        <v>46</v>
      </c>
      <c r="F27" s="31" t="s">
        <v>46</v>
      </c>
      <c r="G27" s="32" t="s">
        <v>46</v>
      </c>
      <c r="H27" s="27"/>
      <c r="I27" s="27" t="s">
        <v>47</v>
      </c>
      <c r="J27" s="33">
        <v>10</v>
      </c>
      <c r="K27" s="37">
        <f>734</f>
        <v>734</v>
      </c>
      <c r="L27" s="34" t="s">
        <v>48</v>
      </c>
      <c r="M27" s="37">
        <f>772</f>
        <v>772</v>
      </c>
      <c r="N27" s="34" t="s">
        <v>61</v>
      </c>
      <c r="O27" s="37">
        <f>728</f>
        <v>728</v>
      </c>
      <c r="P27" s="34" t="s">
        <v>48</v>
      </c>
      <c r="Q27" s="37">
        <f>742</f>
        <v>742</v>
      </c>
      <c r="R27" s="34" t="s">
        <v>51</v>
      </c>
      <c r="S27" s="36">
        <f>745.47</f>
        <v>745.47</v>
      </c>
      <c r="T27" s="33">
        <f>24960</f>
        <v>24960</v>
      </c>
      <c r="U27" s="33" t="str">
        <f>"－"</f>
        <v>－</v>
      </c>
      <c r="V27" s="33">
        <f>18585460</f>
        <v>18585460</v>
      </c>
      <c r="W27" s="33" t="str">
        <f>"－"</f>
        <v>－</v>
      </c>
      <c r="X27" s="35">
        <f>19</f>
        <v>19</v>
      </c>
    </row>
    <row r="28" spans="1:24">
      <c r="A28" s="29" t="s">
        <v>42</v>
      </c>
      <c r="B28" s="29" t="s">
        <v>123</v>
      </c>
      <c r="C28" s="29" t="s">
        <v>124</v>
      </c>
      <c r="D28" s="29" t="s">
        <v>125</v>
      </c>
      <c r="E28" s="30" t="s">
        <v>46</v>
      </c>
      <c r="F28" s="31" t="s">
        <v>46</v>
      </c>
      <c r="G28" s="32" t="s">
        <v>46</v>
      </c>
      <c r="H28" s="27"/>
      <c r="I28" s="27" t="s">
        <v>47</v>
      </c>
      <c r="J28" s="33">
        <v>100</v>
      </c>
      <c r="K28" s="37">
        <f>2178</f>
        <v>2178</v>
      </c>
      <c r="L28" s="34" t="s">
        <v>48</v>
      </c>
      <c r="M28" s="37">
        <f>2248</f>
        <v>2248</v>
      </c>
      <c r="N28" s="34" t="s">
        <v>51</v>
      </c>
      <c r="O28" s="37">
        <f>2132</f>
        <v>2132</v>
      </c>
      <c r="P28" s="34" t="s">
        <v>119</v>
      </c>
      <c r="Q28" s="37">
        <f>2239</f>
        <v>2239</v>
      </c>
      <c r="R28" s="34" t="s">
        <v>51</v>
      </c>
      <c r="S28" s="36">
        <f>2181.58</f>
        <v>2181.58</v>
      </c>
      <c r="T28" s="33">
        <f>1187300</f>
        <v>1187300</v>
      </c>
      <c r="U28" s="33">
        <f>30100</f>
        <v>30100</v>
      </c>
      <c r="V28" s="33">
        <f>2596793421</f>
        <v>2596793421</v>
      </c>
      <c r="W28" s="33">
        <f>65695621</f>
        <v>65695621</v>
      </c>
      <c r="X28" s="35">
        <f>19</f>
        <v>19</v>
      </c>
    </row>
    <row r="29" spans="1:24">
      <c r="A29" s="29" t="s">
        <v>42</v>
      </c>
      <c r="B29" s="29" t="s">
        <v>126</v>
      </c>
      <c r="C29" s="29" t="s">
        <v>127</v>
      </c>
      <c r="D29" s="29" t="s">
        <v>128</v>
      </c>
      <c r="E29" s="30" t="s">
        <v>46</v>
      </c>
      <c r="F29" s="31" t="s">
        <v>46</v>
      </c>
      <c r="G29" s="32" t="s">
        <v>46</v>
      </c>
      <c r="H29" s="27"/>
      <c r="I29" s="27" t="s">
        <v>47</v>
      </c>
      <c r="J29" s="33">
        <v>1</v>
      </c>
      <c r="K29" s="37">
        <f>24100</f>
        <v>24100</v>
      </c>
      <c r="L29" s="34" t="s">
        <v>48</v>
      </c>
      <c r="M29" s="37">
        <f>24930</f>
        <v>24930</v>
      </c>
      <c r="N29" s="34" t="s">
        <v>90</v>
      </c>
      <c r="O29" s="37">
        <f>23520</f>
        <v>23520</v>
      </c>
      <c r="P29" s="34" t="s">
        <v>50</v>
      </c>
      <c r="Q29" s="37">
        <f>23810</f>
        <v>23810</v>
      </c>
      <c r="R29" s="34" t="s">
        <v>51</v>
      </c>
      <c r="S29" s="36">
        <f>24338.95</f>
        <v>24338.95</v>
      </c>
      <c r="T29" s="33">
        <f>482360</f>
        <v>482360</v>
      </c>
      <c r="U29" s="33">
        <f>57073</f>
        <v>57073</v>
      </c>
      <c r="V29" s="33">
        <f>11737961986</f>
        <v>11737961986</v>
      </c>
      <c r="W29" s="33">
        <f>1405327226</f>
        <v>1405327226</v>
      </c>
      <c r="X29" s="35">
        <f>19</f>
        <v>19</v>
      </c>
    </row>
    <row r="30" spans="1:24">
      <c r="A30" s="29" t="s">
        <v>42</v>
      </c>
      <c r="B30" s="29" t="s">
        <v>129</v>
      </c>
      <c r="C30" s="29" t="s">
        <v>130</v>
      </c>
      <c r="D30" s="29" t="s">
        <v>131</v>
      </c>
      <c r="E30" s="30" t="s">
        <v>46</v>
      </c>
      <c r="F30" s="31" t="s">
        <v>46</v>
      </c>
      <c r="G30" s="32" t="s">
        <v>46</v>
      </c>
      <c r="H30" s="27"/>
      <c r="I30" s="27" t="s">
        <v>47</v>
      </c>
      <c r="J30" s="33">
        <v>10</v>
      </c>
      <c r="K30" s="37">
        <f>1762</f>
        <v>1762</v>
      </c>
      <c r="L30" s="34" t="s">
        <v>48</v>
      </c>
      <c r="M30" s="37">
        <f>1807</f>
        <v>1807</v>
      </c>
      <c r="N30" s="34" t="s">
        <v>90</v>
      </c>
      <c r="O30" s="37">
        <f>1713</f>
        <v>1713</v>
      </c>
      <c r="P30" s="34" t="s">
        <v>50</v>
      </c>
      <c r="Q30" s="37">
        <f>1730</f>
        <v>1730</v>
      </c>
      <c r="R30" s="34" t="s">
        <v>51</v>
      </c>
      <c r="S30" s="36">
        <f>1771.47</f>
        <v>1771.47</v>
      </c>
      <c r="T30" s="33">
        <f>3895750</f>
        <v>3895750</v>
      </c>
      <c r="U30" s="33">
        <f>1799010</f>
        <v>1799010</v>
      </c>
      <c r="V30" s="33">
        <f>6892480594</f>
        <v>6892480594</v>
      </c>
      <c r="W30" s="33">
        <f>3204399694</f>
        <v>3204399694</v>
      </c>
      <c r="X30" s="35">
        <f>19</f>
        <v>19</v>
      </c>
    </row>
    <row r="31" spans="1:24">
      <c r="A31" s="29" t="s">
        <v>42</v>
      </c>
      <c r="B31" s="29" t="s">
        <v>132</v>
      </c>
      <c r="C31" s="29" t="s">
        <v>133</v>
      </c>
      <c r="D31" s="29" t="s">
        <v>134</v>
      </c>
      <c r="E31" s="30" t="s">
        <v>46</v>
      </c>
      <c r="F31" s="31" t="s">
        <v>46</v>
      </c>
      <c r="G31" s="32" t="s">
        <v>46</v>
      </c>
      <c r="H31" s="27"/>
      <c r="I31" s="27" t="s">
        <v>47</v>
      </c>
      <c r="J31" s="33">
        <v>1</v>
      </c>
      <c r="K31" s="37">
        <f>12990</f>
        <v>12990</v>
      </c>
      <c r="L31" s="34" t="s">
        <v>48</v>
      </c>
      <c r="M31" s="37">
        <f>13330</f>
        <v>13330</v>
      </c>
      <c r="N31" s="34" t="s">
        <v>49</v>
      </c>
      <c r="O31" s="37">
        <f>12860</f>
        <v>12860</v>
      </c>
      <c r="P31" s="34" t="s">
        <v>65</v>
      </c>
      <c r="Q31" s="37">
        <f>12940</f>
        <v>12940</v>
      </c>
      <c r="R31" s="34" t="s">
        <v>51</v>
      </c>
      <c r="S31" s="36">
        <f>13066.84</f>
        <v>13066.84</v>
      </c>
      <c r="T31" s="33">
        <f>1594</f>
        <v>1594</v>
      </c>
      <c r="U31" s="33" t="str">
        <f>"－"</f>
        <v>－</v>
      </c>
      <c r="V31" s="33">
        <f>20827360</f>
        <v>20827360</v>
      </c>
      <c r="W31" s="33" t="str">
        <f>"－"</f>
        <v>－</v>
      </c>
      <c r="X31" s="35">
        <f>19</f>
        <v>19</v>
      </c>
    </row>
    <row r="32" spans="1:24">
      <c r="A32" s="29" t="s">
        <v>42</v>
      </c>
      <c r="B32" s="29" t="s">
        <v>135</v>
      </c>
      <c r="C32" s="29" t="s">
        <v>136</v>
      </c>
      <c r="D32" s="29" t="s">
        <v>137</v>
      </c>
      <c r="E32" s="30" t="s">
        <v>46</v>
      </c>
      <c r="F32" s="31" t="s">
        <v>46</v>
      </c>
      <c r="G32" s="32" t="s">
        <v>46</v>
      </c>
      <c r="H32" s="27"/>
      <c r="I32" s="27" t="s">
        <v>47</v>
      </c>
      <c r="J32" s="33">
        <v>10</v>
      </c>
      <c r="K32" s="37">
        <f>2031</f>
        <v>2031</v>
      </c>
      <c r="L32" s="34" t="s">
        <v>48</v>
      </c>
      <c r="M32" s="37">
        <f>2105</f>
        <v>2105</v>
      </c>
      <c r="N32" s="34" t="s">
        <v>50</v>
      </c>
      <c r="O32" s="37">
        <f>1923</f>
        <v>1923</v>
      </c>
      <c r="P32" s="34" t="s">
        <v>49</v>
      </c>
      <c r="Q32" s="37">
        <f>2064</f>
        <v>2064</v>
      </c>
      <c r="R32" s="34" t="s">
        <v>51</v>
      </c>
      <c r="S32" s="36">
        <f>1986.47</f>
        <v>1986.47</v>
      </c>
      <c r="T32" s="33">
        <f>4109030</f>
        <v>4109030</v>
      </c>
      <c r="U32" s="33">
        <f>13720</f>
        <v>13720</v>
      </c>
      <c r="V32" s="33">
        <f>8246700494</f>
        <v>8246700494</v>
      </c>
      <c r="W32" s="33">
        <f>27933414</f>
        <v>27933414</v>
      </c>
      <c r="X32" s="35">
        <f>19</f>
        <v>19</v>
      </c>
    </row>
    <row r="33" spans="1:24">
      <c r="A33" s="29" t="s">
        <v>42</v>
      </c>
      <c r="B33" s="29" t="s">
        <v>138</v>
      </c>
      <c r="C33" s="29" t="s">
        <v>139</v>
      </c>
      <c r="D33" s="29" t="s">
        <v>140</v>
      </c>
      <c r="E33" s="30" t="s">
        <v>46</v>
      </c>
      <c r="F33" s="31" t="s">
        <v>46</v>
      </c>
      <c r="G33" s="32" t="s">
        <v>46</v>
      </c>
      <c r="H33" s="27"/>
      <c r="I33" s="27" t="s">
        <v>47</v>
      </c>
      <c r="J33" s="33">
        <v>1</v>
      </c>
      <c r="K33" s="37">
        <f>911</f>
        <v>911</v>
      </c>
      <c r="L33" s="34" t="s">
        <v>48</v>
      </c>
      <c r="M33" s="37">
        <f>934</f>
        <v>934</v>
      </c>
      <c r="N33" s="34" t="s">
        <v>65</v>
      </c>
      <c r="O33" s="37">
        <f>843</f>
        <v>843</v>
      </c>
      <c r="P33" s="34" t="s">
        <v>79</v>
      </c>
      <c r="Q33" s="37">
        <f>908</f>
        <v>908</v>
      </c>
      <c r="R33" s="34" t="s">
        <v>51</v>
      </c>
      <c r="S33" s="36">
        <f>878.84</f>
        <v>878.84</v>
      </c>
      <c r="T33" s="33">
        <f>599575258</f>
        <v>599575258</v>
      </c>
      <c r="U33" s="33">
        <f>4904675</f>
        <v>4904675</v>
      </c>
      <c r="V33" s="33">
        <f>534124580137</f>
        <v>534124580137</v>
      </c>
      <c r="W33" s="33">
        <f>4263179435</f>
        <v>4263179435</v>
      </c>
      <c r="X33" s="35">
        <f>19</f>
        <v>19</v>
      </c>
    </row>
    <row r="34" spans="1:24">
      <c r="A34" s="29" t="s">
        <v>42</v>
      </c>
      <c r="B34" s="29" t="s">
        <v>141</v>
      </c>
      <c r="C34" s="29" t="s">
        <v>142</v>
      </c>
      <c r="D34" s="29" t="s">
        <v>143</v>
      </c>
      <c r="E34" s="30" t="s">
        <v>46</v>
      </c>
      <c r="F34" s="31" t="s">
        <v>46</v>
      </c>
      <c r="G34" s="32" t="s">
        <v>46</v>
      </c>
      <c r="H34" s="27"/>
      <c r="I34" s="27" t="s">
        <v>47</v>
      </c>
      <c r="J34" s="33">
        <v>1</v>
      </c>
      <c r="K34" s="37">
        <f>20400</f>
        <v>20400</v>
      </c>
      <c r="L34" s="34" t="s">
        <v>48</v>
      </c>
      <c r="M34" s="37">
        <f>21870</f>
        <v>21870</v>
      </c>
      <c r="N34" s="34" t="s">
        <v>79</v>
      </c>
      <c r="O34" s="37">
        <f>19660</f>
        <v>19660</v>
      </c>
      <c r="P34" s="34" t="s">
        <v>50</v>
      </c>
      <c r="Q34" s="37">
        <f>20160</f>
        <v>20160</v>
      </c>
      <c r="R34" s="34" t="s">
        <v>51</v>
      </c>
      <c r="S34" s="36">
        <f>21001.58</f>
        <v>21001.58</v>
      </c>
      <c r="T34" s="33">
        <f>261299</f>
        <v>261299</v>
      </c>
      <c r="U34" s="33">
        <f>233</f>
        <v>233</v>
      </c>
      <c r="V34" s="33">
        <f>5414510754</f>
        <v>5414510754</v>
      </c>
      <c r="W34" s="33">
        <f>4807204</f>
        <v>4807204</v>
      </c>
      <c r="X34" s="35">
        <f>19</f>
        <v>19</v>
      </c>
    </row>
    <row r="35" spans="1:24">
      <c r="A35" s="29" t="s">
        <v>42</v>
      </c>
      <c r="B35" s="29" t="s">
        <v>144</v>
      </c>
      <c r="C35" s="29" t="s">
        <v>145</v>
      </c>
      <c r="D35" s="29" t="s">
        <v>146</v>
      </c>
      <c r="E35" s="30" t="s">
        <v>46</v>
      </c>
      <c r="F35" s="31" t="s">
        <v>46</v>
      </c>
      <c r="G35" s="32" t="s">
        <v>46</v>
      </c>
      <c r="H35" s="27"/>
      <c r="I35" s="27" t="s">
        <v>47</v>
      </c>
      <c r="J35" s="33">
        <v>10</v>
      </c>
      <c r="K35" s="37">
        <f>2195</f>
        <v>2195</v>
      </c>
      <c r="L35" s="34" t="s">
        <v>48</v>
      </c>
      <c r="M35" s="37">
        <f>2245</f>
        <v>2245</v>
      </c>
      <c r="N35" s="34" t="s">
        <v>65</v>
      </c>
      <c r="O35" s="37">
        <f>2027</f>
        <v>2027</v>
      </c>
      <c r="P35" s="34" t="s">
        <v>79</v>
      </c>
      <c r="Q35" s="37">
        <f>2185</f>
        <v>2185</v>
      </c>
      <c r="R35" s="34" t="s">
        <v>51</v>
      </c>
      <c r="S35" s="36">
        <f>2113.05</f>
        <v>2113.0500000000002</v>
      </c>
      <c r="T35" s="33">
        <f>37945890</f>
        <v>37945890</v>
      </c>
      <c r="U35" s="33">
        <f>6380</f>
        <v>6380</v>
      </c>
      <c r="V35" s="33">
        <f>81363552361</f>
        <v>81363552361</v>
      </c>
      <c r="W35" s="33">
        <f>13948601</f>
        <v>13948601</v>
      </c>
      <c r="X35" s="35">
        <f>19</f>
        <v>19</v>
      </c>
    </row>
    <row r="36" spans="1:24">
      <c r="A36" s="29" t="s">
        <v>42</v>
      </c>
      <c r="B36" s="29" t="s">
        <v>147</v>
      </c>
      <c r="C36" s="29" t="s">
        <v>148</v>
      </c>
      <c r="D36" s="29" t="s">
        <v>149</v>
      </c>
      <c r="E36" s="30" t="s">
        <v>46</v>
      </c>
      <c r="F36" s="31" t="s">
        <v>46</v>
      </c>
      <c r="G36" s="32" t="s">
        <v>46</v>
      </c>
      <c r="H36" s="27"/>
      <c r="I36" s="27" t="s">
        <v>47</v>
      </c>
      <c r="J36" s="33">
        <v>1</v>
      </c>
      <c r="K36" s="37">
        <f>15530</f>
        <v>15530</v>
      </c>
      <c r="L36" s="34" t="s">
        <v>48</v>
      </c>
      <c r="M36" s="37">
        <f>15990</f>
        <v>15990</v>
      </c>
      <c r="N36" s="34" t="s">
        <v>150</v>
      </c>
      <c r="O36" s="37">
        <f>15320</f>
        <v>15320</v>
      </c>
      <c r="P36" s="34" t="s">
        <v>50</v>
      </c>
      <c r="Q36" s="37">
        <f>15460</f>
        <v>15460</v>
      </c>
      <c r="R36" s="34" t="s">
        <v>51</v>
      </c>
      <c r="S36" s="36">
        <f>15747.37</f>
        <v>15747.37</v>
      </c>
      <c r="T36" s="33">
        <f>61053</f>
        <v>61053</v>
      </c>
      <c r="U36" s="33">
        <f>47000</f>
        <v>47000</v>
      </c>
      <c r="V36" s="33">
        <f>957658780</f>
        <v>957658780</v>
      </c>
      <c r="W36" s="33">
        <f>736431000</f>
        <v>736431000</v>
      </c>
      <c r="X36" s="35">
        <f>19</f>
        <v>19</v>
      </c>
    </row>
    <row r="37" spans="1:24">
      <c r="A37" s="29" t="s">
        <v>42</v>
      </c>
      <c r="B37" s="29" t="s">
        <v>151</v>
      </c>
      <c r="C37" s="29" t="s">
        <v>152</v>
      </c>
      <c r="D37" s="29" t="s">
        <v>153</v>
      </c>
      <c r="E37" s="30" t="s">
        <v>46</v>
      </c>
      <c r="F37" s="31" t="s">
        <v>46</v>
      </c>
      <c r="G37" s="32" t="s">
        <v>46</v>
      </c>
      <c r="H37" s="27"/>
      <c r="I37" s="27" t="s">
        <v>47</v>
      </c>
      <c r="J37" s="33">
        <v>1</v>
      </c>
      <c r="K37" s="37">
        <f>16590</f>
        <v>16590</v>
      </c>
      <c r="L37" s="34" t="s">
        <v>48</v>
      </c>
      <c r="M37" s="37">
        <f>17810</f>
        <v>17810</v>
      </c>
      <c r="N37" s="34" t="s">
        <v>79</v>
      </c>
      <c r="O37" s="37">
        <f>16020</f>
        <v>16020</v>
      </c>
      <c r="P37" s="34" t="s">
        <v>50</v>
      </c>
      <c r="Q37" s="37">
        <f>16430</f>
        <v>16430</v>
      </c>
      <c r="R37" s="34" t="s">
        <v>51</v>
      </c>
      <c r="S37" s="36">
        <f>17101.58</f>
        <v>17101.580000000002</v>
      </c>
      <c r="T37" s="33">
        <f>921909</f>
        <v>921909</v>
      </c>
      <c r="U37" s="33">
        <f>467</f>
        <v>467</v>
      </c>
      <c r="V37" s="33">
        <f>15619712202</f>
        <v>15619712202</v>
      </c>
      <c r="W37" s="33">
        <f>7702542</f>
        <v>7702542</v>
      </c>
      <c r="X37" s="35">
        <f>19</f>
        <v>19</v>
      </c>
    </row>
    <row r="38" spans="1:24">
      <c r="A38" s="29" t="s">
        <v>42</v>
      </c>
      <c r="B38" s="29" t="s">
        <v>154</v>
      </c>
      <c r="C38" s="29" t="s">
        <v>155</v>
      </c>
      <c r="D38" s="29" t="s">
        <v>156</v>
      </c>
      <c r="E38" s="30" t="s">
        <v>46</v>
      </c>
      <c r="F38" s="31" t="s">
        <v>46</v>
      </c>
      <c r="G38" s="32" t="s">
        <v>46</v>
      </c>
      <c r="H38" s="27"/>
      <c r="I38" s="27" t="s">
        <v>47</v>
      </c>
      <c r="J38" s="33">
        <v>1</v>
      </c>
      <c r="K38" s="37">
        <f>2377</f>
        <v>2377</v>
      </c>
      <c r="L38" s="34" t="s">
        <v>48</v>
      </c>
      <c r="M38" s="37">
        <f>2433</f>
        <v>2433</v>
      </c>
      <c r="N38" s="34" t="s">
        <v>65</v>
      </c>
      <c r="O38" s="37">
        <f>2199</f>
        <v>2199</v>
      </c>
      <c r="P38" s="34" t="s">
        <v>79</v>
      </c>
      <c r="Q38" s="37">
        <f>2371</f>
        <v>2371</v>
      </c>
      <c r="R38" s="34" t="s">
        <v>51</v>
      </c>
      <c r="S38" s="36">
        <f>2291.16</f>
        <v>2291.16</v>
      </c>
      <c r="T38" s="33">
        <f>5631234</f>
        <v>5631234</v>
      </c>
      <c r="U38" s="33">
        <f>3060</f>
        <v>3060</v>
      </c>
      <c r="V38" s="33">
        <f>13079841472</f>
        <v>13079841472</v>
      </c>
      <c r="W38" s="33">
        <f>7062188</f>
        <v>7062188</v>
      </c>
      <c r="X38" s="35">
        <f>19</f>
        <v>19</v>
      </c>
    </row>
    <row r="39" spans="1:24">
      <c r="A39" s="29" t="s">
        <v>42</v>
      </c>
      <c r="B39" s="29" t="s">
        <v>157</v>
      </c>
      <c r="C39" s="29" t="s">
        <v>158</v>
      </c>
      <c r="D39" s="29" t="s">
        <v>159</v>
      </c>
      <c r="E39" s="30" t="s">
        <v>46</v>
      </c>
      <c r="F39" s="31" t="s">
        <v>46</v>
      </c>
      <c r="G39" s="32" t="s">
        <v>46</v>
      </c>
      <c r="H39" s="27"/>
      <c r="I39" s="27" t="s">
        <v>47</v>
      </c>
      <c r="J39" s="33">
        <v>1</v>
      </c>
      <c r="K39" s="37">
        <f>14420</f>
        <v>14420</v>
      </c>
      <c r="L39" s="34" t="s">
        <v>48</v>
      </c>
      <c r="M39" s="37">
        <f>15090</f>
        <v>15090</v>
      </c>
      <c r="N39" s="34" t="s">
        <v>49</v>
      </c>
      <c r="O39" s="37">
        <f>13740</f>
        <v>13740</v>
      </c>
      <c r="P39" s="34" t="s">
        <v>50</v>
      </c>
      <c r="Q39" s="37">
        <f>14030</f>
        <v>14030</v>
      </c>
      <c r="R39" s="34" t="s">
        <v>51</v>
      </c>
      <c r="S39" s="36">
        <f>14624.74</f>
        <v>14624.74</v>
      </c>
      <c r="T39" s="33">
        <f>93945</f>
        <v>93945</v>
      </c>
      <c r="U39" s="33">
        <f>32</f>
        <v>32</v>
      </c>
      <c r="V39" s="33">
        <f>1360266626</f>
        <v>1360266626</v>
      </c>
      <c r="W39" s="33">
        <f>457556</f>
        <v>457556</v>
      </c>
      <c r="X39" s="35">
        <f>19</f>
        <v>19</v>
      </c>
    </row>
    <row r="40" spans="1:24">
      <c r="A40" s="29" t="s">
        <v>42</v>
      </c>
      <c r="B40" s="29" t="s">
        <v>160</v>
      </c>
      <c r="C40" s="29" t="s">
        <v>161</v>
      </c>
      <c r="D40" s="29" t="s">
        <v>162</v>
      </c>
      <c r="E40" s="30" t="s">
        <v>46</v>
      </c>
      <c r="F40" s="31" t="s">
        <v>46</v>
      </c>
      <c r="G40" s="32" t="s">
        <v>46</v>
      </c>
      <c r="H40" s="27"/>
      <c r="I40" s="27" t="s">
        <v>47</v>
      </c>
      <c r="J40" s="33">
        <v>1</v>
      </c>
      <c r="K40" s="37">
        <f>2970</f>
        <v>2970</v>
      </c>
      <c r="L40" s="34" t="s">
        <v>48</v>
      </c>
      <c r="M40" s="37">
        <f>3065</f>
        <v>3065</v>
      </c>
      <c r="N40" s="34" t="s">
        <v>50</v>
      </c>
      <c r="O40" s="37">
        <f>2800</f>
        <v>2800</v>
      </c>
      <c r="P40" s="34" t="s">
        <v>49</v>
      </c>
      <c r="Q40" s="37">
        <f>3005</f>
        <v>3005</v>
      </c>
      <c r="R40" s="34" t="s">
        <v>51</v>
      </c>
      <c r="S40" s="36">
        <f>2892.16</f>
        <v>2892.16</v>
      </c>
      <c r="T40" s="33">
        <f>656288</f>
        <v>656288</v>
      </c>
      <c r="U40" s="33">
        <f>1200</f>
        <v>1200</v>
      </c>
      <c r="V40" s="33">
        <f>1910793813</f>
        <v>1910793813</v>
      </c>
      <c r="W40" s="33">
        <f>3585730</f>
        <v>3585730</v>
      </c>
      <c r="X40" s="35">
        <f>19</f>
        <v>19</v>
      </c>
    </row>
    <row r="41" spans="1:24">
      <c r="A41" s="29" t="s">
        <v>42</v>
      </c>
      <c r="B41" s="29" t="s">
        <v>163</v>
      </c>
      <c r="C41" s="29" t="s">
        <v>164</v>
      </c>
      <c r="D41" s="29" t="s">
        <v>165</v>
      </c>
      <c r="E41" s="30" t="s">
        <v>46</v>
      </c>
      <c r="F41" s="31" t="s">
        <v>46</v>
      </c>
      <c r="G41" s="32" t="s">
        <v>46</v>
      </c>
      <c r="H41" s="27"/>
      <c r="I41" s="27" t="s">
        <v>47</v>
      </c>
      <c r="J41" s="33">
        <v>1</v>
      </c>
      <c r="K41" s="37">
        <f>23460</f>
        <v>23460</v>
      </c>
      <c r="L41" s="34" t="s">
        <v>48</v>
      </c>
      <c r="M41" s="37">
        <f>24080</f>
        <v>24080</v>
      </c>
      <c r="N41" s="34" t="s">
        <v>79</v>
      </c>
      <c r="O41" s="37">
        <f>22870</f>
        <v>22870</v>
      </c>
      <c r="P41" s="34" t="s">
        <v>50</v>
      </c>
      <c r="Q41" s="37">
        <f>23190</f>
        <v>23190</v>
      </c>
      <c r="R41" s="34" t="s">
        <v>51</v>
      </c>
      <c r="S41" s="36">
        <f>23630</f>
        <v>23630</v>
      </c>
      <c r="T41" s="33">
        <f>265103</f>
        <v>265103</v>
      </c>
      <c r="U41" s="33">
        <f>250000</f>
        <v>250000</v>
      </c>
      <c r="V41" s="33">
        <f>6306715970</f>
        <v>6306715970</v>
      </c>
      <c r="W41" s="33">
        <f>5952900000</f>
        <v>5952900000</v>
      </c>
      <c r="X41" s="35">
        <f>19</f>
        <v>19</v>
      </c>
    </row>
    <row r="42" spans="1:24">
      <c r="A42" s="29" t="s">
        <v>42</v>
      </c>
      <c r="B42" s="29" t="s">
        <v>166</v>
      </c>
      <c r="C42" s="29" t="s">
        <v>167</v>
      </c>
      <c r="D42" s="29" t="s">
        <v>168</v>
      </c>
      <c r="E42" s="30" t="s">
        <v>46</v>
      </c>
      <c r="F42" s="31" t="s">
        <v>46</v>
      </c>
      <c r="G42" s="32" t="s">
        <v>46</v>
      </c>
      <c r="H42" s="27"/>
      <c r="I42" s="27" t="s">
        <v>47</v>
      </c>
      <c r="J42" s="33">
        <v>1</v>
      </c>
      <c r="K42" s="37">
        <f>4540</f>
        <v>4540</v>
      </c>
      <c r="L42" s="34" t="s">
        <v>48</v>
      </c>
      <c r="M42" s="37">
        <f>4650</f>
        <v>4650</v>
      </c>
      <c r="N42" s="34" t="s">
        <v>79</v>
      </c>
      <c r="O42" s="37">
        <f>4410</f>
        <v>4410</v>
      </c>
      <c r="P42" s="34" t="s">
        <v>95</v>
      </c>
      <c r="Q42" s="37">
        <f>4505</f>
        <v>4505</v>
      </c>
      <c r="R42" s="34" t="s">
        <v>51</v>
      </c>
      <c r="S42" s="36">
        <f>4576.84</f>
        <v>4576.84</v>
      </c>
      <c r="T42" s="33">
        <f>2787</f>
        <v>2787</v>
      </c>
      <c r="U42" s="33" t="str">
        <f t="shared" ref="U42:U51" si="0">"－"</f>
        <v>－</v>
      </c>
      <c r="V42" s="33">
        <f>12811135</f>
        <v>12811135</v>
      </c>
      <c r="W42" s="33" t="str">
        <f t="shared" ref="W42:W51" si="1">"－"</f>
        <v>－</v>
      </c>
      <c r="X42" s="35">
        <f>19</f>
        <v>19</v>
      </c>
    </row>
    <row r="43" spans="1:24">
      <c r="A43" s="29" t="s">
        <v>42</v>
      </c>
      <c r="B43" s="29" t="s">
        <v>169</v>
      </c>
      <c r="C43" s="29" t="s">
        <v>170</v>
      </c>
      <c r="D43" s="29" t="s">
        <v>171</v>
      </c>
      <c r="E43" s="30" t="s">
        <v>46</v>
      </c>
      <c r="F43" s="31" t="s">
        <v>46</v>
      </c>
      <c r="G43" s="32" t="s">
        <v>46</v>
      </c>
      <c r="H43" s="27"/>
      <c r="I43" s="27" t="s">
        <v>47</v>
      </c>
      <c r="J43" s="33">
        <v>1</v>
      </c>
      <c r="K43" s="37">
        <f>8260</f>
        <v>8260</v>
      </c>
      <c r="L43" s="34" t="s">
        <v>48</v>
      </c>
      <c r="M43" s="37">
        <f>8590</f>
        <v>8590</v>
      </c>
      <c r="N43" s="34" t="s">
        <v>150</v>
      </c>
      <c r="O43" s="37">
        <f>8130</f>
        <v>8130</v>
      </c>
      <c r="P43" s="34" t="s">
        <v>65</v>
      </c>
      <c r="Q43" s="37">
        <f>8290</f>
        <v>8290</v>
      </c>
      <c r="R43" s="34" t="s">
        <v>51</v>
      </c>
      <c r="S43" s="36">
        <f>8416.32</f>
        <v>8416.32</v>
      </c>
      <c r="T43" s="33">
        <f>1626</f>
        <v>1626</v>
      </c>
      <c r="U43" s="33" t="str">
        <f t="shared" si="0"/>
        <v>－</v>
      </c>
      <c r="V43" s="33">
        <f>13655540</f>
        <v>13655540</v>
      </c>
      <c r="W43" s="33" t="str">
        <f t="shared" si="1"/>
        <v>－</v>
      </c>
      <c r="X43" s="35">
        <f>19</f>
        <v>19</v>
      </c>
    </row>
    <row r="44" spans="1:24">
      <c r="A44" s="29" t="s">
        <v>42</v>
      </c>
      <c r="B44" s="29" t="s">
        <v>172</v>
      </c>
      <c r="C44" s="29" t="s">
        <v>173</v>
      </c>
      <c r="D44" s="29" t="s">
        <v>174</v>
      </c>
      <c r="E44" s="30" t="s">
        <v>46</v>
      </c>
      <c r="F44" s="31" t="s">
        <v>46</v>
      </c>
      <c r="G44" s="32" t="s">
        <v>46</v>
      </c>
      <c r="H44" s="27"/>
      <c r="I44" s="27" t="s">
        <v>47</v>
      </c>
      <c r="J44" s="33">
        <v>1</v>
      </c>
      <c r="K44" s="37">
        <f>15660</f>
        <v>15660</v>
      </c>
      <c r="L44" s="34" t="s">
        <v>48</v>
      </c>
      <c r="M44" s="37">
        <f>17580</f>
        <v>17580</v>
      </c>
      <c r="N44" s="34" t="s">
        <v>175</v>
      </c>
      <c r="O44" s="37">
        <f>15500</f>
        <v>15500</v>
      </c>
      <c r="P44" s="34" t="s">
        <v>65</v>
      </c>
      <c r="Q44" s="37">
        <f>16660</f>
        <v>16660</v>
      </c>
      <c r="R44" s="34" t="s">
        <v>50</v>
      </c>
      <c r="S44" s="36">
        <f>16265</f>
        <v>16265</v>
      </c>
      <c r="T44" s="33">
        <f>64</f>
        <v>64</v>
      </c>
      <c r="U44" s="33" t="str">
        <f t="shared" si="0"/>
        <v>－</v>
      </c>
      <c r="V44" s="33">
        <f>1065230</f>
        <v>1065230</v>
      </c>
      <c r="W44" s="33" t="str">
        <f t="shared" si="1"/>
        <v>－</v>
      </c>
      <c r="X44" s="35">
        <f>12</f>
        <v>12</v>
      </c>
    </row>
    <row r="45" spans="1:24">
      <c r="A45" s="29" t="s">
        <v>42</v>
      </c>
      <c r="B45" s="29" t="s">
        <v>176</v>
      </c>
      <c r="C45" s="29" t="s">
        <v>177</v>
      </c>
      <c r="D45" s="29" t="s">
        <v>178</v>
      </c>
      <c r="E45" s="30" t="s">
        <v>46</v>
      </c>
      <c r="F45" s="31" t="s">
        <v>46</v>
      </c>
      <c r="G45" s="32" t="s">
        <v>46</v>
      </c>
      <c r="H45" s="27"/>
      <c r="I45" s="27" t="s">
        <v>47</v>
      </c>
      <c r="J45" s="33">
        <v>1</v>
      </c>
      <c r="K45" s="37">
        <f>12490</f>
        <v>12490</v>
      </c>
      <c r="L45" s="34" t="s">
        <v>48</v>
      </c>
      <c r="M45" s="37">
        <f>15620</f>
        <v>15620</v>
      </c>
      <c r="N45" s="34" t="s">
        <v>150</v>
      </c>
      <c r="O45" s="37">
        <f>12380</f>
        <v>12380</v>
      </c>
      <c r="P45" s="34" t="s">
        <v>65</v>
      </c>
      <c r="Q45" s="37">
        <f>12770</f>
        <v>12770</v>
      </c>
      <c r="R45" s="34" t="s">
        <v>91</v>
      </c>
      <c r="S45" s="36">
        <f>12978</f>
        <v>12978</v>
      </c>
      <c r="T45" s="33">
        <f>416</f>
        <v>416</v>
      </c>
      <c r="U45" s="33" t="str">
        <f t="shared" si="0"/>
        <v>－</v>
      </c>
      <c r="V45" s="33">
        <f>5836010</f>
        <v>5836010</v>
      </c>
      <c r="W45" s="33" t="str">
        <f t="shared" si="1"/>
        <v>－</v>
      </c>
      <c r="X45" s="35">
        <f>10</f>
        <v>10</v>
      </c>
    </row>
    <row r="46" spans="1:24">
      <c r="A46" s="29" t="s">
        <v>42</v>
      </c>
      <c r="B46" s="29" t="s">
        <v>179</v>
      </c>
      <c r="C46" s="29" t="s">
        <v>180</v>
      </c>
      <c r="D46" s="29" t="s">
        <v>181</v>
      </c>
      <c r="E46" s="30" t="s">
        <v>46</v>
      </c>
      <c r="F46" s="31" t="s">
        <v>46</v>
      </c>
      <c r="G46" s="32" t="s">
        <v>46</v>
      </c>
      <c r="H46" s="27"/>
      <c r="I46" s="27" t="s">
        <v>47</v>
      </c>
      <c r="J46" s="33">
        <v>1</v>
      </c>
      <c r="K46" s="37">
        <f>10480</f>
        <v>10480</v>
      </c>
      <c r="L46" s="34" t="s">
        <v>48</v>
      </c>
      <c r="M46" s="37">
        <f>11060</f>
        <v>11060</v>
      </c>
      <c r="N46" s="34" t="s">
        <v>100</v>
      </c>
      <c r="O46" s="37">
        <f>9700</f>
        <v>9700</v>
      </c>
      <c r="P46" s="34" t="s">
        <v>51</v>
      </c>
      <c r="Q46" s="37">
        <f>9710</f>
        <v>9710</v>
      </c>
      <c r="R46" s="34" t="s">
        <v>51</v>
      </c>
      <c r="S46" s="36">
        <f>10277.22</f>
        <v>10277.219999999999</v>
      </c>
      <c r="T46" s="33">
        <f>737</f>
        <v>737</v>
      </c>
      <c r="U46" s="33" t="str">
        <f t="shared" si="0"/>
        <v>－</v>
      </c>
      <c r="V46" s="33">
        <f>7536360</f>
        <v>7536360</v>
      </c>
      <c r="W46" s="33" t="str">
        <f t="shared" si="1"/>
        <v>－</v>
      </c>
      <c r="X46" s="35">
        <f>18</f>
        <v>18</v>
      </c>
    </row>
    <row r="47" spans="1:24">
      <c r="A47" s="29" t="s">
        <v>42</v>
      </c>
      <c r="B47" s="29" t="s">
        <v>182</v>
      </c>
      <c r="C47" s="29" t="s">
        <v>183</v>
      </c>
      <c r="D47" s="29" t="s">
        <v>184</v>
      </c>
      <c r="E47" s="30" t="s">
        <v>46</v>
      </c>
      <c r="F47" s="31" t="s">
        <v>46</v>
      </c>
      <c r="G47" s="32" t="s">
        <v>46</v>
      </c>
      <c r="H47" s="27"/>
      <c r="I47" s="27" t="s">
        <v>47</v>
      </c>
      <c r="J47" s="33">
        <v>1</v>
      </c>
      <c r="K47" s="37">
        <f>5000</f>
        <v>5000</v>
      </c>
      <c r="L47" s="34" t="s">
        <v>48</v>
      </c>
      <c r="M47" s="37">
        <f>5250</f>
        <v>5250</v>
      </c>
      <c r="N47" s="34" t="s">
        <v>99</v>
      </c>
      <c r="O47" s="37">
        <f>4905</f>
        <v>4905</v>
      </c>
      <c r="P47" s="34" t="s">
        <v>51</v>
      </c>
      <c r="Q47" s="37">
        <f>4905</f>
        <v>4905</v>
      </c>
      <c r="R47" s="34" t="s">
        <v>51</v>
      </c>
      <c r="S47" s="36">
        <f>5017.37</f>
        <v>5017.37</v>
      </c>
      <c r="T47" s="33">
        <f>1025</f>
        <v>1025</v>
      </c>
      <c r="U47" s="33" t="str">
        <f t="shared" si="0"/>
        <v>－</v>
      </c>
      <c r="V47" s="33">
        <f>5146805</f>
        <v>5146805</v>
      </c>
      <c r="W47" s="33" t="str">
        <f t="shared" si="1"/>
        <v>－</v>
      </c>
      <c r="X47" s="35">
        <f>19</f>
        <v>19</v>
      </c>
    </row>
    <row r="48" spans="1:24">
      <c r="A48" s="29" t="s">
        <v>42</v>
      </c>
      <c r="B48" s="29" t="s">
        <v>185</v>
      </c>
      <c r="C48" s="29" t="s">
        <v>186</v>
      </c>
      <c r="D48" s="29" t="s">
        <v>187</v>
      </c>
      <c r="E48" s="30" t="s">
        <v>46</v>
      </c>
      <c r="F48" s="31" t="s">
        <v>46</v>
      </c>
      <c r="G48" s="32" t="s">
        <v>46</v>
      </c>
      <c r="H48" s="27"/>
      <c r="I48" s="27" t="s">
        <v>47</v>
      </c>
      <c r="J48" s="33">
        <v>1</v>
      </c>
      <c r="K48" s="37">
        <f>2290</f>
        <v>2290</v>
      </c>
      <c r="L48" s="34" t="s">
        <v>48</v>
      </c>
      <c r="M48" s="37">
        <f>2502</f>
        <v>2502</v>
      </c>
      <c r="N48" s="34" t="s">
        <v>72</v>
      </c>
      <c r="O48" s="37">
        <f>2230</f>
        <v>2230</v>
      </c>
      <c r="P48" s="34" t="s">
        <v>48</v>
      </c>
      <c r="Q48" s="37">
        <f>2354</f>
        <v>2354</v>
      </c>
      <c r="R48" s="34" t="s">
        <v>51</v>
      </c>
      <c r="S48" s="36">
        <f>2336</f>
        <v>2336</v>
      </c>
      <c r="T48" s="33">
        <f>7299</f>
        <v>7299</v>
      </c>
      <c r="U48" s="33" t="str">
        <f t="shared" si="0"/>
        <v>－</v>
      </c>
      <c r="V48" s="33">
        <f>17017909</f>
        <v>17017909</v>
      </c>
      <c r="W48" s="33" t="str">
        <f t="shared" si="1"/>
        <v>－</v>
      </c>
      <c r="X48" s="35">
        <f>19</f>
        <v>19</v>
      </c>
    </row>
    <row r="49" spans="1:24">
      <c r="A49" s="29" t="s">
        <v>42</v>
      </c>
      <c r="B49" s="29" t="s">
        <v>188</v>
      </c>
      <c r="C49" s="29" t="s">
        <v>189</v>
      </c>
      <c r="D49" s="29" t="s">
        <v>190</v>
      </c>
      <c r="E49" s="30" t="s">
        <v>46</v>
      </c>
      <c r="F49" s="31" t="s">
        <v>46</v>
      </c>
      <c r="G49" s="32" t="s">
        <v>46</v>
      </c>
      <c r="H49" s="27"/>
      <c r="I49" s="27" t="s">
        <v>47</v>
      </c>
      <c r="J49" s="33">
        <v>1</v>
      </c>
      <c r="K49" s="37">
        <f>2740</f>
        <v>2740</v>
      </c>
      <c r="L49" s="34" t="s">
        <v>48</v>
      </c>
      <c r="M49" s="37">
        <f>2878</f>
        <v>2878</v>
      </c>
      <c r="N49" s="34" t="s">
        <v>79</v>
      </c>
      <c r="O49" s="37">
        <f>2698</f>
        <v>2698</v>
      </c>
      <c r="P49" s="34" t="s">
        <v>50</v>
      </c>
      <c r="Q49" s="37">
        <f>2719</f>
        <v>2719</v>
      </c>
      <c r="R49" s="34" t="s">
        <v>51</v>
      </c>
      <c r="S49" s="36">
        <f>2786.95</f>
        <v>2786.95</v>
      </c>
      <c r="T49" s="33">
        <f>1794</f>
        <v>1794</v>
      </c>
      <c r="U49" s="33" t="str">
        <f t="shared" si="0"/>
        <v>－</v>
      </c>
      <c r="V49" s="33">
        <f>5005210</f>
        <v>5005210</v>
      </c>
      <c r="W49" s="33" t="str">
        <f t="shared" si="1"/>
        <v>－</v>
      </c>
      <c r="X49" s="35">
        <f>19</f>
        <v>19</v>
      </c>
    </row>
    <row r="50" spans="1:24">
      <c r="A50" s="29" t="s">
        <v>42</v>
      </c>
      <c r="B50" s="29" t="s">
        <v>191</v>
      </c>
      <c r="C50" s="29" t="s">
        <v>192</v>
      </c>
      <c r="D50" s="29" t="s">
        <v>193</v>
      </c>
      <c r="E50" s="30" t="s">
        <v>46</v>
      </c>
      <c r="F50" s="31" t="s">
        <v>46</v>
      </c>
      <c r="G50" s="32" t="s">
        <v>46</v>
      </c>
      <c r="H50" s="27"/>
      <c r="I50" s="27" t="s">
        <v>47</v>
      </c>
      <c r="J50" s="33">
        <v>1</v>
      </c>
      <c r="K50" s="37">
        <f>33850</f>
        <v>33850</v>
      </c>
      <c r="L50" s="34" t="s">
        <v>100</v>
      </c>
      <c r="M50" s="37">
        <f>42000</f>
        <v>42000</v>
      </c>
      <c r="N50" s="34" t="s">
        <v>49</v>
      </c>
      <c r="O50" s="37">
        <f>33300</f>
        <v>33300</v>
      </c>
      <c r="P50" s="34" t="s">
        <v>65</v>
      </c>
      <c r="Q50" s="37">
        <f>35300</f>
        <v>35300</v>
      </c>
      <c r="R50" s="34" t="s">
        <v>51</v>
      </c>
      <c r="S50" s="36">
        <f>37591.67</f>
        <v>37591.67</v>
      </c>
      <c r="T50" s="33">
        <f>700</f>
        <v>700</v>
      </c>
      <c r="U50" s="33" t="str">
        <f t="shared" si="0"/>
        <v>－</v>
      </c>
      <c r="V50" s="33">
        <f>26365000</f>
        <v>26365000</v>
      </c>
      <c r="W50" s="33" t="str">
        <f t="shared" si="1"/>
        <v>－</v>
      </c>
      <c r="X50" s="35">
        <f>18</f>
        <v>18</v>
      </c>
    </row>
    <row r="51" spans="1:24">
      <c r="A51" s="29" t="s">
        <v>42</v>
      </c>
      <c r="B51" s="29" t="s">
        <v>194</v>
      </c>
      <c r="C51" s="29" t="s">
        <v>195</v>
      </c>
      <c r="D51" s="29" t="s">
        <v>196</v>
      </c>
      <c r="E51" s="30" t="s">
        <v>46</v>
      </c>
      <c r="F51" s="31" t="s">
        <v>46</v>
      </c>
      <c r="G51" s="32" t="s">
        <v>46</v>
      </c>
      <c r="H51" s="27"/>
      <c r="I51" s="27" t="s">
        <v>47</v>
      </c>
      <c r="J51" s="33">
        <v>1</v>
      </c>
      <c r="K51" s="37">
        <f>25380</f>
        <v>25380</v>
      </c>
      <c r="L51" s="34" t="s">
        <v>48</v>
      </c>
      <c r="M51" s="37">
        <f>31550</f>
        <v>31550</v>
      </c>
      <c r="N51" s="34" t="s">
        <v>49</v>
      </c>
      <c r="O51" s="37">
        <f>25380</f>
        <v>25380</v>
      </c>
      <c r="P51" s="34" t="s">
        <v>48</v>
      </c>
      <c r="Q51" s="37">
        <f>26000</f>
        <v>26000</v>
      </c>
      <c r="R51" s="34" t="s">
        <v>51</v>
      </c>
      <c r="S51" s="36">
        <f>28073.33</f>
        <v>28073.33</v>
      </c>
      <c r="T51" s="33">
        <f>217</f>
        <v>217</v>
      </c>
      <c r="U51" s="33" t="str">
        <f t="shared" si="0"/>
        <v>－</v>
      </c>
      <c r="V51" s="33">
        <f>6173210</f>
        <v>6173210</v>
      </c>
      <c r="W51" s="33" t="str">
        <f t="shared" si="1"/>
        <v>－</v>
      </c>
      <c r="X51" s="35">
        <f>15</f>
        <v>15</v>
      </c>
    </row>
    <row r="52" spans="1:24">
      <c r="A52" s="29" t="s">
        <v>42</v>
      </c>
      <c r="B52" s="29" t="s">
        <v>197</v>
      </c>
      <c r="C52" s="29" t="s">
        <v>198</v>
      </c>
      <c r="D52" s="29" t="s">
        <v>199</v>
      </c>
      <c r="E52" s="30" t="s">
        <v>46</v>
      </c>
      <c r="F52" s="31" t="s">
        <v>46</v>
      </c>
      <c r="G52" s="32" t="s">
        <v>46</v>
      </c>
      <c r="H52" s="27"/>
      <c r="I52" s="27" t="s">
        <v>47</v>
      </c>
      <c r="J52" s="33">
        <v>1</v>
      </c>
      <c r="K52" s="37">
        <f>23440</f>
        <v>23440</v>
      </c>
      <c r="L52" s="34" t="s">
        <v>48</v>
      </c>
      <c r="M52" s="37">
        <f>24240</f>
        <v>24240</v>
      </c>
      <c r="N52" s="34" t="s">
        <v>49</v>
      </c>
      <c r="O52" s="37">
        <f>23050</f>
        <v>23050</v>
      </c>
      <c r="P52" s="34" t="s">
        <v>50</v>
      </c>
      <c r="Q52" s="37">
        <f>23350</f>
        <v>23350</v>
      </c>
      <c r="R52" s="34" t="s">
        <v>51</v>
      </c>
      <c r="S52" s="36">
        <f>23752.22</f>
        <v>23752.22</v>
      </c>
      <c r="T52" s="33">
        <f>22129</f>
        <v>22129</v>
      </c>
      <c r="U52" s="33">
        <f>21000</f>
        <v>21000</v>
      </c>
      <c r="V52" s="33">
        <f>531518050</f>
        <v>531518050</v>
      </c>
      <c r="W52" s="33">
        <f>504630000</f>
        <v>504630000</v>
      </c>
      <c r="X52" s="35">
        <f>18</f>
        <v>18</v>
      </c>
    </row>
    <row r="53" spans="1:24">
      <c r="A53" s="29" t="s">
        <v>42</v>
      </c>
      <c r="B53" s="29" t="s">
        <v>200</v>
      </c>
      <c r="C53" s="29" t="s">
        <v>201</v>
      </c>
      <c r="D53" s="29" t="s">
        <v>202</v>
      </c>
      <c r="E53" s="30" t="s">
        <v>46</v>
      </c>
      <c r="F53" s="31" t="s">
        <v>46</v>
      </c>
      <c r="G53" s="32" t="s">
        <v>46</v>
      </c>
      <c r="H53" s="27"/>
      <c r="I53" s="27" t="s">
        <v>47</v>
      </c>
      <c r="J53" s="33">
        <v>10</v>
      </c>
      <c r="K53" s="37">
        <f>2183</f>
        <v>2183</v>
      </c>
      <c r="L53" s="34" t="s">
        <v>48</v>
      </c>
      <c r="M53" s="37">
        <f>2268</f>
        <v>2268</v>
      </c>
      <c r="N53" s="34" t="s">
        <v>51</v>
      </c>
      <c r="O53" s="37">
        <f>2150</f>
        <v>2150</v>
      </c>
      <c r="P53" s="34" t="s">
        <v>119</v>
      </c>
      <c r="Q53" s="37">
        <f>2268</f>
        <v>2268</v>
      </c>
      <c r="R53" s="34" t="s">
        <v>51</v>
      </c>
      <c r="S53" s="36">
        <f>2198.42</f>
        <v>2198.42</v>
      </c>
      <c r="T53" s="33">
        <f>853130</f>
        <v>853130</v>
      </c>
      <c r="U53" s="33">
        <f>30000</f>
        <v>30000</v>
      </c>
      <c r="V53" s="33">
        <f>1888743350</f>
        <v>1888743350</v>
      </c>
      <c r="W53" s="33">
        <f>66168000</f>
        <v>66168000</v>
      </c>
      <c r="X53" s="35">
        <f>19</f>
        <v>19</v>
      </c>
    </row>
    <row r="54" spans="1:24">
      <c r="A54" s="29" t="s">
        <v>42</v>
      </c>
      <c r="B54" s="29" t="s">
        <v>203</v>
      </c>
      <c r="C54" s="29" t="s">
        <v>204</v>
      </c>
      <c r="D54" s="29" t="s">
        <v>205</v>
      </c>
      <c r="E54" s="30" t="s">
        <v>46</v>
      </c>
      <c r="F54" s="31" t="s">
        <v>46</v>
      </c>
      <c r="G54" s="32" t="s">
        <v>46</v>
      </c>
      <c r="H54" s="27"/>
      <c r="I54" s="27" t="s">
        <v>47</v>
      </c>
      <c r="J54" s="33">
        <v>10</v>
      </c>
      <c r="K54" s="37">
        <f>1610</f>
        <v>1610</v>
      </c>
      <c r="L54" s="34" t="s">
        <v>48</v>
      </c>
      <c r="M54" s="37">
        <f>1637</f>
        <v>1637</v>
      </c>
      <c r="N54" s="34" t="s">
        <v>49</v>
      </c>
      <c r="O54" s="37">
        <f>1540</f>
        <v>1540</v>
      </c>
      <c r="P54" s="34" t="s">
        <v>91</v>
      </c>
      <c r="Q54" s="37">
        <f>1583</f>
        <v>1583</v>
      </c>
      <c r="R54" s="34" t="s">
        <v>51</v>
      </c>
      <c r="S54" s="36">
        <f>1606.53</f>
        <v>1606.53</v>
      </c>
      <c r="T54" s="33">
        <f>9580</f>
        <v>9580</v>
      </c>
      <c r="U54" s="33" t="str">
        <f>"－"</f>
        <v>－</v>
      </c>
      <c r="V54" s="33">
        <f>15367770</f>
        <v>15367770</v>
      </c>
      <c r="W54" s="33" t="str">
        <f>"－"</f>
        <v>－</v>
      </c>
      <c r="X54" s="35">
        <f>19</f>
        <v>19</v>
      </c>
    </row>
    <row r="55" spans="1:24">
      <c r="A55" s="29" t="s">
        <v>42</v>
      </c>
      <c r="B55" s="29" t="s">
        <v>206</v>
      </c>
      <c r="C55" s="29" t="s">
        <v>207</v>
      </c>
      <c r="D55" s="29" t="s">
        <v>208</v>
      </c>
      <c r="E55" s="30" t="s">
        <v>46</v>
      </c>
      <c r="F55" s="31" t="s">
        <v>46</v>
      </c>
      <c r="G55" s="32" t="s">
        <v>46</v>
      </c>
      <c r="H55" s="27"/>
      <c r="I55" s="27" t="s">
        <v>47</v>
      </c>
      <c r="J55" s="33">
        <v>1</v>
      </c>
      <c r="K55" s="37">
        <f>6190</f>
        <v>6190</v>
      </c>
      <c r="L55" s="34" t="s">
        <v>48</v>
      </c>
      <c r="M55" s="37">
        <f>6270</f>
        <v>6270</v>
      </c>
      <c r="N55" s="34" t="s">
        <v>65</v>
      </c>
      <c r="O55" s="37">
        <f>5950</f>
        <v>5950</v>
      </c>
      <c r="P55" s="34" t="s">
        <v>79</v>
      </c>
      <c r="Q55" s="37">
        <f>6180</f>
        <v>6180</v>
      </c>
      <c r="R55" s="34" t="s">
        <v>51</v>
      </c>
      <c r="S55" s="36">
        <f>6077.89</f>
        <v>6077.89</v>
      </c>
      <c r="T55" s="33">
        <f>110991</f>
        <v>110991</v>
      </c>
      <c r="U55" s="33" t="str">
        <f>"－"</f>
        <v>－</v>
      </c>
      <c r="V55" s="33">
        <f>685969900</f>
        <v>685969900</v>
      </c>
      <c r="W55" s="33" t="str">
        <f>"－"</f>
        <v>－</v>
      </c>
      <c r="X55" s="35">
        <f>19</f>
        <v>19</v>
      </c>
    </row>
    <row r="56" spans="1:24">
      <c r="A56" s="29" t="s">
        <v>42</v>
      </c>
      <c r="B56" s="29" t="s">
        <v>209</v>
      </c>
      <c r="C56" s="29" t="s">
        <v>210</v>
      </c>
      <c r="D56" s="29" t="s">
        <v>211</v>
      </c>
      <c r="E56" s="30" t="s">
        <v>46</v>
      </c>
      <c r="F56" s="31" t="s">
        <v>46</v>
      </c>
      <c r="G56" s="32" t="s">
        <v>46</v>
      </c>
      <c r="H56" s="27"/>
      <c r="I56" s="27" t="s">
        <v>47</v>
      </c>
      <c r="J56" s="33">
        <v>1</v>
      </c>
      <c r="K56" s="37">
        <f>6910</f>
        <v>6910</v>
      </c>
      <c r="L56" s="34" t="s">
        <v>48</v>
      </c>
      <c r="M56" s="37">
        <f>7020</f>
        <v>7020</v>
      </c>
      <c r="N56" s="34" t="s">
        <v>50</v>
      </c>
      <c r="O56" s="37">
        <f>6710</f>
        <v>6710</v>
      </c>
      <c r="P56" s="34" t="s">
        <v>49</v>
      </c>
      <c r="Q56" s="37">
        <f>6950</f>
        <v>6950</v>
      </c>
      <c r="R56" s="34" t="s">
        <v>51</v>
      </c>
      <c r="S56" s="36">
        <f>6819.47</f>
        <v>6819.47</v>
      </c>
      <c r="T56" s="33">
        <f>12944</f>
        <v>12944</v>
      </c>
      <c r="U56" s="33" t="str">
        <f>"－"</f>
        <v>－</v>
      </c>
      <c r="V56" s="33">
        <f>88989810</f>
        <v>88989810</v>
      </c>
      <c r="W56" s="33" t="str">
        <f>"－"</f>
        <v>－</v>
      </c>
      <c r="X56" s="35">
        <f>19</f>
        <v>19</v>
      </c>
    </row>
    <row r="57" spans="1:24">
      <c r="A57" s="29" t="s">
        <v>42</v>
      </c>
      <c r="B57" s="29" t="s">
        <v>212</v>
      </c>
      <c r="C57" s="29" t="s">
        <v>213</v>
      </c>
      <c r="D57" s="29" t="s">
        <v>214</v>
      </c>
      <c r="E57" s="30" t="s">
        <v>46</v>
      </c>
      <c r="F57" s="31" t="s">
        <v>46</v>
      </c>
      <c r="G57" s="32" t="s">
        <v>46</v>
      </c>
      <c r="H57" s="27"/>
      <c r="I57" s="27" t="s">
        <v>47</v>
      </c>
      <c r="J57" s="33">
        <v>1</v>
      </c>
      <c r="K57" s="37">
        <f>12450</f>
        <v>12450</v>
      </c>
      <c r="L57" s="34" t="s">
        <v>48</v>
      </c>
      <c r="M57" s="37">
        <f>13390</f>
        <v>13390</v>
      </c>
      <c r="N57" s="34" t="s">
        <v>79</v>
      </c>
      <c r="O57" s="37">
        <f>12030</f>
        <v>12030</v>
      </c>
      <c r="P57" s="34" t="s">
        <v>50</v>
      </c>
      <c r="Q57" s="37">
        <f>12350</f>
        <v>12350</v>
      </c>
      <c r="R57" s="34" t="s">
        <v>51</v>
      </c>
      <c r="S57" s="36">
        <f>12853.16</f>
        <v>12853.16</v>
      </c>
      <c r="T57" s="33">
        <f>3455245</f>
        <v>3455245</v>
      </c>
      <c r="U57" s="33">
        <f>1370</f>
        <v>1370</v>
      </c>
      <c r="V57" s="33">
        <f>44002421757</f>
        <v>44002421757</v>
      </c>
      <c r="W57" s="33">
        <f>17006027</f>
        <v>17006027</v>
      </c>
      <c r="X57" s="35">
        <f>19</f>
        <v>19</v>
      </c>
    </row>
    <row r="58" spans="1:24">
      <c r="A58" s="29" t="s">
        <v>42</v>
      </c>
      <c r="B58" s="29" t="s">
        <v>215</v>
      </c>
      <c r="C58" s="29" t="s">
        <v>216</v>
      </c>
      <c r="D58" s="29" t="s">
        <v>217</v>
      </c>
      <c r="E58" s="30" t="s">
        <v>46</v>
      </c>
      <c r="F58" s="31" t="s">
        <v>46</v>
      </c>
      <c r="G58" s="32" t="s">
        <v>46</v>
      </c>
      <c r="H58" s="27"/>
      <c r="I58" s="27" t="s">
        <v>47</v>
      </c>
      <c r="J58" s="33">
        <v>1</v>
      </c>
      <c r="K58" s="37">
        <f>3575</f>
        <v>3575</v>
      </c>
      <c r="L58" s="34" t="s">
        <v>48</v>
      </c>
      <c r="M58" s="37">
        <f>3655</f>
        <v>3655</v>
      </c>
      <c r="N58" s="34" t="s">
        <v>65</v>
      </c>
      <c r="O58" s="37">
        <f>3300</f>
        <v>3300</v>
      </c>
      <c r="P58" s="34" t="s">
        <v>79</v>
      </c>
      <c r="Q58" s="37">
        <f>3555</f>
        <v>3555</v>
      </c>
      <c r="R58" s="34" t="s">
        <v>51</v>
      </c>
      <c r="S58" s="36">
        <f>3440.53</f>
        <v>3440.53</v>
      </c>
      <c r="T58" s="33">
        <f>8267846</f>
        <v>8267846</v>
      </c>
      <c r="U58" s="33">
        <f>10544</f>
        <v>10544</v>
      </c>
      <c r="V58" s="33">
        <f>28826021636</f>
        <v>28826021636</v>
      </c>
      <c r="W58" s="33">
        <f>36685931</f>
        <v>36685931</v>
      </c>
      <c r="X58" s="35">
        <f>19</f>
        <v>19</v>
      </c>
    </row>
    <row r="59" spans="1:24">
      <c r="A59" s="29" t="s">
        <v>42</v>
      </c>
      <c r="B59" s="29" t="s">
        <v>218</v>
      </c>
      <c r="C59" s="29" t="s">
        <v>219</v>
      </c>
      <c r="D59" s="29" t="s">
        <v>220</v>
      </c>
      <c r="E59" s="30" t="s">
        <v>46</v>
      </c>
      <c r="F59" s="31" t="s">
        <v>46</v>
      </c>
      <c r="G59" s="32" t="s">
        <v>46</v>
      </c>
      <c r="H59" s="27"/>
      <c r="I59" s="27" t="s">
        <v>47</v>
      </c>
      <c r="J59" s="33">
        <v>1</v>
      </c>
      <c r="K59" s="37">
        <f>19980</f>
        <v>19980</v>
      </c>
      <c r="L59" s="34" t="s">
        <v>61</v>
      </c>
      <c r="M59" s="37">
        <f>20000</f>
        <v>20000</v>
      </c>
      <c r="N59" s="34" t="s">
        <v>61</v>
      </c>
      <c r="O59" s="37">
        <f>19610</f>
        <v>19610</v>
      </c>
      <c r="P59" s="34" t="s">
        <v>95</v>
      </c>
      <c r="Q59" s="37">
        <f>19630</f>
        <v>19630</v>
      </c>
      <c r="R59" s="34" t="s">
        <v>50</v>
      </c>
      <c r="S59" s="36">
        <f>19860</f>
        <v>19860</v>
      </c>
      <c r="T59" s="33">
        <f>11</f>
        <v>11</v>
      </c>
      <c r="U59" s="33" t="str">
        <f>"－"</f>
        <v>－</v>
      </c>
      <c r="V59" s="33">
        <f>218710</f>
        <v>218710</v>
      </c>
      <c r="W59" s="33" t="str">
        <f>"－"</f>
        <v>－</v>
      </c>
      <c r="X59" s="35">
        <f>6</f>
        <v>6</v>
      </c>
    </row>
    <row r="60" spans="1:24">
      <c r="A60" s="29" t="s">
        <v>42</v>
      </c>
      <c r="B60" s="29" t="s">
        <v>221</v>
      </c>
      <c r="C60" s="29" t="s">
        <v>222</v>
      </c>
      <c r="D60" s="29" t="s">
        <v>223</v>
      </c>
      <c r="E60" s="30" t="s">
        <v>46</v>
      </c>
      <c r="F60" s="31" t="s">
        <v>46</v>
      </c>
      <c r="G60" s="32" t="s">
        <v>46</v>
      </c>
      <c r="H60" s="27"/>
      <c r="I60" s="27" t="s">
        <v>47</v>
      </c>
      <c r="J60" s="33">
        <v>1</v>
      </c>
      <c r="K60" s="37">
        <f>11280</f>
        <v>11280</v>
      </c>
      <c r="L60" s="34" t="s">
        <v>48</v>
      </c>
      <c r="M60" s="37">
        <f>11830</f>
        <v>11830</v>
      </c>
      <c r="N60" s="34" t="s">
        <v>49</v>
      </c>
      <c r="O60" s="37">
        <f>10870</f>
        <v>10870</v>
      </c>
      <c r="P60" s="34" t="s">
        <v>50</v>
      </c>
      <c r="Q60" s="37">
        <f>11020</f>
        <v>11020</v>
      </c>
      <c r="R60" s="34" t="s">
        <v>51</v>
      </c>
      <c r="S60" s="36">
        <f>11471.05</f>
        <v>11471.05</v>
      </c>
      <c r="T60" s="33">
        <f>3146</f>
        <v>3146</v>
      </c>
      <c r="U60" s="33" t="str">
        <f>"－"</f>
        <v>－</v>
      </c>
      <c r="V60" s="33">
        <f>36240740</f>
        <v>36240740</v>
      </c>
      <c r="W60" s="33" t="str">
        <f>"－"</f>
        <v>－</v>
      </c>
      <c r="X60" s="35">
        <f>19</f>
        <v>19</v>
      </c>
    </row>
    <row r="61" spans="1:24">
      <c r="A61" s="29" t="s">
        <v>42</v>
      </c>
      <c r="B61" s="29" t="s">
        <v>224</v>
      </c>
      <c r="C61" s="29" t="s">
        <v>225</v>
      </c>
      <c r="D61" s="29" t="s">
        <v>226</v>
      </c>
      <c r="E61" s="30" t="s">
        <v>46</v>
      </c>
      <c r="F61" s="31" t="s">
        <v>46</v>
      </c>
      <c r="G61" s="32" t="s">
        <v>46</v>
      </c>
      <c r="H61" s="27"/>
      <c r="I61" s="27" t="s">
        <v>47</v>
      </c>
      <c r="J61" s="33">
        <v>1</v>
      </c>
      <c r="K61" s="37">
        <f>6780</f>
        <v>6780</v>
      </c>
      <c r="L61" s="34" t="s">
        <v>48</v>
      </c>
      <c r="M61" s="37">
        <f>6840</f>
        <v>6840</v>
      </c>
      <c r="N61" s="34" t="s">
        <v>50</v>
      </c>
      <c r="O61" s="37">
        <f>6560</f>
        <v>6560</v>
      </c>
      <c r="P61" s="34" t="s">
        <v>49</v>
      </c>
      <c r="Q61" s="37">
        <f>6790</f>
        <v>6790</v>
      </c>
      <c r="R61" s="34" t="s">
        <v>51</v>
      </c>
      <c r="S61" s="36">
        <f>6681.05</f>
        <v>6681.05</v>
      </c>
      <c r="T61" s="33">
        <f>793</f>
        <v>793</v>
      </c>
      <c r="U61" s="33" t="str">
        <f>"－"</f>
        <v>－</v>
      </c>
      <c r="V61" s="33">
        <f>5336210</f>
        <v>5336210</v>
      </c>
      <c r="W61" s="33" t="str">
        <f>"－"</f>
        <v>－</v>
      </c>
      <c r="X61" s="35">
        <f>19</f>
        <v>19</v>
      </c>
    </row>
    <row r="62" spans="1:24">
      <c r="A62" s="29" t="s">
        <v>42</v>
      </c>
      <c r="B62" s="29" t="s">
        <v>227</v>
      </c>
      <c r="C62" s="29" t="s">
        <v>228</v>
      </c>
      <c r="D62" s="29" t="s">
        <v>229</v>
      </c>
      <c r="E62" s="30" t="s">
        <v>46</v>
      </c>
      <c r="F62" s="31" t="s">
        <v>46</v>
      </c>
      <c r="G62" s="32" t="s">
        <v>46</v>
      </c>
      <c r="H62" s="27"/>
      <c r="I62" s="27" t="s">
        <v>47</v>
      </c>
      <c r="J62" s="33">
        <v>1</v>
      </c>
      <c r="K62" s="37">
        <f>4030</f>
        <v>4030</v>
      </c>
      <c r="L62" s="34" t="s">
        <v>48</v>
      </c>
      <c r="M62" s="37">
        <f>4135</f>
        <v>4135</v>
      </c>
      <c r="N62" s="34" t="s">
        <v>50</v>
      </c>
      <c r="O62" s="37">
        <f>3750</f>
        <v>3750</v>
      </c>
      <c r="P62" s="34" t="s">
        <v>49</v>
      </c>
      <c r="Q62" s="37">
        <f>4000</f>
        <v>4000</v>
      </c>
      <c r="R62" s="34" t="s">
        <v>51</v>
      </c>
      <c r="S62" s="36">
        <f>3909.47</f>
        <v>3909.47</v>
      </c>
      <c r="T62" s="33">
        <f>33313</f>
        <v>33313</v>
      </c>
      <c r="U62" s="33">
        <f>715</f>
        <v>715</v>
      </c>
      <c r="V62" s="33">
        <f>130376025</f>
        <v>130376025</v>
      </c>
      <c r="W62" s="33">
        <f>2749990</f>
        <v>2749990</v>
      </c>
      <c r="X62" s="35">
        <f>19</f>
        <v>19</v>
      </c>
    </row>
    <row r="63" spans="1:24">
      <c r="A63" s="29" t="s">
        <v>42</v>
      </c>
      <c r="B63" s="29" t="s">
        <v>230</v>
      </c>
      <c r="C63" s="29" t="s">
        <v>231</v>
      </c>
      <c r="D63" s="29" t="s">
        <v>232</v>
      </c>
      <c r="E63" s="30" t="s">
        <v>46</v>
      </c>
      <c r="F63" s="31" t="s">
        <v>46</v>
      </c>
      <c r="G63" s="32" t="s">
        <v>46</v>
      </c>
      <c r="H63" s="27"/>
      <c r="I63" s="27" t="s">
        <v>47</v>
      </c>
      <c r="J63" s="33">
        <v>10</v>
      </c>
      <c r="K63" s="37">
        <f>10480</f>
        <v>10480</v>
      </c>
      <c r="L63" s="34" t="s">
        <v>100</v>
      </c>
      <c r="M63" s="37">
        <f>11340</f>
        <v>11340</v>
      </c>
      <c r="N63" s="34" t="s">
        <v>79</v>
      </c>
      <c r="O63" s="37">
        <f>9800</f>
        <v>9800</v>
      </c>
      <c r="P63" s="34" t="s">
        <v>175</v>
      </c>
      <c r="Q63" s="37">
        <f>10320</f>
        <v>10320</v>
      </c>
      <c r="R63" s="34" t="s">
        <v>51</v>
      </c>
      <c r="S63" s="36">
        <f>10584.38</f>
        <v>10584.38</v>
      </c>
      <c r="T63" s="33">
        <f>4830</f>
        <v>4830</v>
      </c>
      <c r="U63" s="33" t="str">
        <f>"－"</f>
        <v>－</v>
      </c>
      <c r="V63" s="33">
        <f>50917000</f>
        <v>50917000</v>
      </c>
      <c r="W63" s="33" t="str">
        <f>"－"</f>
        <v>－</v>
      </c>
      <c r="X63" s="35">
        <f>16</f>
        <v>16</v>
      </c>
    </row>
    <row r="64" spans="1:24">
      <c r="A64" s="29" t="s">
        <v>42</v>
      </c>
      <c r="B64" s="29" t="s">
        <v>233</v>
      </c>
      <c r="C64" s="29" t="s">
        <v>234</v>
      </c>
      <c r="D64" s="29" t="s">
        <v>235</v>
      </c>
      <c r="E64" s="30" t="s">
        <v>46</v>
      </c>
      <c r="F64" s="31" t="s">
        <v>46</v>
      </c>
      <c r="G64" s="32" t="s">
        <v>46</v>
      </c>
      <c r="H64" s="27"/>
      <c r="I64" s="27" t="s">
        <v>47</v>
      </c>
      <c r="J64" s="33">
        <v>10</v>
      </c>
      <c r="K64" s="37">
        <f>6670</f>
        <v>6670</v>
      </c>
      <c r="L64" s="34" t="s">
        <v>48</v>
      </c>
      <c r="M64" s="37">
        <f>6790</f>
        <v>6790</v>
      </c>
      <c r="N64" s="34" t="s">
        <v>95</v>
      </c>
      <c r="O64" s="37">
        <f>6490</f>
        <v>6490</v>
      </c>
      <c r="P64" s="34" t="s">
        <v>90</v>
      </c>
      <c r="Q64" s="37">
        <f>6720</f>
        <v>6720</v>
      </c>
      <c r="R64" s="34" t="s">
        <v>50</v>
      </c>
      <c r="S64" s="36">
        <f>6628.57</f>
        <v>6628.57</v>
      </c>
      <c r="T64" s="33">
        <f>1790</f>
        <v>1790</v>
      </c>
      <c r="U64" s="33" t="str">
        <f>"－"</f>
        <v>－</v>
      </c>
      <c r="V64" s="33">
        <f>11944700</f>
        <v>11944700</v>
      </c>
      <c r="W64" s="33" t="str">
        <f>"－"</f>
        <v>－</v>
      </c>
      <c r="X64" s="35">
        <f>7</f>
        <v>7</v>
      </c>
    </row>
    <row r="65" spans="1:24">
      <c r="A65" s="29" t="s">
        <v>42</v>
      </c>
      <c r="B65" s="29" t="s">
        <v>236</v>
      </c>
      <c r="C65" s="29" t="s">
        <v>237</v>
      </c>
      <c r="D65" s="29" t="s">
        <v>238</v>
      </c>
      <c r="E65" s="30" t="s">
        <v>46</v>
      </c>
      <c r="F65" s="31" t="s">
        <v>46</v>
      </c>
      <c r="G65" s="32" t="s">
        <v>46</v>
      </c>
      <c r="H65" s="27"/>
      <c r="I65" s="27" t="s">
        <v>47</v>
      </c>
      <c r="J65" s="33">
        <v>10</v>
      </c>
      <c r="K65" s="37">
        <f>3920</f>
        <v>3920</v>
      </c>
      <c r="L65" s="34" t="s">
        <v>48</v>
      </c>
      <c r="M65" s="37">
        <f>4040</f>
        <v>4040</v>
      </c>
      <c r="N65" s="34" t="s">
        <v>50</v>
      </c>
      <c r="O65" s="37">
        <f>3690</f>
        <v>3690</v>
      </c>
      <c r="P65" s="34" t="s">
        <v>49</v>
      </c>
      <c r="Q65" s="37">
        <f>3935</f>
        <v>3935</v>
      </c>
      <c r="R65" s="34" t="s">
        <v>51</v>
      </c>
      <c r="S65" s="36">
        <f>3816.11</f>
        <v>3816.11</v>
      </c>
      <c r="T65" s="33">
        <f>42130</f>
        <v>42130</v>
      </c>
      <c r="U65" s="33">
        <f>11600</f>
        <v>11600</v>
      </c>
      <c r="V65" s="33">
        <f>163400640</f>
        <v>163400640</v>
      </c>
      <c r="W65" s="33">
        <f>45022890</f>
        <v>45022890</v>
      </c>
      <c r="X65" s="35">
        <f>18</f>
        <v>18</v>
      </c>
    </row>
    <row r="66" spans="1:24">
      <c r="A66" s="29" t="s">
        <v>42</v>
      </c>
      <c r="B66" s="29" t="s">
        <v>239</v>
      </c>
      <c r="C66" s="29" t="s">
        <v>240</v>
      </c>
      <c r="D66" s="29" t="s">
        <v>241</v>
      </c>
      <c r="E66" s="30" t="s">
        <v>46</v>
      </c>
      <c r="F66" s="31" t="s">
        <v>46</v>
      </c>
      <c r="G66" s="32" t="s">
        <v>46</v>
      </c>
      <c r="H66" s="27"/>
      <c r="I66" s="27" t="s">
        <v>47</v>
      </c>
      <c r="J66" s="33">
        <v>1</v>
      </c>
      <c r="K66" s="37">
        <f>22700</f>
        <v>22700</v>
      </c>
      <c r="L66" s="34" t="s">
        <v>48</v>
      </c>
      <c r="M66" s="37">
        <f>24160</f>
        <v>24160</v>
      </c>
      <c r="N66" s="34" t="s">
        <v>90</v>
      </c>
      <c r="O66" s="37">
        <f>22000</f>
        <v>22000</v>
      </c>
      <c r="P66" s="34" t="s">
        <v>48</v>
      </c>
      <c r="Q66" s="37">
        <f>22070</f>
        <v>22070</v>
      </c>
      <c r="R66" s="34" t="s">
        <v>51</v>
      </c>
      <c r="S66" s="36">
        <f>22890</f>
        <v>22890</v>
      </c>
      <c r="T66" s="33">
        <f>4035</f>
        <v>4035</v>
      </c>
      <c r="U66" s="33" t="str">
        <f>"－"</f>
        <v>－</v>
      </c>
      <c r="V66" s="33">
        <f>92981340</f>
        <v>92981340</v>
      </c>
      <c r="W66" s="33" t="str">
        <f>"－"</f>
        <v>－</v>
      </c>
      <c r="X66" s="35">
        <f>19</f>
        <v>19</v>
      </c>
    </row>
    <row r="67" spans="1:24">
      <c r="A67" s="29" t="s">
        <v>42</v>
      </c>
      <c r="B67" s="29" t="s">
        <v>242</v>
      </c>
      <c r="C67" s="29" t="s">
        <v>243</v>
      </c>
      <c r="D67" s="29" t="s">
        <v>244</v>
      </c>
      <c r="E67" s="30" t="s">
        <v>46</v>
      </c>
      <c r="F67" s="31" t="s">
        <v>46</v>
      </c>
      <c r="G67" s="32" t="s">
        <v>46</v>
      </c>
      <c r="H67" s="27"/>
      <c r="I67" s="27" t="s">
        <v>47</v>
      </c>
      <c r="J67" s="33">
        <v>1</v>
      </c>
      <c r="K67" s="37">
        <f>4525</f>
        <v>4525</v>
      </c>
      <c r="L67" s="34" t="s">
        <v>48</v>
      </c>
      <c r="M67" s="37">
        <f>4535</f>
        <v>4535</v>
      </c>
      <c r="N67" s="34" t="s">
        <v>65</v>
      </c>
      <c r="O67" s="37">
        <f>4255</f>
        <v>4255</v>
      </c>
      <c r="P67" s="34" t="s">
        <v>119</v>
      </c>
      <c r="Q67" s="37">
        <f>4355</f>
        <v>4355</v>
      </c>
      <c r="R67" s="34" t="s">
        <v>245</v>
      </c>
      <c r="S67" s="36">
        <f>4369.67</f>
        <v>4369.67</v>
      </c>
      <c r="T67" s="33">
        <f>1229</f>
        <v>1229</v>
      </c>
      <c r="U67" s="33" t="str">
        <f>"－"</f>
        <v>－</v>
      </c>
      <c r="V67" s="33">
        <f>5352900</f>
        <v>5352900</v>
      </c>
      <c r="W67" s="33" t="str">
        <f>"－"</f>
        <v>－</v>
      </c>
      <c r="X67" s="35">
        <f>15</f>
        <v>15</v>
      </c>
    </row>
    <row r="68" spans="1:24">
      <c r="A68" s="29" t="s">
        <v>42</v>
      </c>
      <c r="B68" s="29" t="s">
        <v>246</v>
      </c>
      <c r="C68" s="29" t="s">
        <v>247</v>
      </c>
      <c r="D68" s="29" t="s">
        <v>248</v>
      </c>
      <c r="E68" s="30" t="s">
        <v>46</v>
      </c>
      <c r="F68" s="31" t="s">
        <v>46</v>
      </c>
      <c r="G68" s="32" t="s">
        <v>46</v>
      </c>
      <c r="H68" s="27"/>
      <c r="I68" s="27" t="s">
        <v>47</v>
      </c>
      <c r="J68" s="33">
        <v>1</v>
      </c>
      <c r="K68" s="37">
        <f>1577</f>
        <v>1577</v>
      </c>
      <c r="L68" s="34" t="s">
        <v>48</v>
      </c>
      <c r="M68" s="37">
        <f>1677</f>
        <v>1677</v>
      </c>
      <c r="N68" s="34" t="s">
        <v>91</v>
      </c>
      <c r="O68" s="37">
        <f>1492</f>
        <v>1492</v>
      </c>
      <c r="P68" s="34" t="s">
        <v>49</v>
      </c>
      <c r="Q68" s="37">
        <f>1582</f>
        <v>1582</v>
      </c>
      <c r="R68" s="34" t="s">
        <v>51</v>
      </c>
      <c r="S68" s="36">
        <f>1543.37</f>
        <v>1543.37</v>
      </c>
      <c r="T68" s="33">
        <f>19399</f>
        <v>19399</v>
      </c>
      <c r="U68" s="33" t="str">
        <f>"－"</f>
        <v>－</v>
      </c>
      <c r="V68" s="33">
        <f>30414236</f>
        <v>30414236</v>
      </c>
      <c r="W68" s="33" t="str">
        <f>"－"</f>
        <v>－</v>
      </c>
      <c r="X68" s="35">
        <f>19</f>
        <v>19</v>
      </c>
    </row>
    <row r="69" spans="1:24">
      <c r="A69" s="29" t="s">
        <v>42</v>
      </c>
      <c r="B69" s="29" t="s">
        <v>249</v>
      </c>
      <c r="C69" s="29" t="s">
        <v>250</v>
      </c>
      <c r="D69" s="29" t="s">
        <v>251</v>
      </c>
      <c r="E69" s="30" t="s">
        <v>46</v>
      </c>
      <c r="F69" s="31" t="s">
        <v>46</v>
      </c>
      <c r="G69" s="32" t="s">
        <v>46</v>
      </c>
      <c r="H69" s="27"/>
      <c r="I69" s="27" t="s">
        <v>47</v>
      </c>
      <c r="J69" s="33">
        <v>10</v>
      </c>
      <c r="K69" s="37">
        <f>1726</f>
        <v>1726</v>
      </c>
      <c r="L69" s="34" t="s">
        <v>48</v>
      </c>
      <c r="M69" s="37">
        <f>1757</f>
        <v>1757</v>
      </c>
      <c r="N69" s="34" t="s">
        <v>49</v>
      </c>
      <c r="O69" s="37">
        <f>1679</f>
        <v>1679</v>
      </c>
      <c r="P69" s="34" t="s">
        <v>50</v>
      </c>
      <c r="Q69" s="37">
        <f>1695</f>
        <v>1695</v>
      </c>
      <c r="R69" s="34" t="s">
        <v>51</v>
      </c>
      <c r="S69" s="36">
        <f>1729.42</f>
        <v>1729.42</v>
      </c>
      <c r="T69" s="33">
        <f>630330</f>
        <v>630330</v>
      </c>
      <c r="U69" s="33">
        <f>530000</f>
        <v>530000</v>
      </c>
      <c r="V69" s="33">
        <f>1084378900</f>
        <v>1084378900</v>
      </c>
      <c r="W69" s="33">
        <f>911971100</f>
        <v>911971100</v>
      </c>
      <c r="X69" s="35">
        <f>19</f>
        <v>19</v>
      </c>
    </row>
    <row r="70" spans="1:24">
      <c r="A70" s="29" t="s">
        <v>42</v>
      </c>
      <c r="B70" s="29" t="s">
        <v>252</v>
      </c>
      <c r="C70" s="29" t="s">
        <v>253</v>
      </c>
      <c r="D70" s="29" t="s">
        <v>254</v>
      </c>
      <c r="E70" s="30" t="s">
        <v>46</v>
      </c>
      <c r="F70" s="31" t="s">
        <v>46</v>
      </c>
      <c r="G70" s="32" t="s">
        <v>46</v>
      </c>
      <c r="H70" s="27"/>
      <c r="I70" s="27" t="s">
        <v>47</v>
      </c>
      <c r="J70" s="33">
        <v>1</v>
      </c>
      <c r="K70" s="37">
        <f>15380</f>
        <v>15380</v>
      </c>
      <c r="L70" s="34" t="s">
        <v>48</v>
      </c>
      <c r="M70" s="37">
        <f>15710</f>
        <v>15710</v>
      </c>
      <c r="N70" s="34" t="s">
        <v>49</v>
      </c>
      <c r="O70" s="37">
        <f>14840</f>
        <v>14840</v>
      </c>
      <c r="P70" s="34" t="s">
        <v>100</v>
      </c>
      <c r="Q70" s="37">
        <f>15160</f>
        <v>15160</v>
      </c>
      <c r="R70" s="34" t="s">
        <v>51</v>
      </c>
      <c r="S70" s="36">
        <f>15452.63</f>
        <v>15452.63</v>
      </c>
      <c r="T70" s="33">
        <f>103285</f>
        <v>103285</v>
      </c>
      <c r="U70" s="33">
        <f>94400</f>
        <v>94400</v>
      </c>
      <c r="V70" s="33">
        <f>1607110230</f>
        <v>1607110230</v>
      </c>
      <c r="W70" s="33">
        <f>1470708200</f>
        <v>1470708200</v>
      </c>
      <c r="X70" s="35">
        <f>19</f>
        <v>19</v>
      </c>
    </row>
    <row r="71" spans="1:24">
      <c r="A71" s="29" t="s">
        <v>42</v>
      </c>
      <c r="B71" s="29" t="s">
        <v>255</v>
      </c>
      <c r="C71" s="29" t="s">
        <v>256</v>
      </c>
      <c r="D71" s="29" t="s">
        <v>257</v>
      </c>
      <c r="E71" s="30" t="s">
        <v>46</v>
      </c>
      <c r="F71" s="31" t="s">
        <v>46</v>
      </c>
      <c r="G71" s="32" t="s">
        <v>46</v>
      </c>
      <c r="H71" s="27"/>
      <c r="I71" s="27" t="s">
        <v>47</v>
      </c>
      <c r="J71" s="33">
        <v>1</v>
      </c>
      <c r="K71" s="37">
        <f>1736</f>
        <v>1736</v>
      </c>
      <c r="L71" s="34" t="s">
        <v>48</v>
      </c>
      <c r="M71" s="37">
        <f>1785</f>
        <v>1785</v>
      </c>
      <c r="N71" s="34" t="s">
        <v>49</v>
      </c>
      <c r="O71" s="37">
        <f>1704</f>
        <v>1704</v>
      </c>
      <c r="P71" s="34" t="s">
        <v>50</v>
      </c>
      <c r="Q71" s="37">
        <f>1720</f>
        <v>1720</v>
      </c>
      <c r="R71" s="34" t="s">
        <v>51</v>
      </c>
      <c r="S71" s="36">
        <f>1756.26</f>
        <v>1756.26</v>
      </c>
      <c r="T71" s="33">
        <f>1973403</f>
        <v>1973403</v>
      </c>
      <c r="U71" s="33">
        <f>90488</f>
        <v>90488</v>
      </c>
      <c r="V71" s="33">
        <f>3442890240</f>
        <v>3442890240</v>
      </c>
      <c r="W71" s="33">
        <f>158744219</f>
        <v>158744219</v>
      </c>
      <c r="X71" s="35">
        <f>19</f>
        <v>19</v>
      </c>
    </row>
    <row r="72" spans="1:24">
      <c r="A72" s="29" t="s">
        <v>42</v>
      </c>
      <c r="B72" s="29" t="s">
        <v>258</v>
      </c>
      <c r="C72" s="29" t="s">
        <v>259</v>
      </c>
      <c r="D72" s="29" t="s">
        <v>260</v>
      </c>
      <c r="E72" s="30" t="s">
        <v>46</v>
      </c>
      <c r="F72" s="31" t="s">
        <v>46</v>
      </c>
      <c r="G72" s="32" t="s">
        <v>46</v>
      </c>
      <c r="H72" s="27"/>
      <c r="I72" s="27" t="s">
        <v>47</v>
      </c>
      <c r="J72" s="33">
        <v>1</v>
      </c>
      <c r="K72" s="37">
        <f>2214</f>
        <v>2214</v>
      </c>
      <c r="L72" s="34" t="s">
        <v>48</v>
      </c>
      <c r="M72" s="37">
        <f>2298</f>
        <v>2298</v>
      </c>
      <c r="N72" s="34" t="s">
        <v>51</v>
      </c>
      <c r="O72" s="37">
        <f>2176</f>
        <v>2176</v>
      </c>
      <c r="P72" s="34" t="s">
        <v>119</v>
      </c>
      <c r="Q72" s="37">
        <f>2286</f>
        <v>2286</v>
      </c>
      <c r="R72" s="34" t="s">
        <v>51</v>
      </c>
      <c r="S72" s="36">
        <f>2228.95</f>
        <v>2228.9499999999998</v>
      </c>
      <c r="T72" s="33">
        <f>5539951</f>
        <v>5539951</v>
      </c>
      <c r="U72" s="33">
        <f>3394743</f>
        <v>3394743</v>
      </c>
      <c r="V72" s="33">
        <f>12352233943</f>
        <v>12352233943</v>
      </c>
      <c r="W72" s="33">
        <f>7567824495</f>
        <v>7567824495</v>
      </c>
      <c r="X72" s="35">
        <f>19</f>
        <v>19</v>
      </c>
    </row>
    <row r="73" spans="1:24">
      <c r="A73" s="29" t="s">
        <v>42</v>
      </c>
      <c r="B73" s="29" t="s">
        <v>261</v>
      </c>
      <c r="C73" s="29" t="s">
        <v>262</v>
      </c>
      <c r="D73" s="29" t="s">
        <v>263</v>
      </c>
      <c r="E73" s="30" t="s">
        <v>46</v>
      </c>
      <c r="F73" s="31" t="s">
        <v>46</v>
      </c>
      <c r="G73" s="32" t="s">
        <v>46</v>
      </c>
      <c r="H73" s="27"/>
      <c r="I73" s="27" t="s">
        <v>47</v>
      </c>
      <c r="J73" s="33">
        <v>1</v>
      </c>
      <c r="K73" s="37">
        <f>1882</f>
        <v>1882</v>
      </c>
      <c r="L73" s="34" t="s">
        <v>48</v>
      </c>
      <c r="M73" s="37">
        <f>1922</f>
        <v>1922</v>
      </c>
      <c r="N73" s="34" t="s">
        <v>49</v>
      </c>
      <c r="O73" s="37">
        <f>1855</f>
        <v>1855</v>
      </c>
      <c r="P73" s="34" t="s">
        <v>50</v>
      </c>
      <c r="Q73" s="37">
        <f>1875</f>
        <v>1875</v>
      </c>
      <c r="R73" s="34" t="s">
        <v>51</v>
      </c>
      <c r="S73" s="36">
        <f>1898.95</f>
        <v>1898.95</v>
      </c>
      <c r="T73" s="33">
        <f>159709</f>
        <v>159709</v>
      </c>
      <c r="U73" s="33">
        <f>9507</f>
        <v>9507</v>
      </c>
      <c r="V73" s="33">
        <f>302557794</f>
        <v>302557794</v>
      </c>
      <c r="W73" s="33">
        <f>17844625</f>
        <v>17844625</v>
      </c>
      <c r="X73" s="35">
        <f>19</f>
        <v>19</v>
      </c>
    </row>
    <row r="74" spans="1:24">
      <c r="A74" s="29" t="s">
        <v>42</v>
      </c>
      <c r="B74" s="29" t="s">
        <v>264</v>
      </c>
      <c r="C74" s="29" t="s">
        <v>265</v>
      </c>
      <c r="D74" s="29" t="s">
        <v>266</v>
      </c>
      <c r="E74" s="30" t="s">
        <v>46</v>
      </c>
      <c r="F74" s="31" t="s">
        <v>46</v>
      </c>
      <c r="G74" s="32" t="s">
        <v>46</v>
      </c>
      <c r="H74" s="27"/>
      <c r="I74" s="27" t="s">
        <v>47</v>
      </c>
      <c r="J74" s="33">
        <v>1</v>
      </c>
      <c r="K74" s="37">
        <f>1987</f>
        <v>1987</v>
      </c>
      <c r="L74" s="34" t="s">
        <v>48</v>
      </c>
      <c r="M74" s="37">
        <f>2041</f>
        <v>2041</v>
      </c>
      <c r="N74" s="34" t="s">
        <v>49</v>
      </c>
      <c r="O74" s="37">
        <f>1947</f>
        <v>1947</v>
      </c>
      <c r="P74" s="34" t="s">
        <v>50</v>
      </c>
      <c r="Q74" s="37">
        <f>1965</f>
        <v>1965</v>
      </c>
      <c r="R74" s="34" t="s">
        <v>51</v>
      </c>
      <c r="S74" s="36">
        <f>2003</f>
        <v>2003</v>
      </c>
      <c r="T74" s="33">
        <f>339643</f>
        <v>339643</v>
      </c>
      <c r="U74" s="33">
        <f>51608</f>
        <v>51608</v>
      </c>
      <c r="V74" s="33">
        <f>678062005</f>
        <v>678062005</v>
      </c>
      <c r="W74" s="33">
        <f>102319332</f>
        <v>102319332</v>
      </c>
      <c r="X74" s="35">
        <f>19</f>
        <v>19</v>
      </c>
    </row>
    <row r="75" spans="1:24">
      <c r="A75" s="29" t="s">
        <v>42</v>
      </c>
      <c r="B75" s="29" t="s">
        <v>267</v>
      </c>
      <c r="C75" s="29" t="s">
        <v>268</v>
      </c>
      <c r="D75" s="29" t="s">
        <v>269</v>
      </c>
      <c r="E75" s="30" t="s">
        <v>46</v>
      </c>
      <c r="F75" s="31" t="s">
        <v>46</v>
      </c>
      <c r="G75" s="32" t="s">
        <v>46</v>
      </c>
      <c r="H75" s="27"/>
      <c r="I75" s="27" t="s">
        <v>47</v>
      </c>
      <c r="J75" s="33">
        <v>1</v>
      </c>
      <c r="K75" s="37">
        <f>20610</f>
        <v>20610</v>
      </c>
      <c r="L75" s="34" t="s">
        <v>48</v>
      </c>
      <c r="M75" s="37">
        <f>21040</f>
        <v>21040</v>
      </c>
      <c r="N75" s="34" t="s">
        <v>79</v>
      </c>
      <c r="O75" s="37">
        <f>20230</f>
        <v>20230</v>
      </c>
      <c r="P75" s="34" t="s">
        <v>50</v>
      </c>
      <c r="Q75" s="37">
        <f>20440</f>
        <v>20440</v>
      </c>
      <c r="R75" s="34" t="s">
        <v>51</v>
      </c>
      <c r="S75" s="36">
        <f>20770.63</f>
        <v>20770.63</v>
      </c>
      <c r="T75" s="33">
        <f>56339</f>
        <v>56339</v>
      </c>
      <c r="U75" s="33" t="str">
        <f>"－"</f>
        <v>－</v>
      </c>
      <c r="V75" s="33">
        <f>1159645430</f>
        <v>1159645430</v>
      </c>
      <c r="W75" s="33" t="str">
        <f>"－"</f>
        <v>－</v>
      </c>
      <c r="X75" s="35">
        <f>16</f>
        <v>16</v>
      </c>
    </row>
    <row r="76" spans="1:24">
      <c r="A76" s="29" t="s">
        <v>42</v>
      </c>
      <c r="B76" s="29" t="s">
        <v>270</v>
      </c>
      <c r="C76" s="29" t="s">
        <v>271</v>
      </c>
      <c r="D76" s="29" t="s">
        <v>272</v>
      </c>
      <c r="E76" s="30" t="s">
        <v>46</v>
      </c>
      <c r="F76" s="31" t="s">
        <v>46</v>
      </c>
      <c r="G76" s="32" t="s">
        <v>46</v>
      </c>
      <c r="H76" s="27"/>
      <c r="I76" s="27" t="s">
        <v>47</v>
      </c>
      <c r="J76" s="33">
        <v>1</v>
      </c>
      <c r="K76" s="37">
        <f>16530</f>
        <v>16530</v>
      </c>
      <c r="L76" s="34" t="s">
        <v>100</v>
      </c>
      <c r="M76" s="37">
        <f>16820</f>
        <v>16820</v>
      </c>
      <c r="N76" s="34" t="s">
        <v>99</v>
      </c>
      <c r="O76" s="37">
        <f>16250</f>
        <v>16250</v>
      </c>
      <c r="P76" s="34" t="s">
        <v>50</v>
      </c>
      <c r="Q76" s="37">
        <f>16450</f>
        <v>16450</v>
      </c>
      <c r="R76" s="34" t="s">
        <v>51</v>
      </c>
      <c r="S76" s="36">
        <f>16528.33</f>
        <v>16528.330000000002</v>
      </c>
      <c r="T76" s="33">
        <f>12</f>
        <v>12</v>
      </c>
      <c r="U76" s="33" t="str">
        <f>"－"</f>
        <v>－</v>
      </c>
      <c r="V76" s="33">
        <f>199510</f>
        <v>199510</v>
      </c>
      <c r="W76" s="33" t="str">
        <f>"－"</f>
        <v>－</v>
      </c>
      <c r="X76" s="35">
        <f>6</f>
        <v>6</v>
      </c>
    </row>
    <row r="77" spans="1:24">
      <c r="A77" s="29" t="s">
        <v>42</v>
      </c>
      <c r="B77" s="29" t="s">
        <v>273</v>
      </c>
      <c r="C77" s="29" t="s">
        <v>274</v>
      </c>
      <c r="D77" s="29" t="s">
        <v>275</v>
      </c>
      <c r="E77" s="30" t="s">
        <v>46</v>
      </c>
      <c r="F77" s="31" t="s">
        <v>46</v>
      </c>
      <c r="G77" s="32" t="s">
        <v>46</v>
      </c>
      <c r="H77" s="27"/>
      <c r="I77" s="27" t="s">
        <v>47</v>
      </c>
      <c r="J77" s="33">
        <v>1</v>
      </c>
      <c r="K77" s="37">
        <f>1635</f>
        <v>1635</v>
      </c>
      <c r="L77" s="34" t="s">
        <v>48</v>
      </c>
      <c r="M77" s="37">
        <f>1664</f>
        <v>1664</v>
      </c>
      <c r="N77" s="34" t="s">
        <v>150</v>
      </c>
      <c r="O77" s="37">
        <f>1600</f>
        <v>1600</v>
      </c>
      <c r="P77" s="34" t="s">
        <v>50</v>
      </c>
      <c r="Q77" s="37">
        <f>1620</f>
        <v>1620</v>
      </c>
      <c r="R77" s="34" t="s">
        <v>51</v>
      </c>
      <c r="S77" s="36">
        <f>1640.68</f>
        <v>1640.68</v>
      </c>
      <c r="T77" s="33">
        <f>1059</f>
        <v>1059</v>
      </c>
      <c r="U77" s="33" t="str">
        <f>"－"</f>
        <v>－</v>
      </c>
      <c r="V77" s="33">
        <f>1724199</f>
        <v>1724199</v>
      </c>
      <c r="W77" s="33" t="str">
        <f>"－"</f>
        <v>－</v>
      </c>
      <c r="X77" s="35">
        <f>19</f>
        <v>19</v>
      </c>
    </row>
    <row r="78" spans="1:24">
      <c r="A78" s="29" t="s">
        <v>42</v>
      </c>
      <c r="B78" s="29" t="s">
        <v>276</v>
      </c>
      <c r="C78" s="29" t="s">
        <v>277</v>
      </c>
      <c r="D78" s="29" t="s">
        <v>278</v>
      </c>
      <c r="E78" s="30" t="s">
        <v>46</v>
      </c>
      <c r="F78" s="31" t="s">
        <v>46</v>
      </c>
      <c r="G78" s="32" t="s">
        <v>46</v>
      </c>
      <c r="H78" s="27"/>
      <c r="I78" s="27" t="s">
        <v>47</v>
      </c>
      <c r="J78" s="33">
        <v>1</v>
      </c>
      <c r="K78" s="37">
        <f>2347</f>
        <v>2347</v>
      </c>
      <c r="L78" s="34" t="s">
        <v>48</v>
      </c>
      <c r="M78" s="37">
        <f>2369</f>
        <v>2369</v>
      </c>
      <c r="N78" s="34" t="s">
        <v>65</v>
      </c>
      <c r="O78" s="37">
        <f>2316</f>
        <v>2316</v>
      </c>
      <c r="P78" s="34" t="s">
        <v>90</v>
      </c>
      <c r="Q78" s="37">
        <f>2365</f>
        <v>2365</v>
      </c>
      <c r="R78" s="34" t="s">
        <v>51</v>
      </c>
      <c r="S78" s="36">
        <f>2337.84</f>
        <v>2337.84</v>
      </c>
      <c r="T78" s="33">
        <f>2112610</f>
        <v>2112610</v>
      </c>
      <c r="U78" s="33">
        <f>1899120</f>
        <v>1899120</v>
      </c>
      <c r="V78" s="33">
        <f>4967936917</f>
        <v>4967936917</v>
      </c>
      <c r="W78" s="33">
        <f>4468607480</f>
        <v>4468607480</v>
      </c>
      <c r="X78" s="35">
        <f>19</f>
        <v>19</v>
      </c>
    </row>
    <row r="79" spans="1:24">
      <c r="A79" s="29" t="s">
        <v>42</v>
      </c>
      <c r="B79" s="29" t="s">
        <v>279</v>
      </c>
      <c r="C79" s="29" t="s">
        <v>280</v>
      </c>
      <c r="D79" s="29" t="s">
        <v>281</v>
      </c>
      <c r="E79" s="30" t="s">
        <v>46</v>
      </c>
      <c r="F79" s="31" t="s">
        <v>46</v>
      </c>
      <c r="G79" s="32" t="s">
        <v>46</v>
      </c>
      <c r="H79" s="27"/>
      <c r="I79" s="27" t="s">
        <v>47</v>
      </c>
      <c r="J79" s="33">
        <v>1</v>
      </c>
      <c r="K79" s="37">
        <f>1612</f>
        <v>1612</v>
      </c>
      <c r="L79" s="34" t="s">
        <v>48</v>
      </c>
      <c r="M79" s="37">
        <f>1666</f>
        <v>1666</v>
      </c>
      <c r="N79" s="34" t="s">
        <v>72</v>
      </c>
      <c r="O79" s="37">
        <f>1589</f>
        <v>1589</v>
      </c>
      <c r="P79" s="34" t="s">
        <v>51</v>
      </c>
      <c r="Q79" s="37">
        <f>1589</f>
        <v>1589</v>
      </c>
      <c r="R79" s="34" t="s">
        <v>51</v>
      </c>
      <c r="S79" s="36">
        <f>1638.06</f>
        <v>1638.06</v>
      </c>
      <c r="T79" s="33">
        <f>4359</f>
        <v>4359</v>
      </c>
      <c r="U79" s="33" t="str">
        <f>"－"</f>
        <v>－</v>
      </c>
      <c r="V79" s="33">
        <f>7038656</f>
        <v>7038656</v>
      </c>
      <c r="W79" s="33" t="str">
        <f>"－"</f>
        <v>－</v>
      </c>
      <c r="X79" s="35">
        <f>18</f>
        <v>18</v>
      </c>
    </row>
    <row r="80" spans="1:24">
      <c r="A80" s="29" t="s">
        <v>42</v>
      </c>
      <c r="B80" s="29" t="s">
        <v>282</v>
      </c>
      <c r="C80" s="29" t="s">
        <v>283</v>
      </c>
      <c r="D80" s="29" t="s">
        <v>284</v>
      </c>
      <c r="E80" s="30" t="s">
        <v>46</v>
      </c>
      <c r="F80" s="31" t="s">
        <v>46</v>
      </c>
      <c r="G80" s="32" t="s">
        <v>46</v>
      </c>
      <c r="H80" s="27"/>
      <c r="I80" s="27" t="s">
        <v>47</v>
      </c>
      <c r="J80" s="33">
        <v>10</v>
      </c>
      <c r="K80" s="37">
        <f>1633</f>
        <v>1633</v>
      </c>
      <c r="L80" s="34" t="s">
        <v>48</v>
      </c>
      <c r="M80" s="37">
        <f>1645</f>
        <v>1645</v>
      </c>
      <c r="N80" s="34" t="s">
        <v>49</v>
      </c>
      <c r="O80" s="37">
        <f>1581</f>
        <v>1581</v>
      </c>
      <c r="P80" s="34" t="s">
        <v>50</v>
      </c>
      <c r="Q80" s="37">
        <f>1598</f>
        <v>1598</v>
      </c>
      <c r="R80" s="34" t="s">
        <v>51</v>
      </c>
      <c r="S80" s="36">
        <f>1621.21</f>
        <v>1621.21</v>
      </c>
      <c r="T80" s="33">
        <f>318650</f>
        <v>318650</v>
      </c>
      <c r="U80" s="33" t="str">
        <f>"－"</f>
        <v>－</v>
      </c>
      <c r="V80" s="33">
        <f>508861610</f>
        <v>508861610</v>
      </c>
      <c r="W80" s="33" t="str">
        <f>"－"</f>
        <v>－</v>
      </c>
      <c r="X80" s="35">
        <f>19</f>
        <v>19</v>
      </c>
    </row>
    <row r="81" spans="1:24">
      <c r="A81" s="29" t="s">
        <v>42</v>
      </c>
      <c r="B81" s="29" t="s">
        <v>285</v>
      </c>
      <c r="C81" s="29" t="s">
        <v>286</v>
      </c>
      <c r="D81" s="29" t="s">
        <v>287</v>
      </c>
      <c r="E81" s="30" t="s">
        <v>46</v>
      </c>
      <c r="F81" s="31" t="s">
        <v>46</v>
      </c>
      <c r="G81" s="32" t="s">
        <v>46</v>
      </c>
      <c r="H81" s="27"/>
      <c r="I81" s="27" t="s">
        <v>47</v>
      </c>
      <c r="J81" s="33">
        <v>1</v>
      </c>
      <c r="K81" s="37">
        <f>25400</f>
        <v>25400</v>
      </c>
      <c r="L81" s="34" t="s">
        <v>48</v>
      </c>
      <c r="M81" s="37">
        <f>25500</f>
        <v>25500</v>
      </c>
      <c r="N81" s="34" t="s">
        <v>100</v>
      </c>
      <c r="O81" s="37">
        <f>25180</f>
        <v>25180</v>
      </c>
      <c r="P81" s="34" t="s">
        <v>90</v>
      </c>
      <c r="Q81" s="37">
        <f>25500</f>
        <v>25500</v>
      </c>
      <c r="R81" s="34" t="s">
        <v>99</v>
      </c>
      <c r="S81" s="36">
        <f>25430</f>
        <v>25430</v>
      </c>
      <c r="T81" s="33">
        <f>81</f>
        <v>81</v>
      </c>
      <c r="U81" s="33" t="str">
        <f>"－"</f>
        <v>－</v>
      </c>
      <c r="V81" s="33">
        <f>2052400</f>
        <v>2052400</v>
      </c>
      <c r="W81" s="33" t="str">
        <f>"－"</f>
        <v>－</v>
      </c>
      <c r="X81" s="35">
        <f>6</f>
        <v>6</v>
      </c>
    </row>
    <row r="82" spans="1:24">
      <c r="A82" s="29" t="s">
        <v>42</v>
      </c>
      <c r="B82" s="29" t="s">
        <v>288</v>
      </c>
      <c r="C82" s="29" t="s">
        <v>289</v>
      </c>
      <c r="D82" s="29" t="s">
        <v>290</v>
      </c>
      <c r="E82" s="30" t="s">
        <v>46</v>
      </c>
      <c r="F82" s="31" t="s">
        <v>46</v>
      </c>
      <c r="G82" s="32" t="s">
        <v>46</v>
      </c>
      <c r="H82" s="27"/>
      <c r="I82" s="27" t="s">
        <v>47</v>
      </c>
      <c r="J82" s="33">
        <v>1</v>
      </c>
      <c r="K82" s="37">
        <f>21030</f>
        <v>21030</v>
      </c>
      <c r="L82" s="34" t="s">
        <v>48</v>
      </c>
      <c r="M82" s="37">
        <f>21240</f>
        <v>21240</v>
      </c>
      <c r="N82" s="34" t="s">
        <v>50</v>
      </c>
      <c r="O82" s="37">
        <f>20800</f>
        <v>20800</v>
      </c>
      <c r="P82" s="34" t="s">
        <v>119</v>
      </c>
      <c r="Q82" s="37">
        <f>21240</f>
        <v>21240</v>
      </c>
      <c r="R82" s="34" t="s">
        <v>51</v>
      </c>
      <c r="S82" s="36">
        <f>21045.79</f>
        <v>21045.79</v>
      </c>
      <c r="T82" s="33">
        <f>1381</f>
        <v>1381</v>
      </c>
      <c r="U82" s="33" t="str">
        <f>"－"</f>
        <v>－</v>
      </c>
      <c r="V82" s="33">
        <f>28972650</f>
        <v>28972650</v>
      </c>
      <c r="W82" s="33" t="str">
        <f>"－"</f>
        <v>－</v>
      </c>
      <c r="X82" s="35">
        <f>19</f>
        <v>19</v>
      </c>
    </row>
    <row r="83" spans="1:24">
      <c r="A83" s="29" t="s">
        <v>42</v>
      </c>
      <c r="B83" s="29" t="s">
        <v>291</v>
      </c>
      <c r="C83" s="29" t="s">
        <v>292</v>
      </c>
      <c r="D83" s="29" t="s">
        <v>293</v>
      </c>
      <c r="E83" s="30" t="s">
        <v>46</v>
      </c>
      <c r="F83" s="31" t="s">
        <v>46</v>
      </c>
      <c r="G83" s="32" t="s">
        <v>46</v>
      </c>
      <c r="H83" s="27"/>
      <c r="I83" s="27" t="s">
        <v>47</v>
      </c>
      <c r="J83" s="33">
        <v>1</v>
      </c>
      <c r="K83" s="37">
        <f>18400</f>
        <v>18400</v>
      </c>
      <c r="L83" s="34" t="s">
        <v>48</v>
      </c>
      <c r="M83" s="37">
        <f>18540</f>
        <v>18540</v>
      </c>
      <c r="N83" s="34" t="s">
        <v>50</v>
      </c>
      <c r="O83" s="37">
        <f>18130</f>
        <v>18130</v>
      </c>
      <c r="P83" s="34" t="s">
        <v>119</v>
      </c>
      <c r="Q83" s="37">
        <f>18520</f>
        <v>18520</v>
      </c>
      <c r="R83" s="34" t="s">
        <v>51</v>
      </c>
      <c r="S83" s="36">
        <f>18308.95</f>
        <v>18308.95</v>
      </c>
      <c r="T83" s="33">
        <f>226218</f>
        <v>226218</v>
      </c>
      <c r="U83" s="33">
        <f>42000</f>
        <v>42000</v>
      </c>
      <c r="V83" s="33">
        <f>4168271790</f>
        <v>4168271790</v>
      </c>
      <c r="W83" s="33">
        <f>770318780</f>
        <v>770318780</v>
      </c>
      <c r="X83" s="35">
        <f>19</f>
        <v>19</v>
      </c>
    </row>
    <row r="84" spans="1:24">
      <c r="A84" s="29" t="s">
        <v>42</v>
      </c>
      <c r="B84" s="29" t="s">
        <v>294</v>
      </c>
      <c r="C84" s="29" t="s">
        <v>295</v>
      </c>
      <c r="D84" s="29" t="s">
        <v>296</v>
      </c>
      <c r="E84" s="30" t="s">
        <v>46</v>
      </c>
      <c r="F84" s="31" t="s">
        <v>46</v>
      </c>
      <c r="G84" s="32" t="s">
        <v>46</v>
      </c>
      <c r="H84" s="27"/>
      <c r="I84" s="27" t="s">
        <v>47</v>
      </c>
      <c r="J84" s="33">
        <v>10</v>
      </c>
      <c r="K84" s="37">
        <f>2200</f>
        <v>2200</v>
      </c>
      <c r="L84" s="34" t="s">
        <v>48</v>
      </c>
      <c r="M84" s="37">
        <f>2291</f>
        <v>2291</v>
      </c>
      <c r="N84" s="34" t="s">
        <v>51</v>
      </c>
      <c r="O84" s="37">
        <f>2172</f>
        <v>2172</v>
      </c>
      <c r="P84" s="34" t="s">
        <v>119</v>
      </c>
      <c r="Q84" s="37">
        <f>2285</f>
        <v>2285</v>
      </c>
      <c r="R84" s="34" t="s">
        <v>51</v>
      </c>
      <c r="S84" s="36">
        <f>2223</f>
        <v>2223</v>
      </c>
      <c r="T84" s="33">
        <f>192180</f>
        <v>192180</v>
      </c>
      <c r="U84" s="33">
        <f>60000</f>
        <v>60000</v>
      </c>
      <c r="V84" s="33">
        <f>429243580</f>
        <v>429243580</v>
      </c>
      <c r="W84" s="33">
        <f>133938600</f>
        <v>133938600</v>
      </c>
      <c r="X84" s="35">
        <f>19</f>
        <v>19</v>
      </c>
    </row>
    <row r="85" spans="1:24">
      <c r="A85" s="29" t="s">
        <v>42</v>
      </c>
      <c r="B85" s="29" t="s">
        <v>297</v>
      </c>
      <c r="C85" s="29" t="s">
        <v>298</v>
      </c>
      <c r="D85" s="29" t="s">
        <v>299</v>
      </c>
      <c r="E85" s="30" t="s">
        <v>46</v>
      </c>
      <c r="F85" s="31" t="s">
        <v>46</v>
      </c>
      <c r="G85" s="32" t="s">
        <v>46</v>
      </c>
      <c r="H85" s="27"/>
      <c r="I85" s="27" t="s">
        <v>47</v>
      </c>
      <c r="J85" s="33">
        <v>1</v>
      </c>
      <c r="K85" s="37">
        <f>34200</f>
        <v>34200</v>
      </c>
      <c r="L85" s="34" t="s">
        <v>48</v>
      </c>
      <c r="M85" s="37">
        <f>34900</f>
        <v>34900</v>
      </c>
      <c r="N85" s="34" t="s">
        <v>49</v>
      </c>
      <c r="O85" s="37">
        <f>33200</f>
        <v>33200</v>
      </c>
      <c r="P85" s="34" t="s">
        <v>50</v>
      </c>
      <c r="Q85" s="37">
        <f>33500</f>
        <v>33500</v>
      </c>
      <c r="R85" s="34" t="s">
        <v>51</v>
      </c>
      <c r="S85" s="36">
        <f>34263.16</f>
        <v>34263.160000000003</v>
      </c>
      <c r="T85" s="33">
        <f>22398</f>
        <v>22398</v>
      </c>
      <c r="U85" s="33">
        <f>8</f>
        <v>8</v>
      </c>
      <c r="V85" s="33">
        <f>765830220</f>
        <v>765830220</v>
      </c>
      <c r="W85" s="33">
        <f>274970</f>
        <v>274970</v>
      </c>
      <c r="X85" s="35">
        <f>19</f>
        <v>19</v>
      </c>
    </row>
    <row r="86" spans="1:24">
      <c r="A86" s="29" t="s">
        <v>42</v>
      </c>
      <c r="B86" s="29" t="s">
        <v>300</v>
      </c>
      <c r="C86" s="29" t="s">
        <v>301</v>
      </c>
      <c r="D86" s="29" t="s">
        <v>302</v>
      </c>
      <c r="E86" s="30" t="s">
        <v>46</v>
      </c>
      <c r="F86" s="31" t="s">
        <v>46</v>
      </c>
      <c r="G86" s="32" t="s">
        <v>46</v>
      </c>
      <c r="H86" s="27"/>
      <c r="I86" s="27" t="s">
        <v>47</v>
      </c>
      <c r="J86" s="33">
        <v>10</v>
      </c>
      <c r="K86" s="37">
        <f>9150</f>
        <v>9150</v>
      </c>
      <c r="L86" s="34" t="s">
        <v>65</v>
      </c>
      <c r="M86" s="37">
        <f>9150</f>
        <v>9150</v>
      </c>
      <c r="N86" s="34" t="s">
        <v>65</v>
      </c>
      <c r="O86" s="37">
        <f>9020</f>
        <v>9020</v>
      </c>
      <c r="P86" s="34" t="s">
        <v>99</v>
      </c>
      <c r="Q86" s="37">
        <f>9090</f>
        <v>9090</v>
      </c>
      <c r="R86" s="34" t="s">
        <v>50</v>
      </c>
      <c r="S86" s="36">
        <f>9085</f>
        <v>9085</v>
      </c>
      <c r="T86" s="33">
        <f>16970</f>
        <v>16970</v>
      </c>
      <c r="U86" s="33">
        <f>16000</f>
        <v>16000</v>
      </c>
      <c r="V86" s="33">
        <f>153802600</f>
        <v>153802600</v>
      </c>
      <c r="W86" s="33">
        <f>144992000</f>
        <v>144992000</v>
      </c>
      <c r="X86" s="35">
        <f>10</f>
        <v>10</v>
      </c>
    </row>
    <row r="87" spans="1:24">
      <c r="A87" s="29" t="s">
        <v>42</v>
      </c>
      <c r="B87" s="29" t="s">
        <v>303</v>
      </c>
      <c r="C87" s="29" t="s">
        <v>304</v>
      </c>
      <c r="D87" s="29" t="s">
        <v>305</v>
      </c>
      <c r="E87" s="30" t="s">
        <v>46</v>
      </c>
      <c r="F87" s="31" t="s">
        <v>46</v>
      </c>
      <c r="G87" s="32" t="s">
        <v>46</v>
      </c>
      <c r="H87" s="27"/>
      <c r="I87" s="27" t="s">
        <v>47</v>
      </c>
      <c r="J87" s="33">
        <v>1</v>
      </c>
      <c r="K87" s="37">
        <f>14800</f>
        <v>14800</v>
      </c>
      <c r="L87" s="34" t="s">
        <v>48</v>
      </c>
      <c r="M87" s="37">
        <f>14940</f>
        <v>14940</v>
      </c>
      <c r="N87" s="34" t="s">
        <v>48</v>
      </c>
      <c r="O87" s="37">
        <f>14020</f>
        <v>14020</v>
      </c>
      <c r="P87" s="34" t="s">
        <v>51</v>
      </c>
      <c r="Q87" s="37">
        <f>14150</f>
        <v>14150</v>
      </c>
      <c r="R87" s="34" t="s">
        <v>51</v>
      </c>
      <c r="S87" s="36">
        <f>14576.67</f>
        <v>14576.67</v>
      </c>
      <c r="T87" s="33">
        <f>2219</f>
        <v>2219</v>
      </c>
      <c r="U87" s="33" t="str">
        <f>"－"</f>
        <v>－</v>
      </c>
      <c r="V87" s="33">
        <f>32251430</f>
        <v>32251430</v>
      </c>
      <c r="W87" s="33" t="str">
        <f>"－"</f>
        <v>－</v>
      </c>
      <c r="X87" s="35">
        <f>18</f>
        <v>18</v>
      </c>
    </row>
    <row r="88" spans="1:24">
      <c r="A88" s="29" t="s">
        <v>42</v>
      </c>
      <c r="B88" s="29" t="s">
        <v>306</v>
      </c>
      <c r="C88" s="29" t="s">
        <v>307</v>
      </c>
      <c r="D88" s="29" t="s">
        <v>308</v>
      </c>
      <c r="E88" s="30" t="s">
        <v>46</v>
      </c>
      <c r="F88" s="31" t="s">
        <v>46</v>
      </c>
      <c r="G88" s="32" t="s">
        <v>46</v>
      </c>
      <c r="H88" s="27"/>
      <c r="I88" s="27" t="s">
        <v>47</v>
      </c>
      <c r="J88" s="33">
        <v>1</v>
      </c>
      <c r="K88" s="37">
        <f>14640</f>
        <v>14640</v>
      </c>
      <c r="L88" s="34" t="s">
        <v>48</v>
      </c>
      <c r="M88" s="37">
        <f>14860</f>
        <v>14860</v>
      </c>
      <c r="N88" s="34" t="s">
        <v>309</v>
      </c>
      <c r="O88" s="37">
        <f>14040</f>
        <v>14040</v>
      </c>
      <c r="P88" s="34" t="s">
        <v>50</v>
      </c>
      <c r="Q88" s="37">
        <f>14230</f>
        <v>14230</v>
      </c>
      <c r="R88" s="34" t="s">
        <v>51</v>
      </c>
      <c r="S88" s="36">
        <f>14602.11</f>
        <v>14602.11</v>
      </c>
      <c r="T88" s="33">
        <f>1792</f>
        <v>1792</v>
      </c>
      <c r="U88" s="33" t="str">
        <f>"－"</f>
        <v>－</v>
      </c>
      <c r="V88" s="33">
        <f>26114990</f>
        <v>26114990</v>
      </c>
      <c r="W88" s="33" t="str">
        <f>"－"</f>
        <v>－</v>
      </c>
      <c r="X88" s="35">
        <f>19</f>
        <v>19</v>
      </c>
    </row>
    <row r="89" spans="1:24">
      <c r="A89" s="29" t="s">
        <v>42</v>
      </c>
      <c r="B89" s="29" t="s">
        <v>310</v>
      </c>
      <c r="C89" s="29" t="s">
        <v>311</v>
      </c>
      <c r="D89" s="29" t="s">
        <v>312</v>
      </c>
      <c r="E89" s="30" t="s">
        <v>46</v>
      </c>
      <c r="F89" s="31" t="s">
        <v>46</v>
      </c>
      <c r="G89" s="32" t="s">
        <v>46</v>
      </c>
      <c r="H89" s="27"/>
      <c r="I89" s="27" t="s">
        <v>47</v>
      </c>
      <c r="J89" s="33">
        <v>1</v>
      </c>
      <c r="K89" s="37">
        <f>18580</f>
        <v>18580</v>
      </c>
      <c r="L89" s="34" t="s">
        <v>48</v>
      </c>
      <c r="M89" s="37">
        <f>18800</f>
        <v>18800</v>
      </c>
      <c r="N89" s="34" t="s">
        <v>100</v>
      </c>
      <c r="O89" s="37">
        <f>17930</f>
        <v>17930</v>
      </c>
      <c r="P89" s="34" t="s">
        <v>50</v>
      </c>
      <c r="Q89" s="37">
        <f>18140</f>
        <v>18140</v>
      </c>
      <c r="R89" s="34" t="s">
        <v>51</v>
      </c>
      <c r="S89" s="36">
        <f>18477.89</f>
        <v>18477.89</v>
      </c>
      <c r="T89" s="33">
        <f>1085</f>
        <v>1085</v>
      </c>
      <c r="U89" s="33" t="str">
        <f>"－"</f>
        <v>－</v>
      </c>
      <c r="V89" s="33">
        <f>19963150</f>
        <v>19963150</v>
      </c>
      <c r="W89" s="33" t="str">
        <f>"－"</f>
        <v>－</v>
      </c>
      <c r="X89" s="35">
        <f>19</f>
        <v>19</v>
      </c>
    </row>
    <row r="90" spans="1:24">
      <c r="A90" s="29" t="s">
        <v>42</v>
      </c>
      <c r="B90" s="29" t="s">
        <v>313</v>
      </c>
      <c r="C90" s="29" t="s">
        <v>314</v>
      </c>
      <c r="D90" s="29" t="s">
        <v>315</v>
      </c>
      <c r="E90" s="30" t="s">
        <v>46</v>
      </c>
      <c r="F90" s="31" t="s">
        <v>46</v>
      </c>
      <c r="G90" s="32" t="s">
        <v>46</v>
      </c>
      <c r="H90" s="27"/>
      <c r="I90" s="27" t="s">
        <v>47</v>
      </c>
      <c r="J90" s="33">
        <v>10</v>
      </c>
      <c r="K90" s="37">
        <f>11580</f>
        <v>11580</v>
      </c>
      <c r="L90" s="34" t="s">
        <v>48</v>
      </c>
      <c r="M90" s="37">
        <f>11870</f>
        <v>11870</v>
      </c>
      <c r="N90" s="34" t="s">
        <v>86</v>
      </c>
      <c r="O90" s="37">
        <f>11300</f>
        <v>11300</v>
      </c>
      <c r="P90" s="34" t="s">
        <v>65</v>
      </c>
      <c r="Q90" s="37">
        <f>11410</f>
        <v>11410</v>
      </c>
      <c r="R90" s="34" t="s">
        <v>51</v>
      </c>
      <c r="S90" s="36">
        <f>11608.42</f>
        <v>11608.42</v>
      </c>
      <c r="T90" s="33">
        <f>6750</f>
        <v>6750</v>
      </c>
      <c r="U90" s="33" t="str">
        <f>"－"</f>
        <v>－</v>
      </c>
      <c r="V90" s="33">
        <f>78324300</f>
        <v>78324300</v>
      </c>
      <c r="W90" s="33" t="str">
        <f>"－"</f>
        <v>－</v>
      </c>
      <c r="X90" s="35">
        <f>19</f>
        <v>19</v>
      </c>
    </row>
    <row r="91" spans="1:24">
      <c r="A91" s="29" t="s">
        <v>42</v>
      </c>
      <c r="B91" s="29" t="s">
        <v>316</v>
      </c>
      <c r="C91" s="29" t="s">
        <v>317</v>
      </c>
      <c r="D91" s="29" t="s">
        <v>318</v>
      </c>
      <c r="E91" s="30" t="s">
        <v>46</v>
      </c>
      <c r="F91" s="31" t="s">
        <v>46</v>
      </c>
      <c r="G91" s="32" t="s">
        <v>46</v>
      </c>
      <c r="H91" s="27"/>
      <c r="I91" s="27" t="s">
        <v>47</v>
      </c>
      <c r="J91" s="33">
        <v>1</v>
      </c>
      <c r="K91" s="37">
        <f>2540</f>
        <v>2540</v>
      </c>
      <c r="L91" s="34" t="s">
        <v>48</v>
      </c>
      <c r="M91" s="37">
        <f>2561</f>
        <v>2561</v>
      </c>
      <c r="N91" s="34" t="s">
        <v>51</v>
      </c>
      <c r="O91" s="37">
        <f>2510</f>
        <v>2510</v>
      </c>
      <c r="P91" s="34" t="s">
        <v>119</v>
      </c>
      <c r="Q91" s="37">
        <f>2546</f>
        <v>2546</v>
      </c>
      <c r="R91" s="34" t="s">
        <v>51</v>
      </c>
      <c r="S91" s="36">
        <f>2533.21</f>
        <v>2533.21</v>
      </c>
      <c r="T91" s="33">
        <f>501995</f>
        <v>501995</v>
      </c>
      <c r="U91" s="33">
        <f>253290</f>
        <v>253290</v>
      </c>
      <c r="V91" s="33">
        <f>1273128797</f>
        <v>1273128797</v>
      </c>
      <c r="W91" s="33">
        <f>644346137</f>
        <v>644346137</v>
      </c>
      <c r="X91" s="35">
        <f>19</f>
        <v>19</v>
      </c>
    </row>
    <row r="92" spans="1:24">
      <c r="A92" s="29" t="s">
        <v>42</v>
      </c>
      <c r="B92" s="29" t="s">
        <v>319</v>
      </c>
      <c r="C92" s="29" t="s">
        <v>320</v>
      </c>
      <c r="D92" s="29" t="s">
        <v>321</v>
      </c>
      <c r="E92" s="30" t="s">
        <v>46</v>
      </c>
      <c r="F92" s="31" t="s">
        <v>46</v>
      </c>
      <c r="G92" s="32" t="s">
        <v>46</v>
      </c>
      <c r="H92" s="27"/>
      <c r="I92" s="27" t="s">
        <v>47</v>
      </c>
      <c r="J92" s="33">
        <v>1</v>
      </c>
      <c r="K92" s="37">
        <f>2419</f>
        <v>2419</v>
      </c>
      <c r="L92" s="34" t="s">
        <v>48</v>
      </c>
      <c r="M92" s="37">
        <f>2431</f>
        <v>2431</v>
      </c>
      <c r="N92" s="34" t="s">
        <v>100</v>
      </c>
      <c r="O92" s="37">
        <f>2370</f>
        <v>2370</v>
      </c>
      <c r="P92" s="34" t="s">
        <v>95</v>
      </c>
      <c r="Q92" s="37">
        <f>2387</f>
        <v>2387</v>
      </c>
      <c r="R92" s="34" t="s">
        <v>51</v>
      </c>
      <c r="S92" s="36">
        <f>2401</f>
        <v>2401</v>
      </c>
      <c r="T92" s="33">
        <f>329818</f>
        <v>329818</v>
      </c>
      <c r="U92" s="33">
        <f>262460</f>
        <v>262460</v>
      </c>
      <c r="V92" s="33">
        <f>791158669</f>
        <v>791158669</v>
      </c>
      <c r="W92" s="33">
        <f>629140406</f>
        <v>629140406</v>
      </c>
      <c r="X92" s="35">
        <f>19</f>
        <v>19</v>
      </c>
    </row>
    <row r="93" spans="1:24">
      <c r="A93" s="29" t="s">
        <v>42</v>
      </c>
      <c r="B93" s="29" t="s">
        <v>322</v>
      </c>
      <c r="C93" s="29" t="s">
        <v>323</v>
      </c>
      <c r="D93" s="29" t="s">
        <v>324</v>
      </c>
      <c r="E93" s="30" t="s">
        <v>46</v>
      </c>
      <c r="F93" s="31" t="s">
        <v>46</v>
      </c>
      <c r="G93" s="32" t="s">
        <v>46</v>
      </c>
      <c r="H93" s="27"/>
      <c r="I93" s="27" t="s">
        <v>47</v>
      </c>
      <c r="J93" s="33">
        <v>1</v>
      </c>
      <c r="K93" s="37">
        <f>13010</f>
        <v>13010</v>
      </c>
      <c r="L93" s="34" t="s">
        <v>48</v>
      </c>
      <c r="M93" s="37">
        <f>13300</f>
        <v>13300</v>
      </c>
      <c r="N93" s="34" t="s">
        <v>49</v>
      </c>
      <c r="O93" s="37">
        <f>12750</f>
        <v>12750</v>
      </c>
      <c r="P93" s="34" t="s">
        <v>50</v>
      </c>
      <c r="Q93" s="37">
        <f>12930</f>
        <v>12930</v>
      </c>
      <c r="R93" s="34" t="s">
        <v>51</v>
      </c>
      <c r="S93" s="36">
        <f>13091.05</f>
        <v>13091.05</v>
      </c>
      <c r="T93" s="33">
        <f>37638</f>
        <v>37638</v>
      </c>
      <c r="U93" s="33">
        <f>34200</f>
        <v>34200</v>
      </c>
      <c r="V93" s="33">
        <f>493379840</f>
        <v>493379840</v>
      </c>
      <c r="W93" s="33">
        <f>448457480</f>
        <v>448457480</v>
      </c>
      <c r="X93" s="35">
        <f>19</f>
        <v>19</v>
      </c>
    </row>
    <row r="94" spans="1:24">
      <c r="A94" s="29" t="s">
        <v>42</v>
      </c>
      <c r="B94" s="29" t="s">
        <v>325</v>
      </c>
      <c r="C94" s="29" t="s">
        <v>326</v>
      </c>
      <c r="D94" s="29" t="s">
        <v>327</v>
      </c>
      <c r="E94" s="30" t="s">
        <v>46</v>
      </c>
      <c r="F94" s="31" t="s">
        <v>46</v>
      </c>
      <c r="G94" s="32" t="s">
        <v>46</v>
      </c>
      <c r="H94" s="27"/>
      <c r="I94" s="27" t="s">
        <v>47</v>
      </c>
      <c r="J94" s="33">
        <v>1</v>
      </c>
      <c r="K94" s="37">
        <f>9430</f>
        <v>9430</v>
      </c>
      <c r="L94" s="34" t="s">
        <v>48</v>
      </c>
      <c r="M94" s="37">
        <f>9910</f>
        <v>9910</v>
      </c>
      <c r="N94" s="34" t="s">
        <v>48</v>
      </c>
      <c r="O94" s="37">
        <f>8980</f>
        <v>8980</v>
      </c>
      <c r="P94" s="34" t="s">
        <v>90</v>
      </c>
      <c r="Q94" s="37">
        <f>9030</f>
        <v>9030</v>
      </c>
      <c r="R94" s="34" t="s">
        <v>51</v>
      </c>
      <c r="S94" s="36">
        <f>9201.58</f>
        <v>9201.58</v>
      </c>
      <c r="T94" s="33">
        <f>8878</f>
        <v>8878</v>
      </c>
      <c r="U94" s="33">
        <f>3171</f>
        <v>3171</v>
      </c>
      <c r="V94" s="33">
        <f>81214400</f>
        <v>81214400</v>
      </c>
      <c r="W94" s="33">
        <f>28774940</f>
        <v>28774940</v>
      </c>
      <c r="X94" s="35">
        <f>19</f>
        <v>19</v>
      </c>
    </row>
    <row r="95" spans="1:24">
      <c r="A95" s="29" t="s">
        <v>42</v>
      </c>
      <c r="B95" s="29" t="s">
        <v>328</v>
      </c>
      <c r="C95" s="29" t="s">
        <v>329</v>
      </c>
      <c r="D95" s="29" t="s">
        <v>330</v>
      </c>
      <c r="E95" s="30" t="s">
        <v>46</v>
      </c>
      <c r="F95" s="31" t="s">
        <v>46</v>
      </c>
      <c r="G95" s="32" t="s">
        <v>46</v>
      </c>
      <c r="H95" s="27"/>
      <c r="I95" s="27" t="s">
        <v>47</v>
      </c>
      <c r="J95" s="33">
        <v>1</v>
      </c>
      <c r="K95" s="37">
        <f>5220</f>
        <v>5220</v>
      </c>
      <c r="L95" s="34" t="s">
        <v>48</v>
      </c>
      <c r="M95" s="37">
        <f>5350</f>
        <v>5350</v>
      </c>
      <c r="N95" s="34" t="s">
        <v>65</v>
      </c>
      <c r="O95" s="37">
        <f>5190</f>
        <v>5190</v>
      </c>
      <c r="P95" s="34" t="s">
        <v>100</v>
      </c>
      <c r="Q95" s="37">
        <f>5300</f>
        <v>5300</v>
      </c>
      <c r="R95" s="34" t="s">
        <v>51</v>
      </c>
      <c r="S95" s="36">
        <f>5267.37</f>
        <v>5267.37</v>
      </c>
      <c r="T95" s="33">
        <f>1915490</f>
        <v>1915490</v>
      </c>
      <c r="U95" s="33">
        <f>467902</f>
        <v>467902</v>
      </c>
      <c r="V95" s="33">
        <f>10077821025</f>
        <v>10077821025</v>
      </c>
      <c r="W95" s="33">
        <f>2464450455</f>
        <v>2464450455</v>
      </c>
      <c r="X95" s="35">
        <f>19</f>
        <v>19</v>
      </c>
    </row>
    <row r="96" spans="1:24">
      <c r="A96" s="29" t="s">
        <v>42</v>
      </c>
      <c r="B96" s="29" t="s">
        <v>331</v>
      </c>
      <c r="C96" s="29" t="s">
        <v>332</v>
      </c>
      <c r="D96" s="29" t="s">
        <v>333</v>
      </c>
      <c r="E96" s="30" t="s">
        <v>46</v>
      </c>
      <c r="F96" s="31" t="s">
        <v>46</v>
      </c>
      <c r="G96" s="32" t="s">
        <v>46</v>
      </c>
      <c r="H96" s="27"/>
      <c r="I96" s="27" t="s">
        <v>47</v>
      </c>
      <c r="J96" s="33">
        <v>1</v>
      </c>
      <c r="K96" s="37">
        <f>3190</f>
        <v>3190</v>
      </c>
      <c r="L96" s="34" t="s">
        <v>48</v>
      </c>
      <c r="M96" s="37">
        <f>3400</f>
        <v>3400</v>
      </c>
      <c r="N96" s="34" t="s">
        <v>49</v>
      </c>
      <c r="O96" s="37">
        <f>3115</f>
        <v>3115</v>
      </c>
      <c r="P96" s="34" t="s">
        <v>119</v>
      </c>
      <c r="Q96" s="37">
        <f>3210</f>
        <v>3210</v>
      </c>
      <c r="R96" s="34" t="s">
        <v>51</v>
      </c>
      <c r="S96" s="36">
        <f>3250</f>
        <v>3250</v>
      </c>
      <c r="T96" s="33">
        <f>661064</f>
        <v>661064</v>
      </c>
      <c r="U96" s="33">
        <f>1338</f>
        <v>1338</v>
      </c>
      <c r="V96" s="33">
        <f>2159189600</f>
        <v>2159189600</v>
      </c>
      <c r="W96" s="33">
        <f>4422525</f>
        <v>4422525</v>
      </c>
      <c r="X96" s="35">
        <f>19</f>
        <v>19</v>
      </c>
    </row>
    <row r="97" spans="1:24">
      <c r="A97" s="29" t="s">
        <v>42</v>
      </c>
      <c r="B97" s="29" t="s">
        <v>334</v>
      </c>
      <c r="C97" s="29" t="s">
        <v>335</v>
      </c>
      <c r="D97" s="29" t="s">
        <v>336</v>
      </c>
      <c r="E97" s="30" t="s">
        <v>46</v>
      </c>
      <c r="F97" s="31" t="s">
        <v>46</v>
      </c>
      <c r="G97" s="32" t="s">
        <v>46</v>
      </c>
      <c r="H97" s="27"/>
      <c r="I97" s="27" t="s">
        <v>47</v>
      </c>
      <c r="J97" s="33">
        <v>1</v>
      </c>
      <c r="K97" s="37">
        <f>5810</f>
        <v>5810</v>
      </c>
      <c r="L97" s="34" t="s">
        <v>48</v>
      </c>
      <c r="M97" s="37">
        <f>5940</f>
        <v>5940</v>
      </c>
      <c r="N97" s="34" t="s">
        <v>65</v>
      </c>
      <c r="O97" s="37">
        <f>5640</f>
        <v>5640</v>
      </c>
      <c r="P97" s="34" t="s">
        <v>245</v>
      </c>
      <c r="Q97" s="37">
        <f>5740</f>
        <v>5740</v>
      </c>
      <c r="R97" s="34" t="s">
        <v>51</v>
      </c>
      <c r="S97" s="36">
        <f>5801.05</f>
        <v>5801.05</v>
      </c>
      <c r="T97" s="33">
        <f>101243</f>
        <v>101243</v>
      </c>
      <c r="U97" s="33">
        <f>61</f>
        <v>61</v>
      </c>
      <c r="V97" s="33">
        <f>590310457</f>
        <v>590310457</v>
      </c>
      <c r="W97" s="33">
        <f>349267</f>
        <v>349267</v>
      </c>
      <c r="X97" s="35">
        <f>19</f>
        <v>19</v>
      </c>
    </row>
    <row r="98" spans="1:24">
      <c r="A98" s="29" t="s">
        <v>42</v>
      </c>
      <c r="B98" s="29" t="s">
        <v>337</v>
      </c>
      <c r="C98" s="29" t="s">
        <v>338</v>
      </c>
      <c r="D98" s="29" t="s">
        <v>339</v>
      </c>
      <c r="E98" s="30" t="s">
        <v>46</v>
      </c>
      <c r="F98" s="31" t="s">
        <v>46</v>
      </c>
      <c r="G98" s="32" t="s">
        <v>46</v>
      </c>
      <c r="H98" s="27"/>
      <c r="I98" s="27" t="s">
        <v>47</v>
      </c>
      <c r="J98" s="33">
        <v>1</v>
      </c>
      <c r="K98" s="37">
        <f>64300</f>
        <v>64300</v>
      </c>
      <c r="L98" s="34" t="s">
        <v>48</v>
      </c>
      <c r="M98" s="37">
        <f>89900</f>
        <v>89900</v>
      </c>
      <c r="N98" s="34" t="s">
        <v>150</v>
      </c>
      <c r="O98" s="37">
        <f>64200</f>
        <v>64200</v>
      </c>
      <c r="P98" s="34" t="s">
        <v>48</v>
      </c>
      <c r="Q98" s="37">
        <f>77000</f>
        <v>77000</v>
      </c>
      <c r="R98" s="34" t="s">
        <v>51</v>
      </c>
      <c r="S98" s="36">
        <f>76600</f>
        <v>76600</v>
      </c>
      <c r="T98" s="33">
        <f>8920</f>
        <v>8920</v>
      </c>
      <c r="U98" s="33" t="str">
        <f>"－"</f>
        <v>－</v>
      </c>
      <c r="V98" s="33">
        <f>705811100</f>
        <v>705811100</v>
      </c>
      <c r="W98" s="33" t="str">
        <f>"－"</f>
        <v>－</v>
      </c>
      <c r="X98" s="35">
        <f>19</f>
        <v>19</v>
      </c>
    </row>
    <row r="99" spans="1:24">
      <c r="A99" s="29" t="s">
        <v>42</v>
      </c>
      <c r="B99" s="29" t="s">
        <v>340</v>
      </c>
      <c r="C99" s="29" t="s">
        <v>341</v>
      </c>
      <c r="D99" s="29" t="s">
        <v>342</v>
      </c>
      <c r="E99" s="30" t="s">
        <v>46</v>
      </c>
      <c r="F99" s="31" t="s">
        <v>46</v>
      </c>
      <c r="G99" s="32" t="s">
        <v>46</v>
      </c>
      <c r="H99" s="27"/>
      <c r="I99" s="27" t="s">
        <v>47</v>
      </c>
      <c r="J99" s="33">
        <v>10</v>
      </c>
      <c r="K99" s="37">
        <f>9580</f>
        <v>9580</v>
      </c>
      <c r="L99" s="34" t="s">
        <v>48</v>
      </c>
      <c r="M99" s="37">
        <f>10290</f>
        <v>10290</v>
      </c>
      <c r="N99" s="34" t="s">
        <v>309</v>
      </c>
      <c r="O99" s="37">
        <f>9440</f>
        <v>9440</v>
      </c>
      <c r="P99" s="34" t="s">
        <v>65</v>
      </c>
      <c r="Q99" s="37">
        <f>10170</f>
        <v>10170</v>
      </c>
      <c r="R99" s="34" t="s">
        <v>51</v>
      </c>
      <c r="S99" s="36">
        <f>10029.47</f>
        <v>10029.469999999999</v>
      </c>
      <c r="T99" s="33">
        <f>467560</f>
        <v>467560</v>
      </c>
      <c r="U99" s="33">
        <f>42490</f>
        <v>42490</v>
      </c>
      <c r="V99" s="33">
        <f>4671891136</f>
        <v>4671891136</v>
      </c>
      <c r="W99" s="33">
        <f>427438236</f>
        <v>427438236</v>
      </c>
      <c r="X99" s="35">
        <f>19</f>
        <v>19</v>
      </c>
    </row>
    <row r="100" spans="1:24">
      <c r="A100" s="29" t="s">
        <v>42</v>
      </c>
      <c r="B100" s="29" t="s">
        <v>343</v>
      </c>
      <c r="C100" s="29" t="s">
        <v>344</v>
      </c>
      <c r="D100" s="29" t="s">
        <v>345</v>
      </c>
      <c r="E100" s="30" t="s">
        <v>46</v>
      </c>
      <c r="F100" s="31" t="s">
        <v>46</v>
      </c>
      <c r="G100" s="32" t="s">
        <v>46</v>
      </c>
      <c r="H100" s="27"/>
      <c r="I100" s="27" t="s">
        <v>47</v>
      </c>
      <c r="J100" s="33">
        <v>1</v>
      </c>
      <c r="K100" s="37">
        <f>29950</f>
        <v>29950</v>
      </c>
      <c r="L100" s="34" t="s">
        <v>48</v>
      </c>
      <c r="M100" s="37">
        <f>31500</f>
        <v>31500</v>
      </c>
      <c r="N100" s="34" t="s">
        <v>79</v>
      </c>
      <c r="O100" s="37">
        <f>29460</f>
        <v>29460</v>
      </c>
      <c r="P100" s="34" t="s">
        <v>65</v>
      </c>
      <c r="Q100" s="37">
        <f>30700</f>
        <v>30700</v>
      </c>
      <c r="R100" s="34" t="s">
        <v>51</v>
      </c>
      <c r="S100" s="36">
        <f>30796.84</f>
        <v>30796.84</v>
      </c>
      <c r="T100" s="33">
        <f>87849</f>
        <v>87849</v>
      </c>
      <c r="U100" s="33">
        <f>240</f>
        <v>240</v>
      </c>
      <c r="V100" s="33">
        <f>2685453791</f>
        <v>2685453791</v>
      </c>
      <c r="W100" s="33">
        <f>7377691</f>
        <v>7377691</v>
      </c>
      <c r="X100" s="35">
        <f>19</f>
        <v>19</v>
      </c>
    </row>
    <row r="101" spans="1:24">
      <c r="A101" s="29" t="s">
        <v>42</v>
      </c>
      <c r="B101" s="29" t="s">
        <v>346</v>
      </c>
      <c r="C101" s="29" t="s">
        <v>347</v>
      </c>
      <c r="D101" s="29" t="s">
        <v>348</v>
      </c>
      <c r="E101" s="30" t="s">
        <v>46</v>
      </c>
      <c r="F101" s="31" t="s">
        <v>46</v>
      </c>
      <c r="G101" s="32" t="s">
        <v>46</v>
      </c>
      <c r="H101" s="27"/>
      <c r="I101" s="27" t="s">
        <v>47</v>
      </c>
      <c r="J101" s="33">
        <v>10</v>
      </c>
      <c r="K101" s="37">
        <f>3790</f>
        <v>3790</v>
      </c>
      <c r="L101" s="34" t="s">
        <v>48</v>
      </c>
      <c r="M101" s="37">
        <f>3970</f>
        <v>3970</v>
      </c>
      <c r="N101" s="34" t="s">
        <v>72</v>
      </c>
      <c r="O101" s="37">
        <f>3735</f>
        <v>3735</v>
      </c>
      <c r="P101" s="34" t="s">
        <v>65</v>
      </c>
      <c r="Q101" s="37">
        <f>3870</f>
        <v>3870</v>
      </c>
      <c r="R101" s="34" t="s">
        <v>51</v>
      </c>
      <c r="S101" s="36">
        <f>3894.21</f>
        <v>3894.21</v>
      </c>
      <c r="T101" s="33">
        <f>1054430</f>
        <v>1054430</v>
      </c>
      <c r="U101" s="33">
        <f>399740</f>
        <v>399740</v>
      </c>
      <c r="V101" s="33">
        <f>4078816844</f>
        <v>4078816844</v>
      </c>
      <c r="W101" s="33">
        <f>1533316544</f>
        <v>1533316544</v>
      </c>
      <c r="X101" s="35">
        <f>19</f>
        <v>19</v>
      </c>
    </row>
    <row r="102" spans="1:24">
      <c r="A102" s="29" t="s">
        <v>42</v>
      </c>
      <c r="B102" s="29" t="s">
        <v>349</v>
      </c>
      <c r="C102" s="29" t="s">
        <v>350</v>
      </c>
      <c r="D102" s="29" t="s">
        <v>351</v>
      </c>
      <c r="E102" s="30" t="s">
        <v>46</v>
      </c>
      <c r="F102" s="31" t="s">
        <v>46</v>
      </c>
      <c r="G102" s="32" t="s">
        <v>46</v>
      </c>
      <c r="H102" s="27"/>
      <c r="I102" s="27" t="s">
        <v>47</v>
      </c>
      <c r="J102" s="33">
        <v>10</v>
      </c>
      <c r="K102" s="37">
        <f>2569</f>
        <v>2569</v>
      </c>
      <c r="L102" s="34" t="s">
        <v>48</v>
      </c>
      <c r="M102" s="37">
        <f>2700</f>
        <v>2700</v>
      </c>
      <c r="N102" s="34" t="s">
        <v>49</v>
      </c>
      <c r="O102" s="37">
        <f>2528</f>
        <v>2528</v>
      </c>
      <c r="P102" s="34" t="s">
        <v>65</v>
      </c>
      <c r="Q102" s="37">
        <f>2646</f>
        <v>2646</v>
      </c>
      <c r="R102" s="34" t="s">
        <v>51</v>
      </c>
      <c r="S102" s="36">
        <f>2637.26</f>
        <v>2637.26</v>
      </c>
      <c r="T102" s="33">
        <f>99600</f>
        <v>99600</v>
      </c>
      <c r="U102" s="33">
        <f>8000</f>
        <v>8000</v>
      </c>
      <c r="V102" s="33">
        <f>261277380</f>
        <v>261277380</v>
      </c>
      <c r="W102" s="33">
        <f>21001600</f>
        <v>21001600</v>
      </c>
      <c r="X102" s="35">
        <f>19</f>
        <v>19</v>
      </c>
    </row>
    <row r="103" spans="1:24">
      <c r="A103" s="29" t="s">
        <v>42</v>
      </c>
      <c r="B103" s="29" t="s">
        <v>352</v>
      </c>
      <c r="C103" s="29" t="s">
        <v>353</v>
      </c>
      <c r="D103" s="29" t="s">
        <v>354</v>
      </c>
      <c r="E103" s="30" t="s">
        <v>46</v>
      </c>
      <c r="F103" s="31" t="s">
        <v>46</v>
      </c>
      <c r="G103" s="32" t="s">
        <v>46</v>
      </c>
      <c r="H103" s="27"/>
      <c r="I103" s="27" t="s">
        <v>47</v>
      </c>
      <c r="J103" s="33">
        <v>10</v>
      </c>
      <c r="K103" s="37">
        <f>4545</f>
        <v>4545</v>
      </c>
      <c r="L103" s="34" t="s">
        <v>48</v>
      </c>
      <c r="M103" s="37">
        <f>4745</f>
        <v>4745</v>
      </c>
      <c r="N103" s="34" t="s">
        <v>86</v>
      </c>
      <c r="O103" s="37">
        <f>4245</f>
        <v>4245</v>
      </c>
      <c r="P103" s="34" t="s">
        <v>50</v>
      </c>
      <c r="Q103" s="37">
        <f>4315</f>
        <v>4315</v>
      </c>
      <c r="R103" s="34" t="s">
        <v>51</v>
      </c>
      <c r="S103" s="36">
        <f>4580.26</f>
        <v>4580.26</v>
      </c>
      <c r="T103" s="33">
        <f>45030</f>
        <v>45030</v>
      </c>
      <c r="U103" s="33" t="str">
        <f>"－"</f>
        <v>－</v>
      </c>
      <c r="V103" s="33">
        <f>204504550</f>
        <v>204504550</v>
      </c>
      <c r="W103" s="33" t="str">
        <f>"－"</f>
        <v>－</v>
      </c>
      <c r="X103" s="35">
        <f>19</f>
        <v>19</v>
      </c>
    </row>
    <row r="104" spans="1:24">
      <c r="A104" s="29" t="s">
        <v>42</v>
      </c>
      <c r="B104" s="29" t="s">
        <v>355</v>
      </c>
      <c r="C104" s="29" t="s">
        <v>356</v>
      </c>
      <c r="D104" s="29" t="s">
        <v>357</v>
      </c>
      <c r="E104" s="30" t="s">
        <v>46</v>
      </c>
      <c r="F104" s="31" t="s">
        <v>46</v>
      </c>
      <c r="G104" s="32" t="s">
        <v>46</v>
      </c>
      <c r="H104" s="27"/>
      <c r="I104" s="27" t="s">
        <v>47</v>
      </c>
      <c r="J104" s="33">
        <v>1</v>
      </c>
      <c r="K104" s="37">
        <f>5370</f>
        <v>5370</v>
      </c>
      <c r="L104" s="34" t="s">
        <v>48</v>
      </c>
      <c r="M104" s="37">
        <f>5780</f>
        <v>5780</v>
      </c>
      <c r="N104" s="34" t="s">
        <v>65</v>
      </c>
      <c r="O104" s="37">
        <f>4610</f>
        <v>4610</v>
      </c>
      <c r="P104" s="34" t="s">
        <v>309</v>
      </c>
      <c r="Q104" s="37">
        <f>5040</f>
        <v>5040</v>
      </c>
      <c r="R104" s="34" t="s">
        <v>51</v>
      </c>
      <c r="S104" s="36">
        <f>4962.63</f>
        <v>4962.63</v>
      </c>
      <c r="T104" s="33">
        <f>6427353</f>
        <v>6427353</v>
      </c>
      <c r="U104" s="33">
        <f>17783</f>
        <v>17783</v>
      </c>
      <c r="V104" s="33">
        <f>32622848111</f>
        <v>32622848111</v>
      </c>
      <c r="W104" s="33">
        <f>91934356</f>
        <v>91934356</v>
      </c>
      <c r="X104" s="35">
        <f>19</f>
        <v>19</v>
      </c>
    </row>
    <row r="105" spans="1:24">
      <c r="A105" s="29" t="s">
        <v>42</v>
      </c>
      <c r="B105" s="29" t="s">
        <v>358</v>
      </c>
      <c r="C105" s="29" t="s">
        <v>359</v>
      </c>
      <c r="D105" s="29" t="s">
        <v>360</v>
      </c>
      <c r="E105" s="30" t="s">
        <v>46</v>
      </c>
      <c r="F105" s="31" t="s">
        <v>46</v>
      </c>
      <c r="G105" s="32" t="s">
        <v>46</v>
      </c>
      <c r="H105" s="27"/>
      <c r="I105" s="27" t="s">
        <v>47</v>
      </c>
      <c r="J105" s="33">
        <v>10</v>
      </c>
      <c r="K105" s="37">
        <f>2256</f>
        <v>2256</v>
      </c>
      <c r="L105" s="34" t="s">
        <v>48</v>
      </c>
      <c r="M105" s="37">
        <f>2374</f>
        <v>2374</v>
      </c>
      <c r="N105" s="34" t="s">
        <v>72</v>
      </c>
      <c r="O105" s="37">
        <f>2235</f>
        <v>2235</v>
      </c>
      <c r="P105" s="34" t="s">
        <v>65</v>
      </c>
      <c r="Q105" s="37">
        <f>2315</f>
        <v>2315</v>
      </c>
      <c r="R105" s="34" t="s">
        <v>51</v>
      </c>
      <c r="S105" s="36">
        <f>2322.16</f>
        <v>2322.16</v>
      </c>
      <c r="T105" s="33">
        <f>69700</f>
        <v>69700</v>
      </c>
      <c r="U105" s="33" t="str">
        <f>"－"</f>
        <v>－</v>
      </c>
      <c r="V105" s="33">
        <f>160994530</f>
        <v>160994530</v>
      </c>
      <c r="W105" s="33" t="str">
        <f>"－"</f>
        <v>－</v>
      </c>
      <c r="X105" s="35">
        <f>19</f>
        <v>19</v>
      </c>
    </row>
    <row r="106" spans="1:24">
      <c r="A106" s="29" t="s">
        <v>42</v>
      </c>
      <c r="B106" s="29" t="s">
        <v>361</v>
      </c>
      <c r="C106" s="29" t="s">
        <v>362</v>
      </c>
      <c r="D106" s="29" t="s">
        <v>363</v>
      </c>
      <c r="E106" s="30" t="s">
        <v>46</v>
      </c>
      <c r="F106" s="31" t="s">
        <v>46</v>
      </c>
      <c r="G106" s="32" t="s">
        <v>46</v>
      </c>
      <c r="H106" s="27"/>
      <c r="I106" s="27" t="s">
        <v>47</v>
      </c>
      <c r="J106" s="33">
        <v>10</v>
      </c>
      <c r="K106" s="37">
        <f>1650</f>
        <v>1650</v>
      </c>
      <c r="L106" s="34" t="s">
        <v>48</v>
      </c>
      <c r="M106" s="37">
        <f>1708</f>
        <v>1708</v>
      </c>
      <c r="N106" s="34" t="s">
        <v>79</v>
      </c>
      <c r="O106" s="37">
        <f>1620</f>
        <v>1620</v>
      </c>
      <c r="P106" s="34" t="s">
        <v>65</v>
      </c>
      <c r="Q106" s="37">
        <f>1662</f>
        <v>1662</v>
      </c>
      <c r="R106" s="34" t="s">
        <v>51</v>
      </c>
      <c r="S106" s="36">
        <f>1672.63</f>
        <v>1672.63</v>
      </c>
      <c r="T106" s="33">
        <f>196470</f>
        <v>196470</v>
      </c>
      <c r="U106" s="33">
        <f>116000</f>
        <v>116000</v>
      </c>
      <c r="V106" s="33">
        <f>328049030</f>
        <v>328049030</v>
      </c>
      <c r="W106" s="33">
        <f>193871600</f>
        <v>193871600</v>
      </c>
      <c r="X106" s="35">
        <f>19</f>
        <v>19</v>
      </c>
    </row>
    <row r="107" spans="1:24">
      <c r="A107" s="29" t="s">
        <v>42</v>
      </c>
      <c r="B107" s="29" t="s">
        <v>364</v>
      </c>
      <c r="C107" s="29" t="s">
        <v>365</v>
      </c>
      <c r="D107" s="29" t="s">
        <v>366</v>
      </c>
      <c r="E107" s="30" t="s">
        <v>46</v>
      </c>
      <c r="F107" s="31" t="s">
        <v>46</v>
      </c>
      <c r="G107" s="32" t="s">
        <v>46</v>
      </c>
      <c r="H107" s="27"/>
      <c r="I107" s="27" t="s">
        <v>47</v>
      </c>
      <c r="J107" s="33">
        <v>1</v>
      </c>
      <c r="K107" s="37">
        <f>34800</f>
        <v>34800</v>
      </c>
      <c r="L107" s="34" t="s">
        <v>48</v>
      </c>
      <c r="M107" s="37">
        <f>36650</f>
        <v>36650</v>
      </c>
      <c r="N107" s="34" t="s">
        <v>309</v>
      </c>
      <c r="O107" s="37">
        <f>34200</f>
        <v>34200</v>
      </c>
      <c r="P107" s="34" t="s">
        <v>65</v>
      </c>
      <c r="Q107" s="37">
        <f>35800</f>
        <v>35800</v>
      </c>
      <c r="R107" s="34" t="s">
        <v>51</v>
      </c>
      <c r="S107" s="36">
        <f>35857.89</f>
        <v>35857.89</v>
      </c>
      <c r="T107" s="33">
        <f>123226</f>
        <v>123226</v>
      </c>
      <c r="U107" s="33" t="str">
        <f>"－"</f>
        <v>－</v>
      </c>
      <c r="V107" s="33">
        <f>4394462400</f>
        <v>4394462400</v>
      </c>
      <c r="W107" s="33" t="str">
        <f>"－"</f>
        <v>－</v>
      </c>
      <c r="X107" s="35">
        <f>19</f>
        <v>19</v>
      </c>
    </row>
    <row r="108" spans="1:24">
      <c r="A108" s="29" t="s">
        <v>42</v>
      </c>
      <c r="B108" s="29" t="s">
        <v>367</v>
      </c>
      <c r="C108" s="29" t="s">
        <v>368</v>
      </c>
      <c r="D108" s="29" t="s">
        <v>369</v>
      </c>
      <c r="E108" s="30" t="s">
        <v>46</v>
      </c>
      <c r="F108" s="31" t="s">
        <v>46</v>
      </c>
      <c r="G108" s="32" t="s">
        <v>46</v>
      </c>
      <c r="H108" s="27"/>
      <c r="I108" s="27" t="s">
        <v>47</v>
      </c>
      <c r="J108" s="33">
        <v>1</v>
      </c>
      <c r="K108" s="37">
        <f>3385</f>
        <v>3385</v>
      </c>
      <c r="L108" s="34" t="s">
        <v>48</v>
      </c>
      <c r="M108" s="37">
        <f>3385</f>
        <v>3385</v>
      </c>
      <c r="N108" s="34" t="s">
        <v>48</v>
      </c>
      <c r="O108" s="37">
        <f>3200</f>
        <v>3200</v>
      </c>
      <c r="P108" s="34" t="s">
        <v>51</v>
      </c>
      <c r="Q108" s="37">
        <f>3205</f>
        <v>3205</v>
      </c>
      <c r="R108" s="34" t="s">
        <v>51</v>
      </c>
      <c r="S108" s="36">
        <f>3330.53</f>
        <v>3330.53</v>
      </c>
      <c r="T108" s="33">
        <f>10569</f>
        <v>10569</v>
      </c>
      <c r="U108" s="33" t="str">
        <f>"－"</f>
        <v>－</v>
      </c>
      <c r="V108" s="33">
        <f>35472980</f>
        <v>35472980</v>
      </c>
      <c r="W108" s="33" t="str">
        <f>"－"</f>
        <v>－</v>
      </c>
      <c r="X108" s="35">
        <f>19</f>
        <v>19</v>
      </c>
    </row>
    <row r="109" spans="1:24">
      <c r="A109" s="29" t="s">
        <v>42</v>
      </c>
      <c r="B109" s="29" t="s">
        <v>370</v>
      </c>
      <c r="C109" s="29" t="s">
        <v>371</v>
      </c>
      <c r="D109" s="29" t="s">
        <v>372</v>
      </c>
      <c r="E109" s="30" t="s">
        <v>46</v>
      </c>
      <c r="F109" s="31" t="s">
        <v>46</v>
      </c>
      <c r="G109" s="32" t="s">
        <v>46</v>
      </c>
      <c r="H109" s="27"/>
      <c r="I109" s="27" t="s">
        <v>47</v>
      </c>
      <c r="J109" s="33">
        <v>1</v>
      </c>
      <c r="K109" s="37">
        <f>4000</f>
        <v>4000</v>
      </c>
      <c r="L109" s="34" t="s">
        <v>48</v>
      </c>
      <c r="M109" s="37">
        <f>4030</f>
        <v>4030</v>
      </c>
      <c r="N109" s="34" t="s">
        <v>49</v>
      </c>
      <c r="O109" s="37">
        <f>3920</f>
        <v>3920</v>
      </c>
      <c r="P109" s="34" t="s">
        <v>51</v>
      </c>
      <c r="Q109" s="37">
        <f>3975</f>
        <v>3975</v>
      </c>
      <c r="R109" s="34" t="s">
        <v>51</v>
      </c>
      <c r="S109" s="36">
        <f>3987.89</f>
        <v>3987.89</v>
      </c>
      <c r="T109" s="33">
        <f>3663</f>
        <v>3663</v>
      </c>
      <c r="U109" s="33" t="str">
        <f>"－"</f>
        <v>－</v>
      </c>
      <c r="V109" s="33">
        <f>14577850</f>
        <v>14577850</v>
      </c>
      <c r="W109" s="33" t="str">
        <f>"－"</f>
        <v>－</v>
      </c>
      <c r="X109" s="35">
        <f>19</f>
        <v>19</v>
      </c>
    </row>
    <row r="110" spans="1:24">
      <c r="A110" s="29" t="s">
        <v>42</v>
      </c>
      <c r="B110" s="29" t="s">
        <v>373</v>
      </c>
      <c r="C110" s="29" t="s">
        <v>374</v>
      </c>
      <c r="D110" s="29" t="s">
        <v>375</v>
      </c>
      <c r="E110" s="30" t="s">
        <v>46</v>
      </c>
      <c r="F110" s="31" t="s">
        <v>46</v>
      </c>
      <c r="G110" s="32" t="s">
        <v>46</v>
      </c>
      <c r="H110" s="27"/>
      <c r="I110" s="27" t="s">
        <v>47</v>
      </c>
      <c r="J110" s="33">
        <v>1</v>
      </c>
      <c r="K110" s="37">
        <f>2799</f>
        <v>2799</v>
      </c>
      <c r="L110" s="34" t="s">
        <v>48</v>
      </c>
      <c r="M110" s="37">
        <f>2799</f>
        <v>2799</v>
      </c>
      <c r="N110" s="34" t="s">
        <v>48</v>
      </c>
      <c r="O110" s="37">
        <f>2512</f>
        <v>2512</v>
      </c>
      <c r="P110" s="34" t="s">
        <v>50</v>
      </c>
      <c r="Q110" s="37">
        <f>2578</f>
        <v>2578</v>
      </c>
      <c r="R110" s="34" t="s">
        <v>51</v>
      </c>
      <c r="S110" s="36">
        <f>2700.05</f>
        <v>2700.05</v>
      </c>
      <c r="T110" s="33">
        <f>74349</f>
        <v>74349</v>
      </c>
      <c r="U110" s="33">
        <f>34</f>
        <v>34</v>
      </c>
      <c r="V110" s="33">
        <f>198685815</f>
        <v>198685815</v>
      </c>
      <c r="W110" s="33">
        <f>92310</f>
        <v>92310</v>
      </c>
      <c r="X110" s="35">
        <f>19</f>
        <v>19</v>
      </c>
    </row>
    <row r="111" spans="1:24">
      <c r="A111" s="29" t="s">
        <v>42</v>
      </c>
      <c r="B111" s="29" t="s">
        <v>376</v>
      </c>
      <c r="C111" s="29" t="s">
        <v>377</v>
      </c>
      <c r="D111" s="29" t="s">
        <v>378</v>
      </c>
      <c r="E111" s="30" t="s">
        <v>46</v>
      </c>
      <c r="F111" s="31" t="s">
        <v>46</v>
      </c>
      <c r="G111" s="32" t="s">
        <v>46</v>
      </c>
      <c r="H111" s="27"/>
      <c r="I111" s="27" t="s">
        <v>47</v>
      </c>
      <c r="J111" s="33">
        <v>1</v>
      </c>
      <c r="K111" s="37">
        <f>48000</f>
        <v>48000</v>
      </c>
      <c r="L111" s="34" t="s">
        <v>48</v>
      </c>
      <c r="M111" s="37">
        <f>48500</f>
        <v>48500</v>
      </c>
      <c r="N111" s="34" t="s">
        <v>79</v>
      </c>
      <c r="O111" s="37">
        <f>47500</f>
        <v>47500</v>
      </c>
      <c r="P111" s="34" t="s">
        <v>91</v>
      </c>
      <c r="Q111" s="37">
        <f>47800</f>
        <v>47800</v>
      </c>
      <c r="R111" s="34" t="s">
        <v>51</v>
      </c>
      <c r="S111" s="36">
        <f>48126.32</f>
        <v>48126.32</v>
      </c>
      <c r="T111" s="33">
        <f>32733</f>
        <v>32733</v>
      </c>
      <c r="U111" s="33">
        <f>11125</f>
        <v>11125</v>
      </c>
      <c r="V111" s="33">
        <f>1574970202</f>
        <v>1574970202</v>
      </c>
      <c r="W111" s="33">
        <f>535897102</f>
        <v>535897102</v>
      </c>
      <c r="X111" s="35">
        <f>19</f>
        <v>19</v>
      </c>
    </row>
    <row r="112" spans="1:24">
      <c r="A112" s="29" t="s">
        <v>42</v>
      </c>
      <c r="B112" s="29" t="s">
        <v>379</v>
      </c>
      <c r="C112" s="29" t="s">
        <v>380</v>
      </c>
      <c r="D112" s="29" t="s">
        <v>381</v>
      </c>
      <c r="E112" s="30" t="s">
        <v>46</v>
      </c>
      <c r="F112" s="31" t="s">
        <v>46</v>
      </c>
      <c r="G112" s="32" t="s">
        <v>46</v>
      </c>
      <c r="H112" s="27"/>
      <c r="I112" s="27" t="s">
        <v>47</v>
      </c>
      <c r="J112" s="33">
        <v>10</v>
      </c>
      <c r="K112" s="37">
        <f>1260</f>
        <v>1260</v>
      </c>
      <c r="L112" s="34" t="s">
        <v>65</v>
      </c>
      <c r="M112" s="37">
        <f>1404</f>
        <v>1404</v>
      </c>
      <c r="N112" s="34" t="s">
        <v>72</v>
      </c>
      <c r="O112" s="37">
        <f>1184</f>
        <v>1184</v>
      </c>
      <c r="P112" s="34" t="s">
        <v>99</v>
      </c>
      <c r="Q112" s="37">
        <f>1300</f>
        <v>1300</v>
      </c>
      <c r="R112" s="34" t="s">
        <v>50</v>
      </c>
      <c r="S112" s="36">
        <f>1284.56</f>
        <v>1284.56</v>
      </c>
      <c r="T112" s="33">
        <f>650</f>
        <v>650</v>
      </c>
      <c r="U112" s="33" t="str">
        <f>"－"</f>
        <v>－</v>
      </c>
      <c r="V112" s="33">
        <f>838420</f>
        <v>838420</v>
      </c>
      <c r="W112" s="33" t="str">
        <f>"－"</f>
        <v>－</v>
      </c>
      <c r="X112" s="35">
        <f>9</f>
        <v>9</v>
      </c>
    </row>
    <row r="113" spans="1:24">
      <c r="A113" s="29" t="s">
        <v>42</v>
      </c>
      <c r="B113" s="29" t="s">
        <v>382</v>
      </c>
      <c r="C113" s="29" t="s">
        <v>383</v>
      </c>
      <c r="D113" s="29" t="s">
        <v>384</v>
      </c>
      <c r="E113" s="30" t="s">
        <v>46</v>
      </c>
      <c r="F113" s="31" t="s">
        <v>46</v>
      </c>
      <c r="G113" s="32" t="s">
        <v>46</v>
      </c>
      <c r="H113" s="27"/>
      <c r="I113" s="27" t="s">
        <v>47</v>
      </c>
      <c r="J113" s="33">
        <v>10</v>
      </c>
      <c r="K113" s="37">
        <f>18510</f>
        <v>18510</v>
      </c>
      <c r="L113" s="34" t="s">
        <v>48</v>
      </c>
      <c r="M113" s="37">
        <f>19450</f>
        <v>19450</v>
      </c>
      <c r="N113" s="34" t="s">
        <v>49</v>
      </c>
      <c r="O113" s="37">
        <f>17700</f>
        <v>17700</v>
      </c>
      <c r="P113" s="34" t="s">
        <v>50</v>
      </c>
      <c r="Q113" s="37">
        <f>18070</f>
        <v>18070</v>
      </c>
      <c r="R113" s="34" t="s">
        <v>51</v>
      </c>
      <c r="S113" s="36">
        <f>18839.47</f>
        <v>18839.47</v>
      </c>
      <c r="T113" s="33">
        <f>2042430</f>
        <v>2042430</v>
      </c>
      <c r="U113" s="33">
        <f>2650</f>
        <v>2650</v>
      </c>
      <c r="V113" s="33">
        <f>38229286766</f>
        <v>38229286766</v>
      </c>
      <c r="W113" s="33">
        <f>49538066</f>
        <v>49538066</v>
      </c>
      <c r="X113" s="35">
        <f>19</f>
        <v>19</v>
      </c>
    </row>
    <row r="114" spans="1:24">
      <c r="A114" s="29" t="s">
        <v>42</v>
      </c>
      <c r="B114" s="29" t="s">
        <v>385</v>
      </c>
      <c r="C114" s="29" t="s">
        <v>386</v>
      </c>
      <c r="D114" s="29" t="s">
        <v>387</v>
      </c>
      <c r="E114" s="30" t="s">
        <v>46</v>
      </c>
      <c r="F114" s="31" t="s">
        <v>46</v>
      </c>
      <c r="G114" s="32" t="s">
        <v>46</v>
      </c>
      <c r="H114" s="27"/>
      <c r="I114" s="27" t="s">
        <v>47</v>
      </c>
      <c r="J114" s="33">
        <v>10</v>
      </c>
      <c r="K114" s="37">
        <f>2902</f>
        <v>2902</v>
      </c>
      <c r="L114" s="34" t="s">
        <v>48</v>
      </c>
      <c r="M114" s="37">
        <f>2947</f>
        <v>2947</v>
      </c>
      <c r="N114" s="34" t="s">
        <v>50</v>
      </c>
      <c r="O114" s="37">
        <f>2816</f>
        <v>2816</v>
      </c>
      <c r="P114" s="34" t="s">
        <v>49</v>
      </c>
      <c r="Q114" s="37">
        <f>2918</f>
        <v>2918</v>
      </c>
      <c r="R114" s="34" t="s">
        <v>51</v>
      </c>
      <c r="S114" s="36">
        <f>2861.53</f>
        <v>2861.53</v>
      </c>
      <c r="T114" s="33">
        <f>269940</f>
        <v>269940</v>
      </c>
      <c r="U114" s="33">
        <f>390</f>
        <v>390</v>
      </c>
      <c r="V114" s="33">
        <f>778278110</f>
        <v>778278110</v>
      </c>
      <c r="W114" s="33">
        <f>1130710</f>
        <v>1130710</v>
      </c>
      <c r="X114" s="35">
        <f>19</f>
        <v>19</v>
      </c>
    </row>
    <row r="115" spans="1:24">
      <c r="A115" s="29" t="s">
        <v>42</v>
      </c>
      <c r="B115" s="29" t="s">
        <v>388</v>
      </c>
      <c r="C115" s="29" t="s">
        <v>389</v>
      </c>
      <c r="D115" s="29" t="s">
        <v>390</v>
      </c>
      <c r="E115" s="30" t="s">
        <v>46</v>
      </c>
      <c r="F115" s="31" t="s">
        <v>46</v>
      </c>
      <c r="G115" s="32" t="s">
        <v>46</v>
      </c>
      <c r="H115" s="27"/>
      <c r="I115" s="27" t="s">
        <v>47</v>
      </c>
      <c r="J115" s="33">
        <v>1</v>
      </c>
      <c r="K115" s="37">
        <f>21660</f>
        <v>21660</v>
      </c>
      <c r="L115" s="34" t="s">
        <v>48</v>
      </c>
      <c r="M115" s="37">
        <f>23240</f>
        <v>23240</v>
      </c>
      <c r="N115" s="34" t="s">
        <v>79</v>
      </c>
      <c r="O115" s="37">
        <f>20890</f>
        <v>20890</v>
      </c>
      <c r="P115" s="34" t="s">
        <v>50</v>
      </c>
      <c r="Q115" s="37">
        <f>21460</f>
        <v>21460</v>
      </c>
      <c r="R115" s="34" t="s">
        <v>51</v>
      </c>
      <c r="S115" s="36">
        <f>22317.37</f>
        <v>22317.37</v>
      </c>
      <c r="T115" s="33">
        <f>102806055</f>
        <v>102806055</v>
      </c>
      <c r="U115" s="33">
        <f>857757</f>
        <v>857757</v>
      </c>
      <c r="V115" s="33">
        <f>2270770886308</f>
        <v>2270770886308</v>
      </c>
      <c r="W115" s="33">
        <f>18943350388</f>
        <v>18943350388</v>
      </c>
      <c r="X115" s="35">
        <f>19</f>
        <v>19</v>
      </c>
    </row>
    <row r="116" spans="1:24">
      <c r="A116" s="29" t="s">
        <v>42</v>
      </c>
      <c r="B116" s="29" t="s">
        <v>391</v>
      </c>
      <c r="C116" s="29" t="s">
        <v>392</v>
      </c>
      <c r="D116" s="29" t="s">
        <v>393</v>
      </c>
      <c r="E116" s="30" t="s">
        <v>46</v>
      </c>
      <c r="F116" s="31" t="s">
        <v>46</v>
      </c>
      <c r="G116" s="32" t="s">
        <v>46</v>
      </c>
      <c r="H116" s="27"/>
      <c r="I116" s="27" t="s">
        <v>47</v>
      </c>
      <c r="J116" s="33">
        <v>1</v>
      </c>
      <c r="K116" s="37">
        <f>1431</f>
        <v>1431</v>
      </c>
      <c r="L116" s="34" t="s">
        <v>48</v>
      </c>
      <c r="M116" s="37">
        <f>1449</f>
        <v>1449</v>
      </c>
      <c r="N116" s="34" t="s">
        <v>65</v>
      </c>
      <c r="O116" s="37">
        <f>1378</f>
        <v>1378</v>
      </c>
      <c r="P116" s="34" t="s">
        <v>79</v>
      </c>
      <c r="Q116" s="37">
        <f>1432</f>
        <v>1432</v>
      </c>
      <c r="R116" s="34" t="s">
        <v>51</v>
      </c>
      <c r="S116" s="36">
        <f>1406.05</f>
        <v>1406.05</v>
      </c>
      <c r="T116" s="33">
        <f>15621716</f>
        <v>15621716</v>
      </c>
      <c r="U116" s="33">
        <f>1125861</f>
        <v>1125861</v>
      </c>
      <c r="V116" s="33">
        <f>22161418656</f>
        <v>22161418656</v>
      </c>
      <c r="W116" s="33">
        <f>1582846567</f>
        <v>1582846567</v>
      </c>
      <c r="X116" s="35">
        <f>19</f>
        <v>19</v>
      </c>
    </row>
    <row r="117" spans="1:24">
      <c r="A117" s="29" t="s">
        <v>42</v>
      </c>
      <c r="B117" s="29" t="s">
        <v>394</v>
      </c>
      <c r="C117" s="29" t="s">
        <v>395</v>
      </c>
      <c r="D117" s="29" t="s">
        <v>396</v>
      </c>
      <c r="E117" s="30" t="s">
        <v>46</v>
      </c>
      <c r="F117" s="31" t="s">
        <v>46</v>
      </c>
      <c r="G117" s="32" t="s">
        <v>46</v>
      </c>
      <c r="H117" s="27"/>
      <c r="I117" s="27" t="s">
        <v>47</v>
      </c>
      <c r="J117" s="33">
        <v>10</v>
      </c>
      <c r="K117" s="37">
        <f>12510</f>
        <v>12510</v>
      </c>
      <c r="L117" s="34" t="s">
        <v>48</v>
      </c>
      <c r="M117" s="37">
        <f>13400</f>
        <v>13400</v>
      </c>
      <c r="N117" s="34" t="s">
        <v>49</v>
      </c>
      <c r="O117" s="37">
        <f>10700</f>
        <v>10700</v>
      </c>
      <c r="P117" s="34" t="s">
        <v>51</v>
      </c>
      <c r="Q117" s="37">
        <f>11000</f>
        <v>11000</v>
      </c>
      <c r="R117" s="34" t="s">
        <v>51</v>
      </c>
      <c r="S117" s="36">
        <f>12300</f>
        <v>12300</v>
      </c>
      <c r="T117" s="33">
        <f>13300</f>
        <v>13300</v>
      </c>
      <c r="U117" s="33">
        <f>10</f>
        <v>10</v>
      </c>
      <c r="V117" s="33">
        <f>159498100</f>
        <v>159498100</v>
      </c>
      <c r="W117" s="33">
        <f>111900</f>
        <v>111900</v>
      </c>
      <c r="X117" s="35">
        <f>19</f>
        <v>19</v>
      </c>
    </row>
    <row r="118" spans="1:24">
      <c r="A118" s="29" t="s">
        <v>42</v>
      </c>
      <c r="B118" s="29" t="s">
        <v>397</v>
      </c>
      <c r="C118" s="29" t="s">
        <v>398</v>
      </c>
      <c r="D118" s="29" t="s">
        <v>399</v>
      </c>
      <c r="E118" s="30" t="s">
        <v>46</v>
      </c>
      <c r="F118" s="31" t="s">
        <v>46</v>
      </c>
      <c r="G118" s="32" t="s">
        <v>46</v>
      </c>
      <c r="H118" s="27"/>
      <c r="I118" s="27" t="s">
        <v>47</v>
      </c>
      <c r="J118" s="33">
        <v>10</v>
      </c>
      <c r="K118" s="37">
        <f>7300</f>
        <v>7300</v>
      </c>
      <c r="L118" s="34" t="s">
        <v>48</v>
      </c>
      <c r="M118" s="37">
        <f>9780</f>
        <v>9780</v>
      </c>
      <c r="N118" s="34" t="s">
        <v>51</v>
      </c>
      <c r="O118" s="37">
        <f>7170</f>
        <v>7170</v>
      </c>
      <c r="P118" s="34" t="s">
        <v>90</v>
      </c>
      <c r="Q118" s="37">
        <f>8910</f>
        <v>8910</v>
      </c>
      <c r="R118" s="34" t="s">
        <v>51</v>
      </c>
      <c r="S118" s="36">
        <f>7654.21</f>
        <v>7654.21</v>
      </c>
      <c r="T118" s="33">
        <f>55950</f>
        <v>55950</v>
      </c>
      <c r="U118" s="33" t="str">
        <f>"－"</f>
        <v>－</v>
      </c>
      <c r="V118" s="33">
        <f>471567900</f>
        <v>471567900</v>
      </c>
      <c r="W118" s="33" t="str">
        <f>"－"</f>
        <v>－</v>
      </c>
      <c r="X118" s="35">
        <f>19</f>
        <v>19</v>
      </c>
    </row>
    <row r="119" spans="1:24">
      <c r="A119" s="29" t="s">
        <v>42</v>
      </c>
      <c r="B119" s="29" t="s">
        <v>400</v>
      </c>
      <c r="C119" s="29" t="s">
        <v>401</v>
      </c>
      <c r="D119" s="29" t="s">
        <v>402</v>
      </c>
      <c r="E119" s="30" t="s">
        <v>46</v>
      </c>
      <c r="F119" s="31" t="s">
        <v>46</v>
      </c>
      <c r="G119" s="32" t="s">
        <v>46</v>
      </c>
      <c r="H119" s="27"/>
      <c r="I119" s="27" t="s">
        <v>47</v>
      </c>
      <c r="J119" s="33">
        <v>10</v>
      </c>
      <c r="K119" s="37">
        <f>1626</f>
        <v>1626</v>
      </c>
      <c r="L119" s="34" t="s">
        <v>50</v>
      </c>
      <c r="M119" s="37">
        <f>1626</f>
        <v>1626</v>
      </c>
      <c r="N119" s="34" t="s">
        <v>50</v>
      </c>
      <c r="O119" s="37">
        <f>1626</f>
        <v>1626</v>
      </c>
      <c r="P119" s="34" t="s">
        <v>50</v>
      </c>
      <c r="Q119" s="37">
        <f>1626</f>
        <v>1626</v>
      </c>
      <c r="R119" s="34" t="s">
        <v>50</v>
      </c>
      <c r="S119" s="36">
        <f>1626</f>
        <v>1626</v>
      </c>
      <c r="T119" s="33">
        <f>10</f>
        <v>10</v>
      </c>
      <c r="U119" s="33" t="str">
        <f>"－"</f>
        <v>－</v>
      </c>
      <c r="V119" s="33">
        <f>16260</f>
        <v>16260</v>
      </c>
      <c r="W119" s="33" t="str">
        <f>"－"</f>
        <v>－</v>
      </c>
      <c r="X119" s="35">
        <f>1</f>
        <v>1</v>
      </c>
    </row>
    <row r="120" spans="1:24">
      <c r="A120" s="29" t="s">
        <v>42</v>
      </c>
      <c r="B120" s="29" t="s">
        <v>403</v>
      </c>
      <c r="C120" s="29" t="s">
        <v>404</v>
      </c>
      <c r="D120" s="29" t="s">
        <v>405</v>
      </c>
      <c r="E120" s="30" t="s">
        <v>46</v>
      </c>
      <c r="F120" s="31" t="s">
        <v>46</v>
      </c>
      <c r="G120" s="32" t="s">
        <v>46</v>
      </c>
      <c r="H120" s="27"/>
      <c r="I120" s="27" t="s">
        <v>47</v>
      </c>
      <c r="J120" s="33">
        <v>10</v>
      </c>
      <c r="K120" s="37">
        <f>651</f>
        <v>651</v>
      </c>
      <c r="L120" s="34" t="s">
        <v>48</v>
      </c>
      <c r="M120" s="37">
        <f>686</f>
        <v>686</v>
      </c>
      <c r="N120" s="34" t="s">
        <v>90</v>
      </c>
      <c r="O120" s="37">
        <f>592</f>
        <v>592</v>
      </c>
      <c r="P120" s="34" t="s">
        <v>51</v>
      </c>
      <c r="Q120" s="37">
        <f>599</f>
        <v>599</v>
      </c>
      <c r="R120" s="34" t="s">
        <v>51</v>
      </c>
      <c r="S120" s="36">
        <f>650.58</f>
        <v>650.58000000000004</v>
      </c>
      <c r="T120" s="33">
        <f>18970</f>
        <v>18970</v>
      </c>
      <c r="U120" s="33" t="str">
        <f>"－"</f>
        <v>－</v>
      </c>
      <c r="V120" s="33">
        <f>12006050</f>
        <v>12006050</v>
      </c>
      <c r="W120" s="33" t="str">
        <f>"－"</f>
        <v>－</v>
      </c>
      <c r="X120" s="35">
        <f>19</f>
        <v>19</v>
      </c>
    </row>
    <row r="121" spans="1:24">
      <c r="A121" s="29" t="s">
        <v>42</v>
      </c>
      <c r="B121" s="29" t="s">
        <v>406</v>
      </c>
      <c r="C121" s="29" t="s">
        <v>407</v>
      </c>
      <c r="D121" s="29" t="s">
        <v>408</v>
      </c>
      <c r="E121" s="30" t="s">
        <v>46</v>
      </c>
      <c r="F121" s="31" t="s">
        <v>46</v>
      </c>
      <c r="G121" s="32" t="s">
        <v>46</v>
      </c>
      <c r="H121" s="27"/>
      <c r="I121" s="27" t="s">
        <v>47</v>
      </c>
      <c r="J121" s="33">
        <v>10</v>
      </c>
      <c r="K121" s="37">
        <f>668</f>
        <v>668</v>
      </c>
      <c r="L121" s="34" t="s">
        <v>48</v>
      </c>
      <c r="M121" s="37">
        <f>680</f>
        <v>680</v>
      </c>
      <c r="N121" s="34" t="s">
        <v>90</v>
      </c>
      <c r="O121" s="37">
        <f>574</f>
        <v>574</v>
      </c>
      <c r="P121" s="34" t="s">
        <v>95</v>
      </c>
      <c r="Q121" s="37">
        <f>578</f>
        <v>578</v>
      </c>
      <c r="R121" s="34" t="s">
        <v>51</v>
      </c>
      <c r="S121" s="36">
        <f>631.39</f>
        <v>631.39</v>
      </c>
      <c r="T121" s="33">
        <f>3840</f>
        <v>3840</v>
      </c>
      <c r="U121" s="33" t="str">
        <f>"－"</f>
        <v>－</v>
      </c>
      <c r="V121" s="33">
        <f>2393150</f>
        <v>2393150</v>
      </c>
      <c r="W121" s="33" t="str">
        <f>"－"</f>
        <v>－</v>
      </c>
      <c r="X121" s="35">
        <f>18</f>
        <v>18</v>
      </c>
    </row>
    <row r="122" spans="1:24">
      <c r="A122" s="29" t="s">
        <v>42</v>
      </c>
      <c r="B122" s="29" t="s">
        <v>409</v>
      </c>
      <c r="C122" s="29" t="s">
        <v>410</v>
      </c>
      <c r="D122" s="29" t="s">
        <v>411</v>
      </c>
      <c r="E122" s="30" t="s">
        <v>46</v>
      </c>
      <c r="F122" s="31" t="s">
        <v>46</v>
      </c>
      <c r="G122" s="32" t="s">
        <v>46</v>
      </c>
      <c r="H122" s="27"/>
      <c r="I122" s="27" t="s">
        <v>47</v>
      </c>
      <c r="J122" s="33">
        <v>1</v>
      </c>
      <c r="K122" s="37">
        <f>22780</f>
        <v>22780</v>
      </c>
      <c r="L122" s="34" t="s">
        <v>48</v>
      </c>
      <c r="M122" s="37">
        <f>23230</f>
        <v>23230</v>
      </c>
      <c r="N122" s="34" t="s">
        <v>49</v>
      </c>
      <c r="O122" s="37">
        <f>22120</f>
        <v>22120</v>
      </c>
      <c r="P122" s="34" t="s">
        <v>50</v>
      </c>
      <c r="Q122" s="37">
        <f>22350</f>
        <v>22350</v>
      </c>
      <c r="R122" s="34" t="s">
        <v>51</v>
      </c>
      <c r="S122" s="36">
        <f>22794.74</f>
        <v>22794.74</v>
      </c>
      <c r="T122" s="33">
        <f>41847</f>
        <v>41847</v>
      </c>
      <c r="U122" s="33">
        <f>317</f>
        <v>317</v>
      </c>
      <c r="V122" s="33">
        <f>944854870</f>
        <v>944854870</v>
      </c>
      <c r="W122" s="33">
        <f>7277840</f>
        <v>7277840</v>
      </c>
      <c r="X122" s="35">
        <f>19</f>
        <v>19</v>
      </c>
    </row>
    <row r="123" spans="1:24">
      <c r="A123" s="29" t="s">
        <v>42</v>
      </c>
      <c r="B123" s="29" t="s">
        <v>412</v>
      </c>
      <c r="C123" s="29" t="s">
        <v>413</v>
      </c>
      <c r="D123" s="29" t="s">
        <v>414</v>
      </c>
      <c r="E123" s="30" t="s">
        <v>46</v>
      </c>
      <c r="F123" s="31" t="s">
        <v>46</v>
      </c>
      <c r="G123" s="32" t="s">
        <v>46</v>
      </c>
      <c r="H123" s="27"/>
      <c r="I123" s="27" t="s">
        <v>47</v>
      </c>
      <c r="J123" s="33">
        <v>1</v>
      </c>
      <c r="K123" s="37">
        <f>1884</f>
        <v>1884</v>
      </c>
      <c r="L123" s="34" t="s">
        <v>48</v>
      </c>
      <c r="M123" s="37">
        <f>1928</f>
        <v>1928</v>
      </c>
      <c r="N123" s="34" t="s">
        <v>49</v>
      </c>
      <c r="O123" s="37">
        <f>1825</f>
        <v>1825</v>
      </c>
      <c r="P123" s="34" t="s">
        <v>50</v>
      </c>
      <c r="Q123" s="37">
        <f>1851</f>
        <v>1851</v>
      </c>
      <c r="R123" s="34" t="s">
        <v>51</v>
      </c>
      <c r="S123" s="36">
        <f>1886.58</f>
        <v>1886.58</v>
      </c>
      <c r="T123" s="33">
        <f>12953</f>
        <v>12953</v>
      </c>
      <c r="U123" s="33" t="str">
        <f>"－"</f>
        <v>－</v>
      </c>
      <c r="V123" s="33">
        <f>24359884</f>
        <v>24359884</v>
      </c>
      <c r="W123" s="33" t="str">
        <f>"－"</f>
        <v>－</v>
      </c>
      <c r="X123" s="35">
        <f>19</f>
        <v>19</v>
      </c>
    </row>
    <row r="124" spans="1:24">
      <c r="A124" s="29" t="s">
        <v>42</v>
      </c>
      <c r="B124" s="29" t="s">
        <v>415</v>
      </c>
      <c r="C124" s="29" t="s">
        <v>416</v>
      </c>
      <c r="D124" s="29" t="s">
        <v>417</v>
      </c>
      <c r="E124" s="30" t="s">
        <v>46</v>
      </c>
      <c r="F124" s="31" t="s">
        <v>46</v>
      </c>
      <c r="G124" s="32" t="s">
        <v>46</v>
      </c>
      <c r="H124" s="27"/>
      <c r="I124" s="27" t="s">
        <v>47</v>
      </c>
      <c r="J124" s="33">
        <v>10</v>
      </c>
      <c r="K124" s="37">
        <f>22880</f>
        <v>22880</v>
      </c>
      <c r="L124" s="34" t="s">
        <v>48</v>
      </c>
      <c r="M124" s="37">
        <f>24570</f>
        <v>24570</v>
      </c>
      <c r="N124" s="34" t="s">
        <v>79</v>
      </c>
      <c r="O124" s="37">
        <f>22090</f>
        <v>22090</v>
      </c>
      <c r="P124" s="34" t="s">
        <v>50</v>
      </c>
      <c r="Q124" s="37">
        <f>22690</f>
        <v>22690</v>
      </c>
      <c r="R124" s="34" t="s">
        <v>51</v>
      </c>
      <c r="S124" s="36">
        <f>23596.32</f>
        <v>23596.32</v>
      </c>
      <c r="T124" s="33">
        <f>5017360</f>
        <v>5017360</v>
      </c>
      <c r="U124" s="33">
        <f>12820</f>
        <v>12820</v>
      </c>
      <c r="V124" s="33">
        <f>116624838685</f>
        <v>116624838685</v>
      </c>
      <c r="W124" s="33">
        <f>293525585</f>
        <v>293525585</v>
      </c>
      <c r="X124" s="35">
        <f>19</f>
        <v>19</v>
      </c>
    </row>
    <row r="125" spans="1:24">
      <c r="A125" s="29" t="s">
        <v>42</v>
      </c>
      <c r="B125" s="29" t="s">
        <v>418</v>
      </c>
      <c r="C125" s="29" t="s">
        <v>419</v>
      </c>
      <c r="D125" s="29" t="s">
        <v>420</v>
      </c>
      <c r="E125" s="30" t="s">
        <v>46</v>
      </c>
      <c r="F125" s="31" t="s">
        <v>46</v>
      </c>
      <c r="G125" s="32" t="s">
        <v>46</v>
      </c>
      <c r="H125" s="27"/>
      <c r="I125" s="27" t="s">
        <v>47</v>
      </c>
      <c r="J125" s="33">
        <v>10</v>
      </c>
      <c r="K125" s="37">
        <f>3820</f>
        <v>3820</v>
      </c>
      <c r="L125" s="34" t="s">
        <v>48</v>
      </c>
      <c r="M125" s="37">
        <f>3875</f>
        <v>3875</v>
      </c>
      <c r="N125" s="34" t="s">
        <v>65</v>
      </c>
      <c r="O125" s="37">
        <f>3685</f>
        <v>3685</v>
      </c>
      <c r="P125" s="34" t="s">
        <v>79</v>
      </c>
      <c r="Q125" s="37">
        <f>3820</f>
        <v>3820</v>
      </c>
      <c r="R125" s="34" t="s">
        <v>51</v>
      </c>
      <c r="S125" s="36">
        <f>3757.89</f>
        <v>3757.89</v>
      </c>
      <c r="T125" s="33">
        <f>3212450</f>
        <v>3212450</v>
      </c>
      <c r="U125" s="33">
        <f>8400</f>
        <v>8400</v>
      </c>
      <c r="V125" s="33">
        <f>12231354134</f>
        <v>12231354134</v>
      </c>
      <c r="W125" s="33">
        <f>31059084</f>
        <v>31059084</v>
      </c>
      <c r="X125" s="35">
        <f>19</f>
        <v>19</v>
      </c>
    </row>
    <row r="126" spans="1:24">
      <c r="A126" s="29" t="s">
        <v>42</v>
      </c>
      <c r="B126" s="29" t="s">
        <v>421</v>
      </c>
      <c r="C126" s="29" t="s">
        <v>422</v>
      </c>
      <c r="D126" s="29" t="s">
        <v>423</v>
      </c>
      <c r="E126" s="30" t="s">
        <v>46</v>
      </c>
      <c r="F126" s="31" t="s">
        <v>46</v>
      </c>
      <c r="G126" s="32" t="s">
        <v>46</v>
      </c>
      <c r="H126" s="27"/>
      <c r="I126" s="27" t="s">
        <v>47</v>
      </c>
      <c r="J126" s="33">
        <v>10</v>
      </c>
      <c r="K126" s="37">
        <f>651</f>
        <v>651</v>
      </c>
      <c r="L126" s="34" t="s">
        <v>48</v>
      </c>
      <c r="M126" s="37">
        <f>750</f>
        <v>750</v>
      </c>
      <c r="N126" s="34" t="s">
        <v>119</v>
      </c>
      <c r="O126" s="37">
        <f>635</f>
        <v>635</v>
      </c>
      <c r="P126" s="34" t="s">
        <v>100</v>
      </c>
      <c r="Q126" s="37">
        <f>664</f>
        <v>664</v>
      </c>
      <c r="R126" s="34" t="s">
        <v>51</v>
      </c>
      <c r="S126" s="36">
        <f>684.53</f>
        <v>684.53</v>
      </c>
      <c r="T126" s="33">
        <f>13030</f>
        <v>13030</v>
      </c>
      <c r="U126" s="33" t="str">
        <f>"－"</f>
        <v>－</v>
      </c>
      <c r="V126" s="33">
        <f>9179770</f>
        <v>9179770</v>
      </c>
      <c r="W126" s="33" t="str">
        <f>"－"</f>
        <v>－</v>
      </c>
      <c r="X126" s="35">
        <f>17</f>
        <v>17</v>
      </c>
    </row>
    <row r="127" spans="1:24">
      <c r="A127" s="29" t="s">
        <v>42</v>
      </c>
      <c r="B127" s="29" t="s">
        <v>424</v>
      </c>
      <c r="C127" s="29" t="s">
        <v>425</v>
      </c>
      <c r="D127" s="29" t="s">
        <v>426</v>
      </c>
      <c r="E127" s="30" t="s">
        <v>46</v>
      </c>
      <c r="F127" s="31" t="s">
        <v>46</v>
      </c>
      <c r="G127" s="32" t="s">
        <v>46</v>
      </c>
      <c r="H127" s="27"/>
      <c r="I127" s="27" t="s">
        <v>47</v>
      </c>
      <c r="J127" s="33">
        <v>10</v>
      </c>
      <c r="K127" s="37">
        <f>1335</f>
        <v>1335</v>
      </c>
      <c r="L127" s="34" t="s">
        <v>65</v>
      </c>
      <c r="M127" s="37">
        <f>1357</f>
        <v>1357</v>
      </c>
      <c r="N127" s="34" t="s">
        <v>49</v>
      </c>
      <c r="O127" s="37">
        <f>1282</f>
        <v>1282</v>
      </c>
      <c r="P127" s="34" t="s">
        <v>50</v>
      </c>
      <c r="Q127" s="37">
        <f>1317</f>
        <v>1317</v>
      </c>
      <c r="R127" s="34" t="s">
        <v>51</v>
      </c>
      <c r="S127" s="36">
        <f>1322.67</f>
        <v>1322.67</v>
      </c>
      <c r="T127" s="33">
        <f>2260</f>
        <v>2260</v>
      </c>
      <c r="U127" s="33" t="str">
        <f>"－"</f>
        <v>－</v>
      </c>
      <c r="V127" s="33">
        <f>2985930</f>
        <v>2985930</v>
      </c>
      <c r="W127" s="33" t="str">
        <f>"－"</f>
        <v>－</v>
      </c>
      <c r="X127" s="35">
        <f>9</f>
        <v>9</v>
      </c>
    </row>
    <row r="128" spans="1:24">
      <c r="A128" s="29" t="s">
        <v>42</v>
      </c>
      <c r="B128" s="29" t="s">
        <v>427</v>
      </c>
      <c r="C128" s="29" t="s">
        <v>428</v>
      </c>
      <c r="D128" s="29" t="s">
        <v>429</v>
      </c>
      <c r="E128" s="30" t="s">
        <v>46</v>
      </c>
      <c r="F128" s="31" t="s">
        <v>46</v>
      </c>
      <c r="G128" s="32" t="s">
        <v>46</v>
      </c>
      <c r="H128" s="27"/>
      <c r="I128" s="27" t="s">
        <v>47</v>
      </c>
      <c r="J128" s="33">
        <v>1</v>
      </c>
      <c r="K128" s="37">
        <f>1502</f>
        <v>1502</v>
      </c>
      <c r="L128" s="34" t="s">
        <v>48</v>
      </c>
      <c r="M128" s="37">
        <f>1531</f>
        <v>1531</v>
      </c>
      <c r="N128" s="34" t="s">
        <v>150</v>
      </c>
      <c r="O128" s="37">
        <f>1464</f>
        <v>1464</v>
      </c>
      <c r="P128" s="34" t="s">
        <v>65</v>
      </c>
      <c r="Q128" s="37">
        <f>1481</f>
        <v>1481</v>
      </c>
      <c r="R128" s="34" t="s">
        <v>51</v>
      </c>
      <c r="S128" s="36">
        <f>1506.47</f>
        <v>1506.47</v>
      </c>
      <c r="T128" s="33">
        <f>61560</f>
        <v>61560</v>
      </c>
      <c r="U128" s="33" t="str">
        <f>"－"</f>
        <v>－</v>
      </c>
      <c r="V128" s="33">
        <f>93660083</f>
        <v>93660083</v>
      </c>
      <c r="W128" s="33" t="str">
        <f>"－"</f>
        <v>－</v>
      </c>
      <c r="X128" s="35">
        <f>19</f>
        <v>19</v>
      </c>
    </row>
    <row r="129" spans="1:24">
      <c r="A129" s="29" t="s">
        <v>42</v>
      </c>
      <c r="B129" s="29" t="s">
        <v>430</v>
      </c>
      <c r="C129" s="29" t="s">
        <v>431</v>
      </c>
      <c r="D129" s="29" t="s">
        <v>432</v>
      </c>
      <c r="E129" s="30" t="s">
        <v>46</v>
      </c>
      <c r="F129" s="31" t="s">
        <v>46</v>
      </c>
      <c r="G129" s="32" t="s">
        <v>46</v>
      </c>
      <c r="H129" s="27"/>
      <c r="I129" s="27" t="s">
        <v>47</v>
      </c>
      <c r="J129" s="33">
        <v>1</v>
      </c>
      <c r="K129" s="37">
        <f>15200</f>
        <v>15200</v>
      </c>
      <c r="L129" s="34" t="s">
        <v>48</v>
      </c>
      <c r="M129" s="37">
        <f>15680</f>
        <v>15680</v>
      </c>
      <c r="N129" s="34" t="s">
        <v>49</v>
      </c>
      <c r="O129" s="37">
        <f>15000</f>
        <v>15000</v>
      </c>
      <c r="P129" s="34" t="s">
        <v>50</v>
      </c>
      <c r="Q129" s="37">
        <f>15150</f>
        <v>15150</v>
      </c>
      <c r="R129" s="34" t="s">
        <v>51</v>
      </c>
      <c r="S129" s="36">
        <f>15437.89</f>
        <v>15437.89</v>
      </c>
      <c r="T129" s="33">
        <f>78301</f>
        <v>78301</v>
      </c>
      <c r="U129" s="33">
        <f>30052</f>
        <v>30052</v>
      </c>
      <c r="V129" s="33">
        <f>1199928740</f>
        <v>1199928740</v>
      </c>
      <c r="W129" s="33">
        <f>460184460</f>
        <v>460184460</v>
      </c>
      <c r="X129" s="35">
        <f>19</f>
        <v>19</v>
      </c>
    </row>
    <row r="130" spans="1:24">
      <c r="A130" s="29" t="s">
        <v>42</v>
      </c>
      <c r="B130" s="29" t="s">
        <v>433</v>
      </c>
      <c r="C130" s="29" t="s">
        <v>434</v>
      </c>
      <c r="D130" s="29" t="s">
        <v>435</v>
      </c>
      <c r="E130" s="30" t="s">
        <v>46</v>
      </c>
      <c r="F130" s="31" t="s">
        <v>46</v>
      </c>
      <c r="G130" s="32" t="s">
        <v>46</v>
      </c>
      <c r="H130" s="27"/>
      <c r="I130" s="27" t="s">
        <v>47</v>
      </c>
      <c r="J130" s="33">
        <v>1</v>
      </c>
      <c r="K130" s="37">
        <f>1396</f>
        <v>1396</v>
      </c>
      <c r="L130" s="34" t="s">
        <v>48</v>
      </c>
      <c r="M130" s="37">
        <f>1427</f>
        <v>1427</v>
      </c>
      <c r="N130" s="34" t="s">
        <v>49</v>
      </c>
      <c r="O130" s="37">
        <f>1366</f>
        <v>1366</v>
      </c>
      <c r="P130" s="34" t="s">
        <v>50</v>
      </c>
      <c r="Q130" s="37">
        <f>1381</f>
        <v>1381</v>
      </c>
      <c r="R130" s="34" t="s">
        <v>51</v>
      </c>
      <c r="S130" s="36">
        <f>1406.42</f>
        <v>1406.42</v>
      </c>
      <c r="T130" s="33">
        <f>450778</f>
        <v>450778</v>
      </c>
      <c r="U130" s="33">
        <f>144000</f>
        <v>144000</v>
      </c>
      <c r="V130" s="33">
        <f>635257880</f>
        <v>635257880</v>
      </c>
      <c r="W130" s="33">
        <f>202608000</f>
        <v>202608000</v>
      </c>
      <c r="X130" s="35">
        <f>19</f>
        <v>19</v>
      </c>
    </row>
    <row r="131" spans="1:24">
      <c r="A131" s="29" t="s">
        <v>42</v>
      </c>
      <c r="B131" s="29" t="s">
        <v>436</v>
      </c>
      <c r="C131" s="29" t="s">
        <v>437</v>
      </c>
      <c r="D131" s="29" t="s">
        <v>438</v>
      </c>
      <c r="E131" s="30" t="s">
        <v>46</v>
      </c>
      <c r="F131" s="31" t="s">
        <v>46</v>
      </c>
      <c r="G131" s="32" t="s">
        <v>46</v>
      </c>
      <c r="H131" s="27"/>
      <c r="I131" s="27" t="s">
        <v>47</v>
      </c>
      <c r="J131" s="33">
        <v>1</v>
      </c>
      <c r="K131" s="37">
        <f>15590</f>
        <v>15590</v>
      </c>
      <c r="L131" s="34" t="s">
        <v>48</v>
      </c>
      <c r="M131" s="37">
        <f>16050</f>
        <v>16050</v>
      </c>
      <c r="N131" s="34" t="s">
        <v>90</v>
      </c>
      <c r="O131" s="37">
        <f>15230</f>
        <v>15230</v>
      </c>
      <c r="P131" s="34" t="s">
        <v>50</v>
      </c>
      <c r="Q131" s="37">
        <f>15360</f>
        <v>15360</v>
      </c>
      <c r="R131" s="34" t="s">
        <v>51</v>
      </c>
      <c r="S131" s="36">
        <f>15740</f>
        <v>15740</v>
      </c>
      <c r="T131" s="33">
        <f>105486</f>
        <v>105486</v>
      </c>
      <c r="U131" s="33">
        <f>70200</f>
        <v>70200</v>
      </c>
      <c r="V131" s="33">
        <f>1662884550</f>
        <v>1662884550</v>
      </c>
      <c r="W131" s="33">
        <f>1105069280</f>
        <v>1105069280</v>
      </c>
      <c r="X131" s="35">
        <f>19</f>
        <v>19</v>
      </c>
    </row>
    <row r="132" spans="1:24">
      <c r="A132" s="29" t="s">
        <v>42</v>
      </c>
      <c r="B132" s="29" t="s">
        <v>439</v>
      </c>
      <c r="C132" s="29" t="s">
        <v>440</v>
      </c>
      <c r="D132" s="29" t="s">
        <v>441</v>
      </c>
      <c r="E132" s="30" t="s">
        <v>46</v>
      </c>
      <c r="F132" s="31" t="s">
        <v>46</v>
      </c>
      <c r="G132" s="32" t="s">
        <v>46</v>
      </c>
      <c r="H132" s="27"/>
      <c r="I132" s="27" t="s">
        <v>47</v>
      </c>
      <c r="J132" s="33">
        <v>10</v>
      </c>
      <c r="K132" s="37">
        <f>2194</f>
        <v>2194</v>
      </c>
      <c r="L132" s="34" t="s">
        <v>48</v>
      </c>
      <c r="M132" s="37">
        <f>2259</f>
        <v>2259</v>
      </c>
      <c r="N132" s="34" t="s">
        <v>51</v>
      </c>
      <c r="O132" s="37">
        <f>2152</f>
        <v>2152</v>
      </c>
      <c r="P132" s="34" t="s">
        <v>86</v>
      </c>
      <c r="Q132" s="37">
        <f>2250</f>
        <v>2250</v>
      </c>
      <c r="R132" s="34" t="s">
        <v>51</v>
      </c>
      <c r="S132" s="36">
        <f>2197.26</f>
        <v>2197.2600000000002</v>
      </c>
      <c r="T132" s="33">
        <f>823730</f>
        <v>823730</v>
      </c>
      <c r="U132" s="33">
        <f>10200</f>
        <v>10200</v>
      </c>
      <c r="V132" s="33">
        <f>1812118490</f>
        <v>1812118490</v>
      </c>
      <c r="W132" s="33">
        <f>22397500</f>
        <v>22397500</v>
      </c>
      <c r="X132" s="35">
        <f>19</f>
        <v>19</v>
      </c>
    </row>
    <row r="133" spans="1:24">
      <c r="A133" s="29" t="s">
        <v>42</v>
      </c>
      <c r="B133" s="29" t="s">
        <v>442</v>
      </c>
      <c r="C133" s="29" t="s">
        <v>443</v>
      </c>
      <c r="D133" s="29" t="s">
        <v>444</v>
      </c>
      <c r="E133" s="30" t="s">
        <v>46</v>
      </c>
      <c r="F133" s="31" t="s">
        <v>46</v>
      </c>
      <c r="G133" s="32" t="s">
        <v>46</v>
      </c>
      <c r="H133" s="27"/>
      <c r="I133" s="27" t="s">
        <v>47</v>
      </c>
      <c r="J133" s="33">
        <v>10</v>
      </c>
      <c r="K133" s="37">
        <f>1525</f>
        <v>1525</v>
      </c>
      <c r="L133" s="34" t="s">
        <v>100</v>
      </c>
      <c r="M133" s="37">
        <f>1539</f>
        <v>1539</v>
      </c>
      <c r="N133" s="34" t="s">
        <v>61</v>
      </c>
      <c r="O133" s="37">
        <f>1442</f>
        <v>1442</v>
      </c>
      <c r="P133" s="34" t="s">
        <v>50</v>
      </c>
      <c r="Q133" s="37">
        <f>1473</f>
        <v>1473</v>
      </c>
      <c r="R133" s="34" t="s">
        <v>51</v>
      </c>
      <c r="S133" s="36">
        <f>1498</f>
        <v>1498</v>
      </c>
      <c r="T133" s="33">
        <f>94530</f>
        <v>94530</v>
      </c>
      <c r="U133" s="33">
        <f>94000</f>
        <v>94000</v>
      </c>
      <c r="V133" s="33">
        <f>145302110</f>
        <v>145302110</v>
      </c>
      <c r="W133" s="33">
        <f>144500560</f>
        <v>144500560</v>
      </c>
      <c r="X133" s="35">
        <f>5</f>
        <v>5</v>
      </c>
    </row>
    <row r="134" spans="1:24">
      <c r="A134" s="29" t="s">
        <v>42</v>
      </c>
      <c r="B134" s="29" t="s">
        <v>445</v>
      </c>
      <c r="C134" s="29" t="s">
        <v>446</v>
      </c>
      <c r="D134" s="29" t="s">
        <v>447</v>
      </c>
      <c r="E134" s="30" t="s">
        <v>46</v>
      </c>
      <c r="F134" s="31" t="s">
        <v>46</v>
      </c>
      <c r="G134" s="32" t="s">
        <v>46</v>
      </c>
      <c r="H134" s="27"/>
      <c r="I134" s="27" t="s">
        <v>47</v>
      </c>
      <c r="J134" s="33">
        <v>10</v>
      </c>
      <c r="K134" s="37">
        <f>2187</f>
        <v>2187</v>
      </c>
      <c r="L134" s="34" t="s">
        <v>48</v>
      </c>
      <c r="M134" s="37">
        <f>2279</f>
        <v>2279</v>
      </c>
      <c r="N134" s="34" t="s">
        <v>51</v>
      </c>
      <c r="O134" s="37">
        <f>2157</f>
        <v>2157</v>
      </c>
      <c r="P134" s="34" t="s">
        <v>119</v>
      </c>
      <c r="Q134" s="37">
        <f>2275</f>
        <v>2275</v>
      </c>
      <c r="R134" s="34" t="s">
        <v>51</v>
      </c>
      <c r="S134" s="36">
        <f>2209.95</f>
        <v>2209.9499999999998</v>
      </c>
      <c r="T134" s="33">
        <f>553720</f>
        <v>553720</v>
      </c>
      <c r="U134" s="33">
        <f>60080</f>
        <v>60080</v>
      </c>
      <c r="V134" s="33">
        <f>1220071300</f>
        <v>1220071300</v>
      </c>
      <c r="W134" s="33">
        <f>131623920</f>
        <v>131623920</v>
      </c>
      <c r="X134" s="35">
        <f>19</f>
        <v>19</v>
      </c>
    </row>
    <row r="135" spans="1:24">
      <c r="A135" s="29" t="s">
        <v>42</v>
      </c>
      <c r="B135" s="29" t="s">
        <v>448</v>
      </c>
      <c r="C135" s="29" t="s">
        <v>449</v>
      </c>
      <c r="D135" s="29" t="s">
        <v>450</v>
      </c>
      <c r="E135" s="30" t="s">
        <v>46</v>
      </c>
      <c r="F135" s="31" t="s">
        <v>46</v>
      </c>
      <c r="G135" s="32" t="s">
        <v>46</v>
      </c>
      <c r="H135" s="27"/>
      <c r="I135" s="27" t="s">
        <v>47</v>
      </c>
      <c r="J135" s="33">
        <v>1</v>
      </c>
      <c r="K135" s="37">
        <f>18100</f>
        <v>18100</v>
      </c>
      <c r="L135" s="34" t="s">
        <v>65</v>
      </c>
      <c r="M135" s="37">
        <f>18370</f>
        <v>18370</v>
      </c>
      <c r="N135" s="34" t="s">
        <v>90</v>
      </c>
      <c r="O135" s="37">
        <f>18100</f>
        <v>18100</v>
      </c>
      <c r="P135" s="34" t="s">
        <v>65</v>
      </c>
      <c r="Q135" s="37">
        <f>18370</f>
        <v>18370</v>
      </c>
      <c r="R135" s="34" t="s">
        <v>90</v>
      </c>
      <c r="S135" s="36">
        <f>18235</f>
        <v>18235</v>
      </c>
      <c r="T135" s="33">
        <f>2</f>
        <v>2</v>
      </c>
      <c r="U135" s="33" t="str">
        <f>"－"</f>
        <v>－</v>
      </c>
      <c r="V135" s="33">
        <f>36470</f>
        <v>36470</v>
      </c>
      <c r="W135" s="33" t="str">
        <f>"－"</f>
        <v>－</v>
      </c>
      <c r="X135" s="35">
        <f>2</f>
        <v>2</v>
      </c>
    </row>
    <row r="136" spans="1:24">
      <c r="A136" s="29" t="s">
        <v>42</v>
      </c>
      <c r="B136" s="29" t="s">
        <v>451</v>
      </c>
      <c r="C136" s="29" t="s">
        <v>452</v>
      </c>
      <c r="D136" s="29" t="s">
        <v>453</v>
      </c>
      <c r="E136" s="30" t="s">
        <v>46</v>
      </c>
      <c r="F136" s="31" t="s">
        <v>46</v>
      </c>
      <c r="G136" s="32" t="s">
        <v>46</v>
      </c>
      <c r="H136" s="27"/>
      <c r="I136" s="27" t="s">
        <v>47</v>
      </c>
      <c r="J136" s="33">
        <v>1</v>
      </c>
      <c r="K136" s="37">
        <f>15450</f>
        <v>15450</v>
      </c>
      <c r="L136" s="34" t="s">
        <v>48</v>
      </c>
      <c r="M136" s="37">
        <f>15770</f>
        <v>15770</v>
      </c>
      <c r="N136" s="34" t="s">
        <v>150</v>
      </c>
      <c r="O136" s="37">
        <f>15100</f>
        <v>15100</v>
      </c>
      <c r="P136" s="34" t="s">
        <v>100</v>
      </c>
      <c r="Q136" s="37">
        <f>15270</f>
        <v>15270</v>
      </c>
      <c r="R136" s="34" t="s">
        <v>51</v>
      </c>
      <c r="S136" s="36">
        <f>15573.53</f>
        <v>15573.53</v>
      </c>
      <c r="T136" s="33">
        <f>105384</f>
        <v>105384</v>
      </c>
      <c r="U136" s="33">
        <f>91000</f>
        <v>91000</v>
      </c>
      <c r="V136" s="33">
        <f>1632172940</f>
        <v>1632172940</v>
      </c>
      <c r="W136" s="33">
        <f>1408287800</f>
        <v>1408287800</v>
      </c>
      <c r="X136" s="35">
        <f>17</f>
        <v>17</v>
      </c>
    </row>
    <row r="137" spans="1:24">
      <c r="A137" s="29" t="s">
        <v>42</v>
      </c>
      <c r="B137" s="29" t="s">
        <v>454</v>
      </c>
      <c r="C137" s="29" t="s">
        <v>455</v>
      </c>
      <c r="D137" s="29" t="s">
        <v>456</v>
      </c>
      <c r="E137" s="30" t="s">
        <v>46</v>
      </c>
      <c r="F137" s="31" t="s">
        <v>46</v>
      </c>
      <c r="G137" s="32" t="s">
        <v>46</v>
      </c>
      <c r="H137" s="27"/>
      <c r="I137" s="27" t="s">
        <v>47</v>
      </c>
      <c r="J137" s="33">
        <v>10</v>
      </c>
      <c r="K137" s="37">
        <f>2523</f>
        <v>2523</v>
      </c>
      <c r="L137" s="34" t="s">
        <v>48</v>
      </c>
      <c r="M137" s="37">
        <f>2685</f>
        <v>2685</v>
      </c>
      <c r="N137" s="34" t="s">
        <v>175</v>
      </c>
      <c r="O137" s="37">
        <f>2523</f>
        <v>2523</v>
      </c>
      <c r="P137" s="34" t="s">
        <v>48</v>
      </c>
      <c r="Q137" s="37">
        <f>2545</f>
        <v>2545</v>
      </c>
      <c r="R137" s="34" t="s">
        <v>50</v>
      </c>
      <c r="S137" s="36">
        <f>2631.29</f>
        <v>2631.29</v>
      </c>
      <c r="T137" s="33">
        <f>3840</f>
        <v>3840</v>
      </c>
      <c r="U137" s="33" t="str">
        <f>"－"</f>
        <v>－</v>
      </c>
      <c r="V137" s="33">
        <f>9997760</f>
        <v>9997760</v>
      </c>
      <c r="W137" s="33" t="str">
        <f>"－"</f>
        <v>－</v>
      </c>
      <c r="X137" s="35">
        <f>14</f>
        <v>14</v>
      </c>
    </row>
    <row r="138" spans="1:24">
      <c r="A138" s="29" t="s">
        <v>42</v>
      </c>
      <c r="B138" s="29" t="s">
        <v>457</v>
      </c>
      <c r="C138" s="29" t="s">
        <v>458</v>
      </c>
      <c r="D138" s="29" t="s">
        <v>459</v>
      </c>
      <c r="E138" s="30" t="s">
        <v>46</v>
      </c>
      <c r="F138" s="31" t="s">
        <v>46</v>
      </c>
      <c r="G138" s="32" t="s">
        <v>46</v>
      </c>
      <c r="H138" s="27"/>
      <c r="I138" s="27" t="s">
        <v>47</v>
      </c>
      <c r="J138" s="33">
        <v>100</v>
      </c>
      <c r="K138" s="37">
        <f>154</f>
        <v>154</v>
      </c>
      <c r="L138" s="34" t="s">
        <v>48</v>
      </c>
      <c r="M138" s="37">
        <f>156</f>
        <v>156</v>
      </c>
      <c r="N138" s="34" t="s">
        <v>100</v>
      </c>
      <c r="O138" s="37">
        <f>147</f>
        <v>147</v>
      </c>
      <c r="P138" s="34" t="s">
        <v>95</v>
      </c>
      <c r="Q138" s="37">
        <f>149</f>
        <v>149</v>
      </c>
      <c r="R138" s="34" t="s">
        <v>51</v>
      </c>
      <c r="S138" s="36">
        <f>151.89</f>
        <v>151.88999999999999</v>
      </c>
      <c r="T138" s="33">
        <f>9445000</f>
        <v>9445000</v>
      </c>
      <c r="U138" s="33">
        <f>86800</f>
        <v>86800</v>
      </c>
      <c r="V138" s="33">
        <f>1432783344</f>
        <v>1432783344</v>
      </c>
      <c r="W138" s="33">
        <f>12824144</f>
        <v>12824144</v>
      </c>
      <c r="X138" s="35">
        <f>19</f>
        <v>19</v>
      </c>
    </row>
    <row r="139" spans="1:24">
      <c r="A139" s="29" t="s">
        <v>42</v>
      </c>
      <c r="B139" s="29" t="s">
        <v>460</v>
      </c>
      <c r="C139" s="29" t="s">
        <v>461</v>
      </c>
      <c r="D139" s="29" t="s">
        <v>462</v>
      </c>
      <c r="E139" s="30" t="s">
        <v>46</v>
      </c>
      <c r="F139" s="31" t="s">
        <v>46</v>
      </c>
      <c r="G139" s="32" t="s">
        <v>46</v>
      </c>
      <c r="H139" s="27"/>
      <c r="I139" s="27" t="s">
        <v>47</v>
      </c>
      <c r="J139" s="33">
        <v>1</v>
      </c>
      <c r="K139" s="37">
        <f>28170</f>
        <v>28170</v>
      </c>
      <c r="L139" s="34" t="s">
        <v>48</v>
      </c>
      <c r="M139" s="37">
        <f>28770</f>
        <v>28770</v>
      </c>
      <c r="N139" s="34" t="s">
        <v>49</v>
      </c>
      <c r="O139" s="37">
        <f>27870</f>
        <v>27870</v>
      </c>
      <c r="P139" s="34" t="s">
        <v>48</v>
      </c>
      <c r="Q139" s="37">
        <f>28300</f>
        <v>28300</v>
      </c>
      <c r="R139" s="34" t="s">
        <v>51</v>
      </c>
      <c r="S139" s="36">
        <f>28324.17</f>
        <v>28324.17</v>
      </c>
      <c r="T139" s="33">
        <f>112</f>
        <v>112</v>
      </c>
      <c r="U139" s="33" t="str">
        <f t="shared" ref="U139:U152" si="2">"－"</f>
        <v>－</v>
      </c>
      <c r="V139" s="33">
        <f>3183260</f>
        <v>3183260</v>
      </c>
      <c r="W139" s="33" t="str">
        <f t="shared" ref="W139:W152" si="3">"－"</f>
        <v>－</v>
      </c>
      <c r="X139" s="35">
        <f>12</f>
        <v>12</v>
      </c>
    </row>
    <row r="140" spans="1:24">
      <c r="A140" s="29" t="s">
        <v>42</v>
      </c>
      <c r="B140" s="29" t="s">
        <v>463</v>
      </c>
      <c r="C140" s="29" t="s">
        <v>464</v>
      </c>
      <c r="D140" s="29" t="s">
        <v>465</v>
      </c>
      <c r="E140" s="30" t="s">
        <v>46</v>
      </c>
      <c r="F140" s="31" t="s">
        <v>46</v>
      </c>
      <c r="G140" s="32" t="s">
        <v>46</v>
      </c>
      <c r="H140" s="27"/>
      <c r="I140" s="27" t="s">
        <v>47</v>
      </c>
      <c r="J140" s="33">
        <v>1</v>
      </c>
      <c r="K140" s="37">
        <f>11700</f>
        <v>11700</v>
      </c>
      <c r="L140" s="34" t="s">
        <v>48</v>
      </c>
      <c r="M140" s="37">
        <f>12070</f>
        <v>12070</v>
      </c>
      <c r="N140" s="34" t="s">
        <v>65</v>
      </c>
      <c r="O140" s="37">
        <f>10650</f>
        <v>10650</v>
      </c>
      <c r="P140" s="34" t="s">
        <v>50</v>
      </c>
      <c r="Q140" s="37">
        <f>10660</f>
        <v>10660</v>
      </c>
      <c r="R140" s="34" t="s">
        <v>51</v>
      </c>
      <c r="S140" s="36">
        <f>11318.95</f>
        <v>11318.95</v>
      </c>
      <c r="T140" s="33">
        <f>2748</f>
        <v>2748</v>
      </c>
      <c r="U140" s="33" t="str">
        <f t="shared" si="2"/>
        <v>－</v>
      </c>
      <c r="V140" s="33">
        <f>31467940</f>
        <v>31467940</v>
      </c>
      <c r="W140" s="33" t="str">
        <f t="shared" si="3"/>
        <v>－</v>
      </c>
      <c r="X140" s="35">
        <f>19</f>
        <v>19</v>
      </c>
    </row>
    <row r="141" spans="1:24">
      <c r="A141" s="29" t="s">
        <v>42</v>
      </c>
      <c r="B141" s="29" t="s">
        <v>466</v>
      </c>
      <c r="C141" s="29" t="s">
        <v>467</v>
      </c>
      <c r="D141" s="29" t="s">
        <v>468</v>
      </c>
      <c r="E141" s="30" t="s">
        <v>46</v>
      </c>
      <c r="F141" s="31" t="s">
        <v>46</v>
      </c>
      <c r="G141" s="32" t="s">
        <v>46</v>
      </c>
      <c r="H141" s="27"/>
      <c r="I141" s="27" t="s">
        <v>47</v>
      </c>
      <c r="J141" s="33">
        <v>1</v>
      </c>
      <c r="K141" s="37">
        <f>21890</f>
        <v>21890</v>
      </c>
      <c r="L141" s="34" t="s">
        <v>48</v>
      </c>
      <c r="M141" s="37">
        <f>22740</f>
        <v>22740</v>
      </c>
      <c r="N141" s="34" t="s">
        <v>309</v>
      </c>
      <c r="O141" s="37">
        <f>21550</f>
        <v>21550</v>
      </c>
      <c r="P141" s="34" t="s">
        <v>50</v>
      </c>
      <c r="Q141" s="37">
        <f>21910</f>
        <v>21910</v>
      </c>
      <c r="R141" s="34" t="s">
        <v>51</v>
      </c>
      <c r="S141" s="36">
        <f>22137.89</f>
        <v>22137.89</v>
      </c>
      <c r="T141" s="33">
        <f>1788</f>
        <v>1788</v>
      </c>
      <c r="U141" s="33" t="str">
        <f t="shared" si="2"/>
        <v>－</v>
      </c>
      <c r="V141" s="33">
        <f>39693570</f>
        <v>39693570</v>
      </c>
      <c r="W141" s="33" t="str">
        <f t="shared" si="3"/>
        <v>－</v>
      </c>
      <c r="X141" s="35">
        <f>19</f>
        <v>19</v>
      </c>
    </row>
    <row r="142" spans="1:24">
      <c r="A142" s="29" t="s">
        <v>42</v>
      </c>
      <c r="B142" s="29" t="s">
        <v>469</v>
      </c>
      <c r="C142" s="29" t="s">
        <v>470</v>
      </c>
      <c r="D142" s="29" t="s">
        <v>471</v>
      </c>
      <c r="E142" s="30" t="s">
        <v>46</v>
      </c>
      <c r="F142" s="31" t="s">
        <v>46</v>
      </c>
      <c r="G142" s="32" t="s">
        <v>46</v>
      </c>
      <c r="H142" s="27"/>
      <c r="I142" s="27" t="s">
        <v>47</v>
      </c>
      <c r="J142" s="33">
        <v>1</v>
      </c>
      <c r="K142" s="37">
        <f>24690</f>
        <v>24690</v>
      </c>
      <c r="L142" s="34" t="s">
        <v>100</v>
      </c>
      <c r="M142" s="37">
        <f>25450</f>
        <v>25450</v>
      </c>
      <c r="N142" s="34" t="s">
        <v>79</v>
      </c>
      <c r="O142" s="37">
        <f>24030</f>
        <v>24030</v>
      </c>
      <c r="P142" s="34" t="s">
        <v>50</v>
      </c>
      <c r="Q142" s="37">
        <f>24050</f>
        <v>24050</v>
      </c>
      <c r="R142" s="34" t="s">
        <v>50</v>
      </c>
      <c r="S142" s="36">
        <f>24743.85</f>
        <v>24743.85</v>
      </c>
      <c r="T142" s="33">
        <f>177</f>
        <v>177</v>
      </c>
      <c r="U142" s="33" t="str">
        <f t="shared" si="2"/>
        <v>－</v>
      </c>
      <c r="V142" s="33">
        <f>4369150</f>
        <v>4369150</v>
      </c>
      <c r="W142" s="33" t="str">
        <f t="shared" si="3"/>
        <v>－</v>
      </c>
      <c r="X142" s="35">
        <f>13</f>
        <v>13</v>
      </c>
    </row>
    <row r="143" spans="1:24">
      <c r="A143" s="29" t="s">
        <v>42</v>
      </c>
      <c r="B143" s="29" t="s">
        <v>472</v>
      </c>
      <c r="C143" s="29" t="s">
        <v>473</v>
      </c>
      <c r="D143" s="29" t="s">
        <v>474</v>
      </c>
      <c r="E143" s="30" t="s">
        <v>46</v>
      </c>
      <c r="F143" s="31" t="s">
        <v>46</v>
      </c>
      <c r="G143" s="32" t="s">
        <v>46</v>
      </c>
      <c r="H143" s="27"/>
      <c r="I143" s="27" t="s">
        <v>47</v>
      </c>
      <c r="J143" s="33">
        <v>1</v>
      </c>
      <c r="K143" s="37">
        <f>24300</f>
        <v>24300</v>
      </c>
      <c r="L143" s="34" t="s">
        <v>48</v>
      </c>
      <c r="M143" s="37">
        <f>25290</f>
        <v>25290</v>
      </c>
      <c r="N143" s="34" t="s">
        <v>72</v>
      </c>
      <c r="O143" s="37">
        <f>24080</f>
        <v>24080</v>
      </c>
      <c r="P143" s="34" t="s">
        <v>48</v>
      </c>
      <c r="Q143" s="37">
        <f>24890</f>
        <v>24890</v>
      </c>
      <c r="R143" s="34" t="s">
        <v>51</v>
      </c>
      <c r="S143" s="36">
        <f>24871.58</f>
        <v>24871.58</v>
      </c>
      <c r="T143" s="33">
        <f>2294</f>
        <v>2294</v>
      </c>
      <c r="U143" s="33" t="str">
        <f t="shared" si="2"/>
        <v>－</v>
      </c>
      <c r="V143" s="33">
        <f>57079120</f>
        <v>57079120</v>
      </c>
      <c r="W143" s="33" t="str">
        <f t="shared" si="3"/>
        <v>－</v>
      </c>
      <c r="X143" s="35">
        <f>19</f>
        <v>19</v>
      </c>
    </row>
    <row r="144" spans="1:24">
      <c r="A144" s="29" t="s">
        <v>42</v>
      </c>
      <c r="B144" s="29" t="s">
        <v>475</v>
      </c>
      <c r="C144" s="29" t="s">
        <v>476</v>
      </c>
      <c r="D144" s="29" t="s">
        <v>477</v>
      </c>
      <c r="E144" s="30" t="s">
        <v>46</v>
      </c>
      <c r="F144" s="31" t="s">
        <v>46</v>
      </c>
      <c r="G144" s="32" t="s">
        <v>46</v>
      </c>
      <c r="H144" s="27"/>
      <c r="I144" s="27" t="s">
        <v>47</v>
      </c>
      <c r="J144" s="33">
        <v>1</v>
      </c>
      <c r="K144" s="37">
        <f>20290</f>
        <v>20290</v>
      </c>
      <c r="L144" s="34" t="s">
        <v>48</v>
      </c>
      <c r="M144" s="37">
        <f>20780</f>
        <v>20780</v>
      </c>
      <c r="N144" s="34" t="s">
        <v>150</v>
      </c>
      <c r="O144" s="37">
        <f>19730</f>
        <v>19730</v>
      </c>
      <c r="P144" s="34" t="s">
        <v>50</v>
      </c>
      <c r="Q144" s="37">
        <f>19850</f>
        <v>19850</v>
      </c>
      <c r="R144" s="34" t="s">
        <v>51</v>
      </c>
      <c r="S144" s="36">
        <f>20301.18</f>
        <v>20301.18</v>
      </c>
      <c r="T144" s="33">
        <f>3271</f>
        <v>3271</v>
      </c>
      <c r="U144" s="33" t="str">
        <f t="shared" si="2"/>
        <v>－</v>
      </c>
      <c r="V144" s="33">
        <f>66482740</f>
        <v>66482740</v>
      </c>
      <c r="W144" s="33" t="str">
        <f t="shared" si="3"/>
        <v>－</v>
      </c>
      <c r="X144" s="35">
        <f>17</f>
        <v>17</v>
      </c>
    </row>
    <row r="145" spans="1:24">
      <c r="A145" s="29" t="s">
        <v>42</v>
      </c>
      <c r="B145" s="29" t="s">
        <v>478</v>
      </c>
      <c r="C145" s="29" t="s">
        <v>479</v>
      </c>
      <c r="D145" s="29" t="s">
        <v>480</v>
      </c>
      <c r="E145" s="30" t="s">
        <v>46</v>
      </c>
      <c r="F145" s="31" t="s">
        <v>46</v>
      </c>
      <c r="G145" s="32" t="s">
        <v>46</v>
      </c>
      <c r="H145" s="27"/>
      <c r="I145" s="27" t="s">
        <v>47</v>
      </c>
      <c r="J145" s="33">
        <v>1</v>
      </c>
      <c r="K145" s="37">
        <f>14500</f>
        <v>14500</v>
      </c>
      <c r="L145" s="34" t="s">
        <v>48</v>
      </c>
      <c r="M145" s="37">
        <f>14830</f>
        <v>14830</v>
      </c>
      <c r="N145" s="34" t="s">
        <v>49</v>
      </c>
      <c r="O145" s="37">
        <f>13380</f>
        <v>13380</v>
      </c>
      <c r="P145" s="34" t="s">
        <v>50</v>
      </c>
      <c r="Q145" s="37">
        <f>13520</f>
        <v>13520</v>
      </c>
      <c r="R145" s="34" t="s">
        <v>51</v>
      </c>
      <c r="S145" s="36">
        <f>14260.53</f>
        <v>14260.53</v>
      </c>
      <c r="T145" s="33">
        <f>5843</f>
        <v>5843</v>
      </c>
      <c r="U145" s="33" t="str">
        <f t="shared" si="2"/>
        <v>－</v>
      </c>
      <c r="V145" s="33">
        <f>83468200</f>
        <v>83468200</v>
      </c>
      <c r="W145" s="33" t="str">
        <f t="shared" si="3"/>
        <v>－</v>
      </c>
      <c r="X145" s="35">
        <f>19</f>
        <v>19</v>
      </c>
    </row>
    <row r="146" spans="1:24">
      <c r="A146" s="29" t="s">
        <v>42</v>
      </c>
      <c r="B146" s="29" t="s">
        <v>481</v>
      </c>
      <c r="C146" s="29" t="s">
        <v>482</v>
      </c>
      <c r="D146" s="29" t="s">
        <v>483</v>
      </c>
      <c r="E146" s="30" t="s">
        <v>46</v>
      </c>
      <c r="F146" s="31" t="s">
        <v>46</v>
      </c>
      <c r="G146" s="32" t="s">
        <v>46</v>
      </c>
      <c r="H146" s="27"/>
      <c r="I146" s="27" t="s">
        <v>47</v>
      </c>
      <c r="J146" s="33">
        <v>1</v>
      </c>
      <c r="K146" s="37">
        <f>33850</f>
        <v>33850</v>
      </c>
      <c r="L146" s="34" t="s">
        <v>48</v>
      </c>
      <c r="M146" s="37">
        <f>35250</f>
        <v>35250</v>
      </c>
      <c r="N146" s="34" t="s">
        <v>309</v>
      </c>
      <c r="O146" s="37">
        <f>33300</f>
        <v>33300</v>
      </c>
      <c r="P146" s="34" t="s">
        <v>50</v>
      </c>
      <c r="Q146" s="37">
        <f>33500</f>
        <v>33500</v>
      </c>
      <c r="R146" s="34" t="s">
        <v>51</v>
      </c>
      <c r="S146" s="36">
        <f>34433.33</f>
        <v>34433.33</v>
      </c>
      <c r="T146" s="33">
        <f>358</f>
        <v>358</v>
      </c>
      <c r="U146" s="33" t="str">
        <f t="shared" si="2"/>
        <v>－</v>
      </c>
      <c r="V146" s="33">
        <f>12212000</f>
        <v>12212000</v>
      </c>
      <c r="W146" s="33" t="str">
        <f t="shared" si="3"/>
        <v>－</v>
      </c>
      <c r="X146" s="35">
        <f>15</f>
        <v>15</v>
      </c>
    </row>
    <row r="147" spans="1:24">
      <c r="A147" s="29" t="s">
        <v>42</v>
      </c>
      <c r="B147" s="29" t="s">
        <v>484</v>
      </c>
      <c r="C147" s="29" t="s">
        <v>485</v>
      </c>
      <c r="D147" s="29" t="s">
        <v>486</v>
      </c>
      <c r="E147" s="30" t="s">
        <v>46</v>
      </c>
      <c r="F147" s="31" t="s">
        <v>46</v>
      </c>
      <c r="G147" s="32" t="s">
        <v>46</v>
      </c>
      <c r="H147" s="27"/>
      <c r="I147" s="27" t="s">
        <v>47</v>
      </c>
      <c r="J147" s="33">
        <v>1</v>
      </c>
      <c r="K147" s="37">
        <f>21280</f>
        <v>21280</v>
      </c>
      <c r="L147" s="34" t="s">
        <v>48</v>
      </c>
      <c r="M147" s="37">
        <f>22250</f>
        <v>22250</v>
      </c>
      <c r="N147" s="34" t="s">
        <v>90</v>
      </c>
      <c r="O147" s="37">
        <f>20900</f>
        <v>20900</v>
      </c>
      <c r="P147" s="34" t="s">
        <v>50</v>
      </c>
      <c r="Q147" s="37">
        <f>21300</f>
        <v>21300</v>
      </c>
      <c r="R147" s="34" t="s">
        <v>51</v>
      </c>
      <c r="S147" s="36">
        <f>21784.21</f>
        <v>21784.21</v>
      </c>
      <c r="T147" s="33">
        <f>2561</f>
        <v>2561</v>
      </c>
      <c r="U147" s="33" t="str">
        <f t="shared" si="2"/>
        <v>－</v>
      </c>
      <c r="V147" s="33">
        <f>55936100</f>
        <v>55936100</v>
      </c>
      <c r="W147" s="33" t="str">
        <f t="shared" si="3"/>
        <v>－</v>
      </c>
      <c r="X147" s="35">
        <f>19</f>
        <v>19</v>
      </c>
    </row>
    <row r="148" spans="1:24">
      <c r="A148" s="29" t="s">
        <v>42</v>
      </c>
      <c r="B148" s="29" t="s">
        <v>487</v>
      </c>
      <c r="C148" s="29" t="s">
        <v>488</v>
      </c>
      <c r="D148" s="29" t="s">
        <v>489</v>
      </c>
      <c r="E148" s="30" t="s">
        <v>46</v>
      </c>
      <c r="F148" s="31" t="s">
        <v>46</v>
      </c>
      <c r="G148" s="32" t="s">
        <v>46</v>
      </c>
      <c r="H148" s="27"/>
      <c r="I148" s="27" t="s">
        <v>47</v>
      </c>
      <c r="J148" s="33">
        <v>1</v>
      </c>
      <c r="K148" s="37">
        <f>24000</f>
        <v>24000</v>
      </c>
      <c r="L148" s="34" t="s">
        <v>48</v>
      </c>
      <c r="M148" s="37">
        <f>24670</f>
        <v>24670</v>
      </c>
      <c r="N148" s="34" t="s">
        <v>90</v>
      </c>
      <c r="O148" s="37">
        <f>23730</f>
        <v>23730</v>
      </c>
      <c r="P148" s="34" t="s">
        <v>65</v>
      </c>
      <c r="Q148" s="37">
        <f>23770</f>
        <v>23770</v>
      </c>
      <c r="R148" s="34" t="s">
        <v>51</v>
      </c>
      <c r="S148" s="36">
        <f>24220</f>
        <v>24220</v>
      </c>
      <c r="T148" s="33">
        <f>276</f>
        <v>276</v>
      </c>
      <c r="U148" s="33" t="str">
        <f t="shared" si="2"/>
        <v>－</v>
      </c>
      <c r="V148" s="33">
        <f>6681280</f>
        <v>6681280</v>
      </c>
      <c r="W148" s="33" t="str">
        <f t="shared" si="3"/>
        <v>－</v>
      </c>
      <c r="X148" s="35">
        <f>17</f>
        <v>17</v>
      </c>
    </row>
    <row r="149" spans="1:24">
      <c r="A149" s="29" t="s">
        <v>42</v>
      </c>
      <c r="B149" s="29" t="s">
        <v>490</v>
      </c>
      <c r="C149" s="29" t="s">
        <v>491</v>
      </c>
      <c r="D149" s="29" t="s">
        <v>492</v>
      </c>
      <c r="E149" s="30" t="s">
        <v>46</v>
      </c>
      <c r="F149" s="31" t="s">
        <v>46</v>
      </c>
      <c r="G149" s="32" t="s">
        <v>46</v>
      </c>
      <c r="H149" s="27"/>
      <c r="I149" s="27" t="s">
        <v>47</v>
      </c>
      <c r="J149" s="33">
        <v>1</v>
      </c>
      <c r="K149" s="37">
        <f>6970</f>
        <v>6970</v>
      </c>
      <c r="L149" s="34" t="s">
        <v>48</v>
      </c>
      <c r="M149" s="37">
        <f>6970</f>
        <v>6970</v>
      </c>
      <c r="N149" s="34" t="s">
        <v>48</v>
      </c>
      <c r="O149" s="37">
        <f>6540</f>
        <v>6540</v>
      </c>
      <c r="P149" s="34" t="s">
        <v>91</v>
      </c>
      <c r="Q149" s="37">
        <f>6600</f>
        <v>6600</v>
      </c>
      <c r="R149" s="34" t="s">
        <v>51</v>
      </c>
      <c r="S149" s="36">
        <f>6702.11</f>
        <v>6702.11</v>
      </c>
      <c r="T149" s="33">
        <f>4262</f>
        <v>4262</v>
      </c>
      <c r="U149" s="33" t="str">
        <f t="shared" si="2"/>
        <v>－</v>
      </c>
      <c r="V149" s="33">
        <f>28678890</f>
        <v>28678890</v>
      </c>
      <c r="W149" s="33" t="str">
        <f t="shared" si="3"/>
        <v>－</v>
      </c>
      <c r="X149" s="35">
        <f>19</f>
        <v>19</v>
      </c>
    </row>
    <row r="150" spans="1:24">
      <c r="A150" s="29" t="s">
        <v>42</v>
      </c>
      <c r="B150" s="29" t="s">
        <v>493</v>
      </c>
      <c r="C150" s="29" t="s">
        <v>494</v>
      </c>
      <c r="D150" s="29" t="s">
        <v>495</v>
      </c>
      <c r="E150" s="30" t="s">
        <v>46</v>
      </c>
      <c r="F150" s="31" t="s">
        <v>46</v>
      </c>
      <c r="G150" s="32" t="s">
        <v>46</v>
      </c>
      <c r="H150" s="27"/>
      <c r="I150" s="27" t="s">
        <v>47</v>
      </c>
      <c r="J150" s="33">
        <v>1</v>
      </c>
      <c r="K150" s="37">
        <f>18200</f>
        <v>18200</v>
      </c>
      <c r="L150" s="34" t="s">
        <v>48</v>
      </c>
      <c r="M150" s="37">
        <f>18450</f>
        <v>18450</v>
      </c>
      <c r="N150" s="34" t="s">
        <v>72</v>
      </c>
      <c r="O150" s="37">
        <f>17760</f>
        <v>17760</v>
      </c>
      <c r="P150" s="34" t="s">
        <v>95</v>
      </c>
      <c r="Q150" s="37">
        <f>17850</f>
        <v>17850</v>
      </c>
      <c r="R150" s="34" t="s">
        <v>50</v>
      </c>
      <c r="S150" s="36">
        <f>18117.78</f>
        <v>18117.78</v>
      </c>
      <c r="T150" s="33">
        <f>308</f>
        <v>308</v>
      </c>
      <c r="U150" s="33" t="str">
        <f t="shared" si="2"/>
        <v>－</v>
      </c>
      <c r="V150" s="33">
        <f>5597210</f>
        <v>5597210</v>
      </c>
      <c r="W150" s="33" t="str">
        <f t="shared" si="3"/>
        <v>－</v>
      </c>
      <c r="X150" s="35">
        <f>9</f>
        <v>9</v>
      </c>
    </row>
    <row r="151" spans="1:24">
      <c r="A151" s="29" t="s">
        <v>42</v>
      </c>
      <c r="B151" s="29" t="s">
        <v>496</v>
      </c>
      <c r="C151" s="29" t="s">
        <v>497</v>
      </c>
      <c r="D151" s="29" t="s">
        <v>498</v>
      </c>
      <c r="E151" s="30" t="s">
        <v>46</v>
      </c>
      <c r="F151" s="31" t="s">
        <v>46</v>
      </c>
      <c r="G151" s="32" t="s">
        <v>46</v>
      </c>
      <c r="H151" s="27"/>
      <c r="I151" s="27" t="s">
        <v>47</v>
      </c>
      <c r="J151" s="33">
        <v>1</v>
      </c>
      <c r="K151" s="37">
        <f>34900</f>
        <v>34900</v>
      </c>
      <c r="L151" s="34" t="s">
        <v>100</v>
      </c>
      <c r="M151" s="37">
        <f>35550</f>
        <v>35550</v>
      </c>
      <c r="N151" s="34" t="s">
        <v>150</v>
      </c>
      <c r="O151" s="37">
        <f>34300</f>
        <v>34300</v>
      </c>
      <c r="P151" s="34" t="s">
        <v>50</v>
      </c>
      <c r="Q151" s="37">
        <f>34350</f>
        <v>34350</v>
      </c>
      <c r="R151" s="34" t="s">
        <v>51</v>
      </c>
      <c r="S151" s="36">
        <f>34936.67</f>
        <v>34936.67</v>
      </c>
      <c r="T151" s="33">
        <f>804</f>
        <v>804</v>
      </c>
      <c r="U151" s="33" t="str">
        <f t="shared" si="2"/>
        <v>－</v>
      </c>
      <c r="V151" s="33">
        <f>28084250</f>
        <v>28084250</v>
      </c>
      <c r="W151" s="33" t="str">
        <f t="shared" si="3"/>
        <v>－</v>
      </c>
      <c r="X151" s="35">
        <f>15</f>
        <v>15</v>
      </c>
    </row>
    <row r="152" spans="1:24">
      <c r="A152" s="29" t="s">
        <v>42</v>
      </c>
      <c r="B152" s="29" t="s">
        <v>499</v>
      </c>
      <c r="C152" s="29" t="s">
        <v>500</v>
      </c>
      <c r="D152" s="29" t="s">
        <v>501</v>
      </c>
      <c r="E152" s="30" t="s">
        <v>46</v>
      </c>
      <c r="F152" s="31" t="s">
        <v>46</v>
      </c>
      <c r="G152" s="32" t="s">
        <v>46</v>
      </c>
      <c r="H152" s="27"/>
      <c r="I152" s="27" t="s">
        <v>47</v>
      </c>
      <c r="J152" s="33">
        <v>1</v>
      </c>
      <c r="K152" s="37">
        <f>20660</f>
        <v>20660</v>
      </c>
      <c r="L152" s="34" t="s">
        <v>119</v>
      </c>
      <c r="M152" s="37">
        <f>21030</f>
        <v>21030</v>
      </c>
      <c r="N152" s="34" t="s">
        <v>79</v>
      </c>
      <c r="O152" s="37">
        <f>20660</f>
        <v>20660</v>
      </c>
      <c r="P152" s="34" t="s">
        <v>119</v>
      </c>
      <c r="Q152" s="37">
        <f>21030</f>
        <v>21030</v>
      </c>
      <c r="R152" s="34" t="s">
        <v>79</v>
      </c>
      <c r="S152" s="36">
        <f>20975</f>
        <v>20975</v>
      </c>
      <c r="T152" s="33">
        <f>34</f>
        <v>34</v>
      </c>
      <c r="U152" s="33" t="str">
        <f t="shared" si="2"/>
        <v>－</v>
      </c>
      <c r="V152" s="33">
        <f>707010</f>
        <v>707010</v>
      </c>
      <c r="W152" s="33" t="str">
        <f t="shared" si="3"/>
        <v>－</v>
      </c>
      <c r="X152" s="35">
        <f>2</f>
        <v>2</v>
      </c>
    </row>
    <row r="153" spans="1:24">
      <c r="A153" s="29" t="s">
        <v>42</v>
      </c>
      <c r="B153" s="29" t="s">
        <v>502</v>
      </c>
      <c r="C153" s="29" t="s">
        <v>503</v>
      </c>
      <c r="D153" s="29" t="s">
        <v>504</v>
      </c>
      <c r="E153" s="30" t="s">
        <v>46</v>
      </c>
      <c r="F153" s="31" t="s">
        <v>46</v>
      </c>
      <c r="G153" s="32" t="s">
        <v>46</v>
      </c>
      <c r="H153" s="27"/>
      <c r="I153" s="27" t="s">
        <v>47</v>
      </c>
      <c r="J153" s="33">
        <v>1</v>
      </c>
      <c r="K153" s="37">
        <f>8850</f>
        <v>8850</v>
      </c>
      <c r="L153" s="34" t="s">
        <v>48</v>
      </c>
      <c r="M153" s="37">
        <f>8850</f>
        <v>8850</v>
      </c>
      <c r="N153" s="34" t="s">
        <v>48</v>
      </c>
      <c r="O153" s="37">
        <f>8410</f>
        <v>8410</v>
      </c>
      <c r="P153" s="34" t="s">
        <v>95</v>
      </c>
      <c r="Q153" s="37">
        <f>8530</f>
        <v>8530</v>
      </c>
      <c r="R153" s="34" t="s">
        <v>51</v>
      </c>
      <c r="S153" s="36">
        <f>8656.32</f>
        <v>8656.32</v>
      </c>
      <c r="T153" s="33">
        <f>5555</f>
        <v>5555</v>
      </c>
      <c r="U153" s="33">
        <f>11</f>
        <v>11</v>
      </c>
      <c r="V153" s="33">
        <f>48084470</f>
        <v>48084470</v>
      </c>
      <c r="W153" s="33">
        <f>93390</f>
        <v>93390</v>
      </c>
      <c r="X153" s="35">
        <f>19</f>
        <v>19</v>
      </c>
    </row>
    <row r="154" spans="1:24">
      <c r="A154" s="29" t="s">
        <v>42</v>
      </c>
      <c r="B154" s="29" t="s">
        <v>505</v>
      </c>
      <c r="C154" s="29" t="s">
        <v>506</v>
      </c>
      <c r="D154" s="29" t="s">
        <v>507</v>
      </c>
      <c r="E154" s="30" t="s">
        <v>46</v>
      </c>
      <c r="F154" s="31" t="s">
        <v>46</v>
      </c>
      <c r="G154" s="32" t="s">
        <v>46</v>
      </c>
      <c r="H154" s="27"/>
      <c r="I154" s="27" t="s">
        <v>47</v>
      </c>
      <c r="J154" s="33">
        <v>1</v>
      </c>
      <c r="K154" s="37">
        <f>12560</f>
        <v>12560</v>
      </c>
      <c r="L154" s="34" t="s">
        <v>48</v>
      </c>
      <c r="M154" s="37">
        <f>12900</f>
        <v>12900</v>
      </c>
      <c r="N154" s="34" t="s">
        <v>90</v>
      </c>
      <c r="O154" s="37">
        <f>12500</f>
        <v>12500</v>
      </c>
      <c r="P154" s="34" t="s">
        <v>91</v>
      </c>
      <c r="Q154" s="37">
        <f>12700</f>
        <v>12700</v>
      </c>
      <c r="R154" s="34" t="s">
        <v>51</v>
      </c>
      <c r="S154" s="36">
        <f>12740</f>
        <v>12740</v>
      </c>
      <c r="T154" s="33">
        <f>334</f>
        <v>334</v>
      </c>
      <c r="U154" s="33" t="str">
        <f>"－"</f>
        <v>－</v>
      </c>
      <c r="V154" s="33">
        <f>4217430</f>
        <v>4217430</v>
      </c>
      <c r="W154" s="33" t="str">
        <f>"－"</f>
        <v>－</v>
      </c>
      <c r="X154" s="35">
        <f>15</f>
        <v>15</v>
      </c>
    </row>
    <row r="155" spans="1:24">
      <c r="A155" s="29" t="s">
        <v>42</v>
      </c>
      <c r="B155" s="29" t="s">
        <v>508</v>
      </c>
      <c r="C155" s="29" t="s">
        <v>509</v>
      </c>
      <c r="D155" s="29" t="s">
        <v>510</v>
      </c>
      <c r="E155" s="30" t="s">
        <v>46</v>
      </c>
      <c r="F155" s="31" t="s">
        <v>46</v>
      </c>
      <c r="G155" s="32" t="s">
        <v>46</v>
      </c>
      <c r="H155" s="27"/>
      <c r="I155" s="27" t="s">
        <v>47</v>
      </c>
      <c r="J155" s="33">
        <v>1</v>
      </c>
      <c r="K155" s="37">
        <f>30950</f>
        <v>30950</v>
      </c>
      <c r="L155" s="34" t="s">
        <v>48</v>
      </c>
      <c r="M155" s="37">
        <f>32100</f>
        <v>32100</v>
      </c>
      <c r="N155" s="34" t="s">
        <v>91</v>
      </c>
      <c r="O155" s="37">
        <f>30550</f>
        <v>30550</v>
      </c>
      <c r="P155" s="34" t="s">
        <v>65</v>
      </c>
      <c r="Q155" s="37">
        <f>31900</f>
        <v>31900</v>
      </c>
      <c r="R155" s="34" t="s">
        <v>51</v>
      </c>
      <c r="S155" s="36">
        <f>31297.22</f>
        <v>31297.22</v>
      </c>
      <c r="T155" s="33">
        <f>1434</f>
        <v>1434</v>
      </c>
      <c r="U155" s="33">
        <f>32</f>
        <v>32</v>
      </c>
      <c r="V155" s="33">
        <f>44798100</f>
        <v>44798100</v>
      </c>
      <c r="W155" s="33">
        <f>1025600</f>
        <v>1025600</v>
      </c>
      <c r="X155" s="35">
        <f>18</f>
        <v>18</v>
      </c>
    </row>
    <row r="156" spans="1:24">
      <c r="A156" s="29" t="s">
        <v>42</v>
      </c>
      <c r="B156" s="29" t="s">
        <v>511</v>
      </c>
      <c r="C156" s="29" t="s">
        <v>512</v>
      </c>
      <c r="D156" s="29" t="s">
        <v>513</v>
      </c>
      <c r="E156" s="30" t="s">
        <v>46</v>
      </c>
      <c r="F156" s="31" t="s">
        <v>46</v>
      </c>
      <c r="G156" s="32" t="s">
        <v>46</v>
      </c>
      <c r="H156" s="27"/>
      <c r="I156" s="27" t="s">
        <v>47</v>
      </c>
      <c r="J156" s="33">
        <v>10</v>
      </c>
      <c r="K156" s="37">
        <f>991</f>
        <v>991</v>
      </c>
      <c r="L156" s="34" t="s">
        <v>48</v>
      </c>
      <c r="M156" s="37">
        <f>1009</f>
        <v>1009</v>
      </c>
      <c r="N156" s="34" t="s">
        <v>49</v>
      </c>
      <c r="O156" s="37">
        <f>968</f>
        <v>968</v>
      </c>
      <c r="P156" s="34" t="s">
        <v>50</v>
      </c>
      <c r="Q156" s="37">
        <f>976</f>
        <v>976</v>
      </c>
      <c r="R156" s="34" t="s">
        <v>51</v>
      </c>
      <c r="S156" s="36">
        <f>991.74</f>
        <v>991.74</v>
      </c>
      <c r="T156" s="33">
        <f>306920</f>
        <v>306920</v>
      </c>
      <c r="U156" s="33" t="str">
        <f>"－"</f>
        <v>－</v>
      </c>
      <c r="V156" s="33">
        <f>304783240</f>
        <v>304783240</v>
      </c>
      <c r="W156" s="33" t="str">
        <f>"－"</f>
        <v>－</v>
      </c>
      <c r="X156" s="35">
        <f>19</f>
        <v>19</v>
      </c>
    </row>
    <row r="157" spans="1:24">
      <c r="A157" s="29" t="s">
        <v>42</v>
      </c>
      <c r="B157" s="29" t="s">
        <v>514</v>
      </c>
      <c r="C157" s="29" t="s">
        <v>515</v>
      </c>
      <c r="D157" s="29" t="s">
        <v>516</v>
      </c>
      <c r="E157" s="30" t="s">
        <v>46</v>
      </c>
      <c r="F157" s="31" t="s">
        <v>46</v>
      </c>
      <c r="G157" s="32" t="s">
        <v>46</v>
      </c>
      <c r="H157" s="27"/>
      <c r="I157" s="27" t="s">
        <v>47</v>
      </c>
      <c r="J157" s="33">
        <v>10</v>
      </c>
      <c r="K157" s="37">
        <f>2116</f>
        <v>2116</v>
      </c>
      <c r="L157" s="34" t="s">
        <v>100</v>
      </c>
      <c r="M157" s="37">
        <f>2140</f>
        <v>2140</v>
      </c>
      <c r="N157" s="34" t="s">
        <v>90</v>
      </c>
      <c r="O157" s="37">
        <f>2067</f>
        <v>2067</v>
      </c>
      <c r="P157" s="34" t="s">
        <v>50</v>
      </c>
      <c r="Q157" s="37">
        <f>2067</f>
        <v>2067</v>
      </c>
      <c r="R157" s="34" t="s">
        <v>50</v>
      </c>
      <c r="S157" s="36">
        <f>2120.45</f>
        <v>2120.4499999999998</v>
      </c>
      <c r="T157" s="33">
        <f>6000</f>
        <v>6000</v>
      </c>
      <c r="U157" s="33" t="str">
        <f>"－"</f>
        <v>－</v>
      </c>
      <c r="V157" s="33">
        <f>12792900</f>
        <v>12792900</v>
      </c>
      <c r="W157" s="33" t="str">
        <f>"－"</f>
        <v>－</v>
      </c>
      <c r="X157" s="35">
        <f>11</f>
        <v>11</v>
      </c>
    </row>
    <row r="158" spans="1:24">
      <c r="A158" s="29" t="s">
        <v>42</v>
      </c>
      <c r="B158" s="29" t="s">
        <v>517</v>
      </c>
      <c r="C158" s="29" t="s">
        <v>518</v>
      </c>
      <c r="D158" s="29" t="s">
        <v>519</v>
      </c>
      <c r="E158" s="30" t="s">
        <v>46</v>
      </c>
      <c r="F158" s="31" t="s">
        <v>46</v>
      </c>
      <c r="G158" s="32" t="s">
        <v>46</v>
      </c>
      <c r="H158" s="27"/>
      <c r="I158" s="27" t="s">
        <v>47</v>
      </c>
      <c r="J158" s="33">
        <v>10</v>
      </c>
      <c r="K158" s="37">
        <f>2137</f>
        <v>2137</v>
      </c>
      <c r="L158" s="34" t="s">
        <v>48</v>
      </c>
      <c r="M158" s="37">
        <f>2181</f>
        <v>2181</v>
      </c>
      <c r="N158" s="34" t="s">
        <v>49</v>
      </c>
      <c r="O158" s="37">
        <f>2116</f>
        <v>2116</v>
      </c>
      <c r="P158" s="34" t="s">
        <v>65</v>
      </c>
      <c r="Q158" s="37">
        <f>2124</f>
        <v>2124</v>
      </c>
      <c r="R158" s="34" t="s">
        <v>51</v>
      </c>
      <c r="S158" s="36">
        <f>2151.53</f>
        <v>2151.5300000000002</v>
      </c>
      <c r="T158" s="33">
        <f>31690</f>
        <v>31690</v>
      </c>
      <c r="U158" s="33" t="str">
        <f>"－"</f>
        <v>－</v>
      </c>
      <c r="V158" s="33">
        <f>68026480</f>
        <v>68026480</v>
      </c>
      <c r="W158" s="33" t="str">
        <f>"－"</f>
        <v>－</v>
      </c>
      <c r="X158" s="35">
        <f>17</f>
        <v>17</v>
      </c>
    </row>
    <row r="159" spans="1:24">
      <c r="A159" s="29" t="s">
        <v>42</v>
      </c>
      <c r="B159" s="29" t="s">
        <v>520</v>
      </c>
      <c r="C159" s="29" t="s">
        <v>521</v>
      </c>
      <c r="D159" s="29" t="s">
        <v>522</v>
      </c>
      <c r="E159" s="30" t="s">
        <v>46</v>
      </c>
      <c r="F159" s="31" t="s">
        <v>46</v>
      </c>
      <c r="G159" s="32" t="s">
        <v>46</v>
      </c>
      <c r="H159" s="27"/>
      <c r="I159" s="27" t="s">
        <v>47</v>
      </c>
      <c r="J159" s="33">
        <v>10</v>
      </c>
      <c r="K159" s="37">
        <f>1298</f>
        <v>1298</v>
      </c>
      <c r="L159" s="34" t="s">
        <v>48</v>
      </c>
      <c r="M159" s="37">
        <f>1323</f>
        <v>1323</v>
      </c>
      <c r="N159" s="34" t="s">
        <v>49</v>
      </c>
      <c r="O159" s="37">
        <f>1274</f>
        <v>1274</v>
      </c>
      <c r="P159" s="34" t="s">
        <v>50</v>
      </c>
      <c r="Q159" s="37">
        <f>1294</f>
        <v>1294</v>
      </c>
      <c r="R159" s="34" t="s">
        <v>51</v>
      </c>
      <c r="S159" s="36">
        <f>1302.33</f>
        <v>1302.33</v>
      </c>
      <c r="T159" s="33">
        <f>49510</f>
        <v>49510</v>
      </c>
      <c r="U159" s="33" t="str">
        <f>"－"</f>
        <v>－</v>
      </c>
      <c r="V159" s="33">
        <f>64540750</f>
        <v>64540750</v>
      </c>
      <c r="W159" s="33" t="str">
        <f>"－"</f>
        <v>－</v>
      </c>
      <c r="X159" s="35">
        <f>15</f>
        <v>15</v>
      </c>
    </row>
    <row r="160" spans="1:24">
      <c r="A160" s="29" t="s">
        <v>42</v>
      </c>
      <c r="B160" s="29" t="s">
        <v>523</v>
      </c>
      <c r="C160" s="29" t="s">
        <v>524</v>
      </c>
      <c r="D160" s="29" t="s">
        <v>525</v>
      </c>
      <c r="E160" s="30" t="s">
        <v>46</v>
      </c>
      <c r="F160" s="31" t="s">
        <v>46</v>
      </c>
      <c r="G160" s="32" t="s">
        <v>46</v>
      </c>
      <c r="H160" s="27"/>
      <c r="I160" s="27" t="s">
        <v>47</v>
      </c>
      <c r="J160" s="33">
        <v>1</v>
      </c>
      <c r="K160" s="37">
        <f>2494</f>
        <v>2494</v>
      </c>
      <c r="L160" s="34" t="s">
        <v>48</v>
      </c>
      <c r="M160" s="37">
        <f>2632</f>
        <v>2632</v>
      </c>
      <c r="N160" s="34" t="s">
        <v>309</v>
      </c>
      <c r="O160" s="37">
        <f>2455</f>
        <v>2455</v>
      </c>
      <c r="P160" s="34" t="s">
        <v>65</v>
      </c>
      <c r="Q160" s="37">
        <f>2573</f>
        <v>2573</v>
      </c>
      <c r="R160" s="34" t="s">
        <v>51</v>
      </c>
      <c r="S160" s="36">
        <f>2576.53</f>
        <v>2576.5300000000002</v>
      </c>
      <c r="T160" s="33">
        <f>968080</f>
        <v>968080</v>
      </c>
      <c r="U160" s="33">
        <f>237032</f>
        <v>237032</v>
      </c>
      <c r="V160" s="33">
        <f>2494414382</f>
        <v>2494414382</v>
      </c>
      <c r="W160" s="33">
        <f>612862380</f>
        <v>612862380</v>
      </c>
      <c r="X160" s="35">
        <f>19</f>
        <v>19</v>
      </c>
    </row>
    <row r="161" spans="1:24">
      <c r="A161" s="29" t="s">
        <v>42</v>
      </c>
      <c r="B161" s="29" t="s">
        <v>526</v>
      </c>
      <c r="C161" s="29" t="s">
        <v>527</v>
      </c>
      <c r="D161" s="29" t="s">
        <v>528</v>
      </c>
      <c r="E161" s="30" t="s">
        <v>46</v>
      </c>
      <c r="F161" s="31" t="s">
        <v>46</v>
      </c>
      <c r="G161" s="32" t="s">
        <v>46</v>
      </c>
      <c r="H161" s="27"/>
      <c r="I161" s="27" t="s">
        <v>47</v>
      </c>
      <c r="J161" s="33">
        <v>1</v>
      </c>
      <c r="K161" s="37">
        <f>2530</f>
        <v>2530</v>
      </c>
      <c r="L161" s="34" t="s">
        <v>48</v>
      </c>
      <c r="M161" s="37">
        <f>2580</f>
        <v>2580</v>
      </c>
      <c r="N161" s="34" t="s">
        <v>50</v>
      </c>
      <c r="O161" s="37">
        <f>2522</f>
        <v>2522</v>
      </c>
      <c r="P161" s="34" t="s">
        <v>65</v>
      </c>
      <c r="Q161" s="37">
        <f>2580</f>
        <v>2580</v>
      </c>
      <c r="R161" s="34" t="s">
        <v>51</v>
      </c>
      <c r="S161" s="36">
        <f>2550.37</f>
        <v>2550.37</v>
      </c>
      <c r="T161" s="33">
        <f>414696</f>
        <v>414696</v>
      </c>
      <c r="U161" s="33">
        <f>378000</f>
        <v>378000</v>
      </c>
      <c r="V161" s="33">
        <f>1055073276</f>
        <v>1055073276</v>
      </c>
      <c r="W161" s="33">
        <f>961493330</f>
        <v>961493330</v>
      </c>
      <c r="X161" s="35">
        <f>19</f>
        <v>19</v>
      </c>
    </row>
    <row r="162" spans="1:24">
      <c r="A162" s="29" t="s">
        <v>42</v>
      </c>
      <c r="B162" s="29" t="s">
        <v>529</v>
      </c>
      <c r="C162" s="29" t="s">
        <v>530</v>
      </c>
      <c r="D162" s="29" t="s">
        <v>531</v>
      </c>
      <c r="E162" s="30" t="s">
        <v>46</v>
      </c>
      <c r="F162" s="31" t="s">
        <v>46</v>
      </c>
      <c r="G162" s="32" t="s">
        <v>46</v>
      </c>
      <c r="H162" s="27"/>
      <c r="I162" s="27" t="s">
        <v>47</v>
      </c>
      <c r="J162" s="33">
        <v>1</v>
      </c>
      <c r="K162" s="37">
        <f>2324</f>
        <v>2324</v>
      </c>
      <c r="L162" s="34" t="s">
        <v>48</v>
      </c>
      <c r="M162" s="37">
        <f>2450</f>
        <v>2450</v>
      </c>
      <c r="N162" s="34" t="s">
        <v>49</v>
      </c>
      <c r="O162" s="37">
        <f>2291</f>
        <v>2291</v>
      </c>
      <c r="P162" s="34" t="s">
        <v>65</v>
      </c>
      <c r="Q162" s="37">
        <f>2390</f>
        <v>2390</v>
      </c>
      <c r="R162" s="34" t="s">
        <v>51</v>
      </c>
      <c r="S162" s="36">
        <f>2392.68</f>
        <v>2392.6799999999998</v>
      </c>
      <c r="T162" s="33">
        <f>533019</f>
        <v>533019</v>
      </c>
      <c r="U162" s="33">
        <f>424000</f>
        <v>424000</v>
      </c>
      <c r="V162" s="33">
        <f>1269520041</f>
        <v>1269520041</v>
      </c>
      <c r="W162" s="33">
        <f>1008754050</f>
        <v>1008754050</v>
      </c>
      <c r="X162" s="35">
        <f>19</f>
        <v>19</v>
      </c>
    </row>
    <row r="163" spans="1:24">
      <c r="A163" s="29" t="s">
        <v>42</v>
      </c>
      <c r="B163" s="29" t="s">
        <v>532</v>
      </c>
      <c r="C163" s="29" t="s">
        <v>533</v>
      </c>
      <c r="D163" s="29" t="s">
        <v>534</v>
      </c>
      <c r="E163" s="30" t="s">
        <v>46</v>
      </c>
      <c r="F163" s="31" t="s">
        <v>46</v>
      </c>
      <c r="G163" s="32" t="s">
        <v>46</v>
      </c>
      <c r="H163" s="27"/>
      <c r="I163" s="27" t="s">
        <v>47</v>
      </c>
      <c r="J163" s="33">
        <v>1</v>
      </c>
      <c r="K163" s="37">
        <f>2008</f>
        <v>2008</v>
      </c>
      <c r="L163" s="34" t="s">
        <v>48</v>
      </c>
      <c r="M163" s="37">
        <f>2092</f>
        <v>2092</v>
      </c>
      <c r="N163" s="34" t="s">
        <v>90</v>
      </c>
      <c r="O163" s="37">
        <f>1923</f>
        <v>1923</v>
      </c>
      <c r="P163" s="34" t="s">
        <v>50</v>
      </c>
      <c r="Q163" s="37">
        <f>1928</f>
        <v>1928</v>
      </c>
      <c r="R163" s="34" t="s">
        <v>51</v>
      </c>
      <c r="S163" s="36">
        <f>2015.32</f>
        <v>2015.32</v>
      </c>
      <c r="T163" s="33">
        <f>345812</f>
        <v>345812</v>
      </c>
      <c r="U163" s="33">
        <f>200000</f>
        <v>200000</v>
      </c>
      <c r="V163" s="33">
        <f>692498635</f>
        <v>692498635</v>
      </c>
      <c r="W163" s="33">
        <f>399840000</f>
        <v>399840000</v>
      </c>
      <c r="X163" s="35">
        <f>19</f>
        <v>19</v>
      </c>
    </row>
    <row r="164" spans="1:24">
      <c r="A164" s="29" t="s">
        <v>42</v>
      </c>
      <c r="B164" s="29" t="s">
        <v>535</v>
      </c>
      <c r="C164" s="29" t="s">
        <v>536</v>
      </c>
      <c r="D164" s="29" t="s">
        <v>537</v>
      </c>
      <c r="E164" s="30" t="s">
        <v>46</v>
      </c>
      <c r="F164" s="31" t="s">
        <v>46</v>
      </c>
      <c r="G164" s="32" t="s">
        <v>46</v>
      </c>
      <c r="H164" s="27"/>
      <c r="I164" s="27" t="s">
        <v>47</v>
      </c>
      <c r="J164" s="33">
        <v>1</v>
      </c>
      <c r="K164" s="37">
        <f>2195</f>
        <v>2195</v>
      </c>
      <c r="L164" s="34" t="s">
        <v>48</v>
      </c>
      <c r="M164" s="37">
        <f>2319</f>
        <v>2319</v>
      </c>
      <c r="N164" s="34" t="s">
        <v>309</v>
      </c>
      <c r="O164" s="37">
        <f>2168</f>
        <v>2168</v>
      </c>
      <c r="P164" s="34" t="s">
        <v>65</v>
      </c>
      <c r="Q164" s="37">
        <f>2278</f>
        <v>2278</v>
      </c>
      <c r="R164" s="34" t="s">
        <v>51</v>
      </c>
      <c r="S164" s="36">
        <f>2259.63</f>
        <v>2259.63</v>
      </c>
      <c r="T164" s="33">
        <f>211365</f>
        <v>211365</v>
      </c>
      <c r="U164" s="33">
        <f>58300</f>
        <v>58300</v>
      </c>
      <c r="V164" s="33">
        <f>480587757</f>
        <v>480587757</v>
      </c>
      <c r="W164" s="33">
        <f>133536240</f>
        <v>133536240</v>
      </c>
      <c r="X164" s="35">
        <f>19</f>
        <v>19</v>
      </c>
    </row>
    <row r="165" spans="1:24">
      <c r="A165" s="29" t="s">
        <v>42</v>
      </c>
      <c r="B165" s="29" t="s">
        <v>538</v>
      </c>
      <c r="C165" s="29" t="s">
        <v>539</v>
      </c>
      <c r="D165" s="29" t="s">
        <v>540</v>
      </c>
      <c r="E165" s="30" t="s">
        <v>46</v>
      </c>
      <c r="F165" s="31" t="s">
        <v>46</v>
      </c>
      <c r="G165" s="32" t="s">
        <v>46</v>
      </c>
      <c r="H165" s="27"/>
      <c r="I165" s="27" t="s">
        <v>47</v>
      </c>
      <c r="J165" s="33">
        <v>1</v>
      </c>
      <c r="K165" s="37">
        <f>11560</f>
        <v>11560</v>
      </c>
      <c r="L165" s="34" t="s">
        <v>48</v>
      </c>
      <c r="M165" s="37">
        <f>11680</f>
        <v>11680</v>
      </c>
      <c r="N165" s="34" t="s">
        <v>51</v>
      </c>
      <c r="O165" s="37">
        <f>11240</f>
        <v>11240</v>
      </c>
      <c r="P165" s="34" t="s">
        <v>119</v>
      </c>
      <c r="Q165" s="37">
        <f>11630</f>
        <v>11630</v>
      </c>
      <c r="R165" s="34" t="s">
        <v>51</v>
      </c>
      <c r="S165" s="36">
        <f>11448.42</f>
        <v>11448.42</v>
      </c>
      <c r="T165" s="33">
        <f>23908</f>
        <v>23908</v>
      </c>
      <c r="U165" s="33">
        <f>4000</f>
        <v>4000</v>
      </c>
      <c r="V165" s="33">
        <f>274279140</f>
        <v>274279140</v>
      </c>
      <c r="W165" s="33">
        <f>45696720</f>
        <v>45696720</v>
      </c>
      <c r="X165" s="35">
        <f>19</f>
        <v>19</v>
      </c>
    </row>
    <row r="166" spans="1:24">
      <c r="A166" s="29" t="s">
        <v>42</v>
      </c>
      <c r="B166" s="29" t="s">
        <v>541</v>
      </c>
      <c r="C166" s="29" t="s">
        <v>542</v>
      </c>
      <c r="D166" s="29" t="s">
        <v>543</v>
      </c>
      <c r="E166" s="30" t="s">
        <v>46</v>
      </c>
      <c r="F166" s="31" t="s">
        <v>46</v>
      </c>
      <c r="G166" s="32" t="s">
        <v>46</v>
      </c>
      <c r="H166" s="27"/>
      <c r="I166" s="27" t="s">
        <v>47</v>
      </c>
      <c r="J166" s="33">
        <v>100</v>
      </c>
      <c r="K166" s="37">
        <f>136</f>
        <v>136</v>
      </c>
      <c r="L166" s="34" t="s">
        <v>48</v>
      </c>
      <c r="M166" s="37">
        <f>140</f>
        <v>140</v>
      </c>
      <c r="N166" s="34" t="s">
        <v>90</v>
      </c>
      <c r="O166" s="37">
        <f>133</f>
        <v>133</v>
      </c>
      <c r="P166" s="34" t="s">
        <v>50</v>
      </c>
      <c r="Q166" s="37">
        <f>138</f>
        <v>138</v>
      </c>
      <c r="R166" s="34" t="s">
        <v>51</v>
      </c>
      <c r="S166" s="36">
        <f>136.69</f>
        <v>136.69</v>
      </c>
      <c r="T166" s="33">
        <f>13900</f>
        <v>13900</v>
      </c>
      <c r="U166" s="33" t="str">
        <f>"－"</f>
        <v>－</v>
      </c>
      <c r="V166" s="33">
        <f>1918800</f>
        <v>1918800</v>
      </c>
      <c r="W166" s="33" t="str">
        <f>"－"</f>
        <v>－</v>
      </c>
      <c r="X166" s="35">
        <f>16</f>
        <v>16</v>
      </c>
    </row>
    <row r="167" spans="1:24">
      <c r="A167" s="29" t="s">
        <v>42</v>
      </c>
      <c r="B167" s="29" t="s">
        <v>544</v>
      </c>
      <c r="C167" s="29" t="s">
        <v>545</v>
      </c>
      <c r="D167" s="29" t="s">
        <v>546</v>
      </c>
      <c r="E167" s="30" t="s">
        <v>46</v>
      </c>
      <c r="F167" s="31" t="s">
        <v>46</v>
      </c>
      <c r="G167" s="32" t="s">
        <v>46</v>
      </c>
      <c r="H167" s="27"/>
      <c r="I167" s="27" t="s">
        <v>47</v>
      </c>
      <c r="J167" s="33">
        <v>1</v>
      </c>
      <c r="K167" s="37">
        <f>2749</f>
        <v>2749</v>
      </c>
      <c r="L167" s="34" t="s">
        <v>48</v>
      </c>
      <c r="M167" s="37">
        <f>2822</f>
        <v>2822</v>
      </c>
      <c r="N167" s="34" t="s">
        <v>65</v>
      </c>
      <c r="O167" s="37">
        <f>2303</f>
        <v>2303</v>
      </c>
      <c r="P167" s="34" t="s">
        <v>91</v>
      </c>
      <c r="Q167" s="37">
        <f>2331</f>
        <v>2331</v>
      </c>
      <c r="R167" s="34" t="s">
        <v>51</v>
      </c>
      <c r="S167" s="36">
        <f>2527.32</f>
        <v>2527.3200000000002</v>
      </c>
      <c r="T167" s="33">
        <f>1861301</f>
        <v>1861301</v>
      </c>
      <c r="U167" s="33">
        <f>10144</f>
        <v>10144</v>
      </c>
      <c r="V167" s="33">
        <f>4789595059</f>
        <v>4789595059</v>
      </c>
      <c r="W167" s="33">
        <f>27244093</f>
        <v>27244093</v>
      </c>
      <c r="X167" s="35">
        <f>19</f>
        <v>19</v>
      </c>
    </row>
    <row r="168" spans="1:24">
      <c r="A168" s="29" t="s">
        <v>42</v>
      </c>
      <c r="B168" s="29" t="s">
        <v>737</v>
      </c>
      <c r="C168" s="29" t="s">
        <v>738</v>
      </c>
      <c r="D168" s="29" t="s">
        <v>739</v>
      </c>
      <c r="E168" s="30" t="s">
        <v>46</v>
      </c>
      <c r="F168" s="31" t="s">
        <v>46</v>
      </c>
      <c r="G168" s="32" t="s">
        <v>46</v>
      </c>
      <c r="H168" s="27"/>
      <c r="I168" s="27" t="s">
        <v>47</v>
      </c>
      <c r="J168" s="33">
        <v>1</v>
      </c>
      <c r="K168" s="37">
        <f>15800</f>
        <v>15800</v>
      </c>
      <c r="L168" s="34" t="s">
        <v>48</v>
      </c>
      <c r="M168" s="37">
        <f>16200</f>
        <v>16200</v>
      </c>
      <c r="N168" s="34" t="s">
        <v>51</v>
      </c>
      <c r="O168" s="37">
        <f>15420</f>
        <v>15420</v>
      </c>
      <c r="P168" s="34" t="s">
        <v>61</v>
      </c>
      <c r="Q168" s="37">
        <f>16200</f>
        <v>16200</v>
      </c>
      <c r="R168" s="34" t="s">
        <v>51</v>
      </c>
      <c r="S168" s="36">
        <f>15944.21</f>
        <v>15944.21</v>
      </c>
      <c r="T168" s="33">
        <f>2270</f>
        <v>2270</v>
      </c>
      <c r="U168" s="33" t="str">
        <f>"－"</f>
        <v>－</v>
      </c>
      <c r="V168" s="33">
        <f>36053060</f>
        <v>36053060</v>
      </c>
      <c r="W168" s="33" t="str">
        <f>"－"</f>
        <v>－</v>
      </c>
      <c r="X168" s="35">
        <f>19</f>
        <v>19</v>
      </c>
    </row>
    <row r="169" spans="1:24">
      <c r="A169" s="29" t="s">
        <v>42</v>
      </c>
      <c r="B169" s="29" t="s">
        <v>740</v>
      </c>
      <c r="C169" s="29" t="s">
        <v>741</v>
      </c>
      <c r="D169" s="29" t="s">
        <v>742</v>
      </c>
      <c r="E169" s="30" t="s">
        <v>46</v>
      </c>
      <c r="F169" s="31" t="s">
        <v>46</v>
      </c>
      <c r="G169" s="32" t="s">
        <v>46</v>
      </c>
      <c r="H169" s="27"/>
      <c r="I169" s="27" t="s">
        <v>47</v>
      </c>
      <c r="J169" s="33">
        <v>10</v>
      </c>
      <c r="K169" s="37">
        <f>1710</f>
        <v>1710</v>
      </c>
      <c r="L169" s="34" t="s">
        <v>48</v>
      </c>
      <c r="M169" s="37">
        <f>1800</f>
        <v>1800</v>
      </c>
      <c r="N169" s="34" t="s">
        <v>61</v>
      </c>
      <c r="O169" s="37">
        <f>1590</f>
        <v>1590</v>
      </c>
      <c r="P169" s="34" t="s">
        <v>50</v>
      </c>
      <c r="Q169" s="37">
        <f>1600</f>
        <v>1600</v>
      </c>
      <c r="R169" s="34" t="s">
        <v>51</v>
      </c>
      <c r="S169" s="36">
        <f>1657.45</f>
        <v>1657.45</v>
      </c>
      <c r="T169" s="33">
        <f>930</f>
        <v>930</v>
      </c>
      <c r="U169" s="33" t="str">
        <f>"－"</f>
        <v>－</v>
      </c>
      <c r="V169" s="33">
        <f>1535170</f>
        <v>1535170</v>
      </c>
      <c r="W169" s="33" t="str">
        <f>"－"</f>
        <v>－</v>
      </c>
      <c r="X169" s="35">
        <f>11</f>
        <v>11</v>
      </c>
    </row>
    <row r="170" spans="1:24">
      <c r="A170" s="29" t="s">
        <v>42</v>
      </c>
      <c r="B170" s="29" t="s">
        <v>743</v>
      </c>
      <c r="C170" s="29" t="s">
        <v>744</v>
      </c>
      <c r="D170" s="29" t="s">
        <v>745</v>
      </c>
      <c r="E170" s="30" t="s">
        <v>46</v>
      </c>
      <c r="F170" s="31" t="s">
        <v>46</v>
      </c>
      <c r="G170" s="32" t="s">
        <v>46</v>
      </c>
      <c r="H170" s="27"/>
      <c r="I170" s="27" t="s">
        <v>47</v>
      </c>
      <c r="J170" s="33">
        <v>1</v>
      </c>
      <c r="K170" s="37">
        <f>9470</f>
        <v>9470</v>
      </c>
      <c r="L170" s="34" t="s">
        <v>48</v>
      </c>
      <c r="M170" s="37">
        <f>10840</f>
        <v>10840</v>
      </c>
      <c r="N170" s="34" t="s">
        <v>91</v>
      </c>
      <c r="O170" s="37">
        <f>9330</f>
        <v>9330</v>
      </c>
      <c r="P170" s="34" t="s">
        <v>48</v>
      </c>
      <c r="Q170" s="37">
        <f>9790</f>
        <v>9790</v>
      </c>
      <c r="R170" s="34" t="s">
        <v>51</v>
      </c>
      <c r="S170" s="36">
        <f>10008.67</f>
        <v>10008.67</v>
      </c>
      <c r="T170" s="33">
        <f>1805</f>
        <v>1805</v>
      </c>
      <c r="U170" s="33" t="str">
        <f>"－"</f>
        <v>－</v>
      </c>
      <c r="V170" s="33">
        <f>18023810</f>
        <v>18023810</v>
      </c>
      <c r="W170" s="33" t="str">
        <f>"－"</f>
        <v>－</v>
      </c>
      <c r="X170" s="35">
        <f>15</f>
        <v>15</v>
      </c>
    </row>
    <row r="171" spans="1:24">
      <c r="A171" s="29" t="s">
        <v>42</v>
      </c>
      <c r="B171" s="29" t="s">
        <v>746</v>
      </c>
      <c r="C171" s="29" t="s">
        <v>747</v>
      </c>
      <c r="D171" s="29" t="s">
        <v>748</v>
      </c>
      <c r="E171" s="30" t="s">
        <v>46</v>
      </c>
      <c r="F171" s="31" t="s">
        <v>46</v>
      </c>
      <c r="G171" s="32" t="s">
        <v>46</v>
      </c>
      <c r="H171" s="27"/>
      <c r="I171" s="27" t="s">
        <v>47</v>
      </c>
      <c r="J171" s="33">
        <v>1</v>
      </c>
      <c r="K171" s="37">
        <f>21830</f>
        <v>21830</v>
      </c>
      <c r="L171" s="34" t="s">
        <v>100</v>
      </c>
      <c r="M171" s="37">
        <f>38350</f>
        <v>38350</v>
      </c>
      <c r="N171" s="34" t="s">
        <v>99</v>
      </c>
      <c r="O171" s="37">
        <f>17610</f>
        <v>17610</v>
      </c>
      <c r="P171" s="34" t="s">
        <v>61</v>
      </c>
      <c r="Q171" s="37">
        <f>28330</f>
        <v>28330</v>
      </c>
      <c r="R171" s="34" t="s">
        <v>51</v>
      </c>
      <c r="S171" s="36">
        <f>25521.67</f>
        <v>25521.67</v>
      </c>
      <c r="T171" s="33">
        <f>726</f>
        <v>726</v>
      </c>
      <c r="U171" s="33" t="str">
        <f>"－"</f>
        <v>－</v>
      </c>
      <c r="V171" s="33">
        <f>20973800</f>
        <v>20973800</v>
      </c>
      <c r="W171" s="33" t="str">
        <f>"－"</f>
        <v>－</v>
      </c>
      <c r="X171" s="35">
        <f>18</f>
        <v>18</v>
      </c>
    </row>
    <row r="172" spans="1:24">
      <c r="A172" s="29" t="s">
        <v>42</v>
      </c>
      <c r="B172" s="29" t="s">
        <v>749</v>
      </c>
      <c r="C172" s="29" t="s">
        <v>750</v>
      </c>
      <c r="D172" s="29" t="s">
        <v>751</v>
      </c>
      <c r="E172" s="30" t="s">
        <v>46</v>
      </c>
      <c r="F172" s="31" t="s">
        <v>46</v>
      </c>
      <c r="G172" s="32" t="s">
        <v>46</v>
      </c>
      <c r="H172" s="27"/>
      <c r="I172" s="27" t="s">
        <v>47</v>
      </c>
      <c r="J172" s="33">
        <v>1</v>
      </c>
      <c r="K172" s="37">
        <f>13200</f>
        <v>13200</v>
      </c>
      <c r="L172" s="34" t="s">
        <v>119</v>
      </c>
      <c r="M172" s="37">
        <f>15230</f>
        <v>15230</v>
      </c>
      <c r="N172" s="34" t="s">
        <v>99</v>
      </c>
      <c r="O172" s="37">
        <f>11760</f>
        <v>11760</v>
      </c>
      <c r="P172" s="34" t="s">
        <v>50</v>
      </c>
      <c r="Q172" s="37">
        <f>11760</f>
        <v>11760</v>
      </c>
      <c r="R172" s="34" t="s">
        <v>50</v>
      </c>
      <c r="S172" s="36">
        <f>13874.29</f>
        <v>13874.29</v>
      </c>
      <c r="T172" s="33">
        <f>25</f>
        <v>25</v>
      </c>
      <c r="U172" s="33" t="str">
        <f>"－"</f>
        <v>－</v>
      </c>
      <c r="V172" s="33">
        <f>346900</f>
        <v>346900</v>
      </c>
      <c r="W172" s="33" t="str">
        <f>"－"</f>
        <v>－</v>
      </c>
      <c r="X172" s="35">
        <f>7</f>
        <v>7</v>
      </c>
    </row>
    <row r="173" spans="1:24">
      <c r="A173" s="29" t="s">
        <v>42</v>
      </c>
      <c r="B173" s="29" t="s">
        <v>547</v>
      </c>
      <c r="C173" s="29" t="s">
        <v>548</v>
      </c>
      <c r="D173" s="29" t="s">
        <v>549</v>
      </c>
      <c r="E173" s="30" t="s">
        <v>46</v>
      </c>
      <c r="F173" s="31" t="s">
        <v>46</v>
      </c>
      <c r="G173" s="32" t="s">
        <v>46</v>
      </c>
      <c r="H173" s="27"/>
      <c r="I173" s="27" t="s">
        <v>47</v>
      </c>
      <c r="J173" s="33">
        <v>10</v>
      </c>
      <c r="K173" s="37">
        <f>50100</f>
        <v>50100</v>
      </c>
      <c r="L173" s="34" t="s">
        <v>48</v>
      </c>
      <c r="M173" s="37">
        <f>50600</f>
        <v>50600</v>
      </c>
      <c r="N173" s="34" t="s">
        <v>79</v>
      </c>
      <c r="O173" s="37">
        <f>49950</f>
        <v>49950</v>
      </c>
      <c r="P173" s="34" t="s">
        <v>48</v>
      </c>
      <c r="Q173" s="37">
        <f>50500</f>
        <v>50500</v>
      </c>
      <c r="R173" s="34" t="s">
        <v>51</v>
      </c>
      <c r="S173" s="36">
        <f>50300</f>
        <v>50300</v>
      </c>
      <c r="T173" s="33">
        <f>22110</f>
        <v>22110</v>
      </c>
      <c r="U173" s="33">
        <f>15500</f>
        <v>15500</v>
      </c>
      <c r="V173" s="33">
        <f>1111378200</f>
        <v>1111378200</v>
      </c>
      <c r="W173" s="33">
        <f>779090700</f>
        <v>779090700</v>
      </c>
      <c r="X173" s="35">
        <f>19</f>
        <v>19</v>
      </c>
    </row>
    <row r="174" spans="1:24">
      <c r="A174" s="29" t="s">
        <v>42</v>
      </c>
      <c r="B174" s="29" t="s">
        <v>550</v>
      </c>
      <c r="C174" s="29" t="s">
        <v>551</v>
      </c>
      <c r="D174" s="29" t="s">
        <v>552</v>
      </c>
      <c r="E174" s="30" t="s">
        <v>46</v>
      </c>
      <c r="F174" s="31" t="s">
        <v>46</v>
      </c>
      <c r="G174" s="32" t="s">
        <v>46</v>
      </c>
      <c r="H174" s="27"/>
      <c r="I174" s="27" t="s">
        <v>47</v>
      </c>
      <c r="J174" s="33">
        <v>100</v>
      </c>
      <c r="K174" s="37">
        <f>162</f>
        <v>162</v>
      </c>
      <c r="L174" s="34" t="s">
        <v>48</v>
      </c>
      <c r="M174" s="37">
        <f>169</f>
        <v>169</v>
      </c>
      <c r="N174" s="34" t="s">
        <v>79</v>
      </c>
      <c r="O174" s="37">
        <f>158</f>
        <v>158</v>
      </c>
      <c r="P174" s="34" t="s">
        <v>65</v>
      </c>
      <c r="Q174" s="37">
        <f>163</f>
        <v>163</v>
      </c>
      <c r="R174" s="34" t="s">
        <v>51</v>
      </c>
      <c r="S174" s="36">
        <f>163.89</f>
        <v>163.89</v>
      </c>
      <c r="T174" s="33">
        <f>2531200</f>
        <v>2531200</v>
      </c>
      <c r="U174" s="33">
        <f>11200</f>
        <v>11200</v>
      </c>
      <c r="V174" s="33">
        <f>416656361</f>
        <v>416656361</v>
      </c>
      <c r="W174" s="33">
        <f>1849361</f>
        <v>1849361</v>
      </c>
      <c r="X174" s="35">
        <f>19</f>
        <v>19</v>
      </c>
    </row>
    <row r="175" spans="1:24">
      <c r="A175" s="29" t="s">
        <v>42</v>
      </c>
      <c r="B175" s="29" t="s">
        <v>553</v>
      </c>
      <c r="C175" s="29" t="s">
        <v>554</v>
      </c>
      <c r="D175" s="29" t="s">
        <v>555</v>
      </c>
      <c r="E175" s="30" t="s">
        <v>46</v>
      </c>
      <c r="F175" s="31" t="s">
        <v>46</v>
      </c>
      <c r="G175" s="32" t="s">
        <v>46</v>
      </c>
      <c r="H175" s="27"/>
      <c r="I175" s="27" t="s">
        <v>47</v>
      </c>
      <c r="J175" s="33">
        <v>10</v>
      </c>
      <c r="K175" s="37">
        <f>27640</f>
        <v>27640</v>
      </c>
      <c r="L175" s="34" t="s">
        <v>48</v>
      </c>
      <c r="M175" s="37">
        <f>29050</f>
        <v>29050</v>
      </c>
      <c r="N175" s="34" t="s">
        <v>49</v>
      </c>
      <c r="O175" s="37">
        <f>27200</f>
        <v>27200</v>
      </c>
      <c r="P175" s="34" t="s">
        <v>65</v>
      </c>
      <c r="Q175" s="37">
        <f>28340</f>
        <v>28340</v>
      </c>
      <c r="R175" s="34" t="s">
        <v>51</v>
      </c>
      <c r="S175" s="36">
        <f>28345.26</f>
        <v>28345.26</v>
      </c>
      <c r="T175" s="33">
        <f>2960</f>
        <v>2960</v>
      </c>
      <c r="U175" s="33" t="str">
        <f>"－"</f>
        <v>－</v>
      </c>
      <c r="V175" s="33">
        <f>83686900</f>
        <v>83686900</v>
      </c>
      <c r="W175" s="33" t="str">
        <f>"－"</f>
        <v>－</v>
      </c>
      <c r="X175" s="35">
        <f>19</f>
        <v>19</v>
      </c>
    </row>
    <row r="176" spans="1:24">
      <c r="A176" s="29" t="s">
        <v>42</v>
      </c>
      <c r="B176" s="29" t="s">
        <v>556</v>
      </c>
      <c r="C176" s="29" t="s">
        <v>557</v>
      </c>
      <c r="D176" s="29" t="s">
        <v>558</v>
      </c>
      <c r="E176" s="30" t="s">
        <v>46</v>
      </c>
      <c r="F176" s="31" t="s">
        <v>46</v>
      </c>
      <c r="G176" s="32" t="s">
        <v>46</v>
      </c>
      <c r="H176" s="27"/>
      <c r="I176" s="27" t="s">
        <v>47</v>
      </c>
      <c r="J176" s="33">
        <v>10</v>
      </c>
      <c r="K176" s="37">
        <f>2666</f>
        <v>2666</v>
      </c>
      <c r="L176" s="34" t="s">
        <v>48</v>
      </c>
      <c r="M176" s="37">
        <f>2780</f>
        <v>2780</v>
      </c>
      <c r="N176" s="34" t="s">
        <v>90</v>
      </c>
      <c r="O176" s="37">
        <f>2630</f>
        <v>2630</v>
      </c>
      <c r="P176" s="34" t="s">
        <v>65</v>
      </c>
      <c r="Q176" s="37">
        <f>2674</f>
        <v>2674</v>
      </c>
      <c r="R176" s="34" t="s">
        <v>51</v>
      </c>
      <c r="S176" s="36">
        <f>2707.95</f>
        <v>2707.95</v>
      </c>
      <c r="T176" s="33">
        <f>202890</f>
        <v>202890</v>
      </c>
      <c r="U176" s="33">
        <f>113000</f>
        <v>113000</v>
      </c>
      <c r="V176" s="33">
        <f>549718670</f>
        <v>549718670</v>
      </c>
      <c r="W176" s="33">
        <f>306516400</f>
        <v>306516400</v>
      </c>
      <c r="X176" s="35">
        <f>19</f>
        <v>19</v>
      </c>
    </row>
    <row r="177" spans="1:24">
      <c r="A177" s="29" t="s">
        <v>42</v>
      </c>
      <c r="B177" s="29" t="s">
        <v>559</v>
      </c>
      <c r="C177" s="29" t="s">
        <v>560</v>
      </c>
      <c r="D177" s="29" t="s">
        <v>561</v>
      </c>
      <c r="E177" s="30" t="s">
        <v>46</v>
      </c>
      <c r="F177" s="31" t="s">
        <v>46</v>
      </c>
      <c r="G177" s="32" t="s">
        <v>46</v>
      </c>
      <c r="H177" s="27"/>
      <c r="I177" s="27" t="s">
        <v>47</v>
      </c>
      <c r="J177" s="33">
        <v>10</v>
      </c>
      <c r="K177" s="37">
        <f>1506</f>
        <v>1506</v>
      </c>
      <c r="L177" s="34" t="s">
        <v>48</v>
      </c>
      <c r="M177" s="37">
        <f>1585</f>
        <v>1585</v>
      </c>
      <c r="N177" s="34" t="s">
        <v>90</v>
      </c>
      <c r="O177" s="37">
        <f>1445</f>
        <v>1445</v>
      </c>
      <c r="P177" s="34" t="s">
        <v>51</v>
      </c>
      <c r="Q177" s="37">
        <f>1449</f>
        <v>1449</v>
      </c>
      <c r="R177" s="34" t="s">
        <v>51</v>
      </c>
      <c r="S177" s="36">
        <f>1514.79</f>
        <v>1514.79</v>
      </c>
      <c r="T177" s="33">
        <f>104100</f>
        <v>104100</v>
      </c>
      <c r="U177" s="33" t="str">
        <f>"－"</f>
        <v>－</v>
      </c>
      <c r="V177" s="33">
        <f>158900790</f>
        <v>158900790</v>
      </c>
      <c r="W177" s="33" t="str">
        <f>"－"</f>
        <v>－</v>
      </c>
      <c r="X177" s="35">
        <f>19</f>
        <v>19</v>
      </c>
    </row>
    <row r="178" spans="1:24">
      <c r="A178" s="29" t="s">
        <v>42</v>
      </c>
      <c r="B178" s="29" t="s">
        <v>562</v>
      </c>
      <c r="C178" s="29" t="s">
        <v>563</v>
      </c>
      <c r="D178" s="29" t="s">
        <v>564</v>
      </c>
      <c r="E178" s="30" t="s">
        <v>46</v>
      </c>
      <c r="F178" s="31" t="s">
        <v>46</v>
      </c>
      <c r="G178" s="32" t="s">
        <v>46</v>
      </c>
      <c r="H178" s="27"/>
      <c r="I178" s="27" t="s">
        <v>47</v>
      </c>
      <c r="J178" s="33">
        <v>100</v>
      </c>
      <c r="K178" s="37">
        <f>160</f>
        <v>160</v>
      </c>
      <c r="L178" s="34" t="s">
        <v>48</v>
      </c>
      <c r="M178" s="37">
        <f>195</f>
        <v>195</v>
      </c>
      <c r="N178" s="34" t="s">
        <v>79</v>
      </c>
      <c r="O178" s="37">
        <f>158</f>
        <v>158</v>
      </c>
      <c r="P178" s="34" t="s">
        <v>119</v>
      </c>
      <c r="Q178" s="37">
        <f>178</f>
        <v>178</v>
      </c>
      <c r="R178" s="34" t="s">
        <v>51</v>
      </c>
      <c r="S178" s="36">
        <f>175</f>
        <v>175</v>
      </c>
      <c r="T178" s="33">
        <f>505200</f>
        <v>505200</v>
      </c>
      <c r="U178" s="33" t="str">
        <f>"－"</f>
        <v>－</v>
      </c>
      <c r="V178" s="33">
        <f>91661500</f>
        <v>91661500</v>
      </c>
      <c r="W178" s="33" t="str">
        <f>"－"</f>
        <v>－</v>
      </c>
      <c r="X178" s="35">
        <f>19</f>
        <v>19</v>
      </c>
    </row>
    <row r="179" spans="1:24">
      <c r="A179" s="29" t="s">
        <v>42</v>
      </c>
      <c r="B179" s="29" t="s">
        <v>565</v>
      </c>
      <c r="C179" s="29" t="s">
        <v>566</v>
      </c>
      <c r="D179" s="29" t="s">
        <v>567</v>
      </c>
      <c r="E179" s="30" t="s">
        <v>46</v>
      </c>
      <c r="F179" s="31" t="s">
        <v>46</v>
      </c>
      <c r="G179" s="32" t="s">
        <v>46</v>
      </c>
      <c r="H179" s="27"/>
      <c r="I179" s="27" t="s">
        <v>47</v>
      </c>
      <c r="J179" s="33">
        <v>10</v>
      </c>
      <c r="K179" s="37">
        <f>4240</f>
        <v>4240</v>
      </c>
      <c r="L179" s="34" t="s">
        <v>48</v>
      </c>
      <c r="M179" s="37">
        <f>4450</f>
        <v>4450</v>
      </c>
      <c r="N179" s="34" t="s">
        <v>65</v>
      </c>
      <c r="O179" s="37">
        <f>4145</f>
        <v>4145</v>
      </c>
      <c r="P179" s="34" t="s">
        <v>48</v>
      </c>
      <c r="Q179" s="37">
        <f>4240</f>
        <v>4240</v>
      </c>
      <c r="R179" s="34" t="s">
        <v>50</v>
      </c>
      <c r="S179" s="36">
        <f>4333.75</f>
        <v>4333.75</v>
      </c>
      <c r="T179" s="33">
        <f>2450</f>
        <v>2450</v>
      </c>
      <c r="U179" s="33" t="str">
        <f>"－"</f>
        <v>－</v>
      </c>
      <c r="V179" s="33">
        <f>10497000</f>
        <v>10497000</v>
      </c>
      <c r="W179" s="33" t="str">
        <f>"－"</f>
        <v>－</v>
      </c>
      <c r="X179" s="35">
        <f>16</f>
        <v>16</v>
      </c>
    </row>
    <row r="180" spans="1:24">
      <c r="A180" s="29" t="s">
        <v>42</v>
      </c>
      <c r="B180" s="29" t="s">
        <v>752</v>
      </c>
      <c r="C180" s="29" t="s">
        <v>753</v>
      </c>
      <c r="D180" s="29" t="s">
        <v>754</v>
      </c>
      <c r="E180" s="30" t="s">
        <v>46</v>
      </c>
      <c r="F180" s="31" t="s">
        <v>46</v>
      </c>
      <c r="G180" s="32" t="s">
        <v>46</v>
      </c>
      <c r="H180" s="27"/>
      <c r="I180" s="27" t="s">
        <v>47</v>
      </c>
      <c r="J180" s="33">
        <v>10</v>
      </c>
      <c r="K180" s="37">
        <f>818</f>
        <v>818</v>
      </c>
      <c r="L180" s="34" t="s">
        <v>61</v>
      </c>
      <c r="M180" s="37">
        <f>1064</f>
        <v>1064</v>
      </c>
      <c r="N180" s="34" t="s">
        <v>86</v>
      </c>
      <c r="O180" s="37">
        <f>818</f>
        <v>818</v>
      </c>
      <c r="P180" s="34" t="s">
        <v>61</v>
      </c>
      <c r="Q180" s="37">
        <f>835</f>
        <v>835</v>
      </c>
      <c r="R180" s="34" t="s">
        <v>175</v>
      </c>
      <c r="S180" s="36">
        <f>872.29</f>
        <v>872.29</v>
      </c>
      <c r="T180" s="33">
        <f>760</f>
        <v>760</v>
      </c>
      <c r="U180" s="33">
        <f>50</f>
        <v>50</v>
      </c>
      <c r="V180" s="33">
        <f>663390</f>
        <v>663390</v>
      </c>
      <c r="W180" s="33">
        <f>53200</f>
        <v>53200</v>
      </c>
      <c r="X180" s="35">
        <f>7</f>
        <v>7</v>
      </c>
    </row>
    <row r="181" spans="1:24">
      <c r="A181" s="29" t="s">
        <v>42</v>
      </c>
      <c r="B181" s="29" t="s">
        <v>755</v>
      </c>
      <c r="C181" s="29" t="s">
        <v>756</v>
      </c>
      <c r="D181" s="29" t="s">
        <v>757</v>
      </c>
      <c r="E181" s="30" t="s">
        <v>46</v>
      </c>
      <c r="F181" s="31" t="s">
        <v>46</v>
      </c>
      <c r="G181" s="32" t="s">
        <v>46</v>
      </c>
      <c r="H181" s="27"/>
      <c r="I181" s="27" t="s">
        <v>47</v>
      </c>
      <c r="J181" s="33">
        <v>10</v>
      </c>
      <c r="K181" s="37">
        <f>376</f>
        <v>376</v>
      </c>
      <c r="L181" s="34" t="s">
        <v>100</v>
      </c>
      <c r="M181" s="37">
        <f>403</f>
        <v>403</v>
      </c>
      <c r="N181" s="34" t="s">
        <v>61</v>
      </c>
      <c r="O181" s="37">
        <f>349</f>
        <v>349</v>
      </c>
      <c r="P181" s="34" t="s">
        <v>99</v>
      </c>
      <c r="Q181" s="37">
        <f>349</f>
        <v>349</v>
      </c>
      <c r="R181" s="34" t="s">
        <v>99</v>
      </c>
      <c r="S181" s="36">
        <f>390.4</f>
        <v>390.4</v>
      </c>
      <c r="T181" s="33">
        <f>370</f>
        <v>370</v>
      </c>
      <c r="U181" s="33" t="str">
        <f t="shared" ref="U181:U193" si="4">"－"</f>
        <v>－</v>
      </c>
      <c r="V181" s="33">
        <f>140840</f>
        <v>140840</v>
      </c>
      <c r="W181" s="33" t="str">
        <f t="shared" ref="W181:W193" si="5">"－"</f>
        <v>－</v>
      </c>
      <c r="X181" s="35">
        <f>5</f>
        <v>5</v>
      </c>
    </row>
    <row r="182" spans="1:24">
      <c r="A182" s="29" t="s">
        <v>42</v>
      </c>
      <c r="B182" s="29" t="s">
        <v>758</v>
      </c>
      <c r="C182" s="29" t="s">
        <v>759</v>
      </c>
      <c r="D182" s="29" t="s">
        <v>760</v>
      </c>
      <c r="E182" s="30" t="s">
        <v>46</v>
      </c>
      <c r="F182" s="31" t="s">
        <v>46</v>
      </c>
      <c r="G182" s="32" t="s">
        <v>46</v>
      </c>
      <c r="H182" s="27"/>
      <c r="I182" s="27" t="s">
        <v>47</v>
      </c>
      <c r="J182" s="33">
        <v>10</v>
      </c>
      <c r="K182" s="37">
        <f>1293</f>
        <v>1293</v>
      </c>
      <c r="L182" s="34" t="s">
        <v>61</v>
      </c>
      <c r="M182" s="37">
        <f>1302</f>
        <v>1302</v>
      </c>
      <c r="N182" s="34" t="s">
        <v>79</v>
      </c>
      <c r="O182" s="37">
        <f>975</f>
        <v>975</v>
      </c>
      <c r="P182" s="34" t="s">
        <v>50</v>
      </c>
      <c r="Q182" s="37">
        <f>979</f>
        <v>979</v>
      </c>
      <c r="R182" s="34" t="s">
        <v>51</v>
      </c>
      <c r="S182" s="36">
        <f>1176</f>
        <v>1176</v>
      </c>
      <c r="T182" s="33">
        <f>170</f>
        <v>170</v>
      </c>
      <c r="U182" s="33" t="str">
        <f t="shared" si="4"/>
        <v>－</v>
      </c>
      <c r="V182" s="33">
        <f>187140</f>
        <v>187140</v>
      </c>
      <c r="W182" s="33" t="str">
        <f t="shared" si="5"/>
        <v>－</v>
      </c>
      <c r="X182" s="35">
        <f>7</f>
        <v>7</v>
      </c>
    </row>
    <row r="183" spans="1:24">
      <c r="A183" s="29" t="s">
        <v>42</v>
      </c>
      <c r="B183" s="29" t="s">
        <v>761</v>
      </c>
      <c r="C183" s="29" t="s">
        <v>762</v>
      </c>
      <c r="D183" s="29" t="s">
        <v>763</v>
      </c>
      <c r="E183" s="30" t="s">
        <v>46</v>
      </c>
      <c r="F183" s="31" t="s">
        <v>46</v>
      </c>
      <c r="G183" s="32" t="s">
        <v>46</v>
      </c>
      <c r="H183" s="27"/>
      <c r="I183" s="27" t="s">
        <v>47</v>
      </c>
      <c r="J183" s="33">
        <v>10</v>
      </c>
      <c r="K183" s="37">
        <f>418</f>
        <v>418</v>
      </c>
      <c r="L183" s="34" t="s">
        <v>48</v>
      </c>
      <c r="M183" s="37">
        <f>447</f>
        <v>447</v>
      </c>
      <c r="N183" s="34" t="s">
        <v>49</v>
      </c>
      <c r="O183" s="37">
        <f>418</f>
        <v>418</v>
      </c>
      <c r="P183" s="34" t="s">
        <v>48</v>
      </c>
      <c r="Q183" s="37">
        <f>430</f>
        <v>430</v>
      </c>
      <c r="R183" s="34" t="s">
        <v>51</v>
      </c>
      <c r="S183" s="36">
        <f>436.11</f>
        <v>436.11</v>
      </c>
      <c r="T183" s="33">
        <f>1800</f>
        <v>1800</v>
      </c>
      <c r="U183" s="33" t="str">
        <f t="shared" si="4"/>
        <v>－</v>
      </c>
      <c r="V183" s="33">
        <f>787440</f>
        <v>787440</v>
      </c>
      <c r="W183" s="33" t="str">
        <f t="shared" si="5"/>
        <v>－</v>
      </c>
      <c r="X183" s="35">
        <f>19</f>
        <v>19</v>
      </c>
    </row>
    <row r="184" spans="1:24">
      <c r="A184" s="29" t="s">
        <v>42</v>
      </c>
      <c r="B184" s="29" t="s">
        <v>764</v>
      </c>
      <c r="C184" s="29" t="s">
        <v>765</v>
      </c>
      <c r="D184" s="29" t="s">
        <v>766</v>
      </c>
      <c r="E184" s="30" t="s">
        <v>46</v>
      </c>
      <c r="F184" s="31" t="s">
        <v>46</v>
      </c>
      <c r="G184" s="32" t="s">
        <v>46</v>
      </c>
      <c r="H184" s="27"/>
      <c r="I184" s="27" t="s">
        <v>47</v>
      </c>
      <c r="J184" s="33">
        <v>10</v>
      </c>
      <c r="K184" s="37">
        <f>333</f>
        <v>333</v>
      </c>
      <c r="L184" s="34" t="s">
        <v>48</v>
      </c>
      <c r="M184" s="37">
        <f>342</f>
        <v>342</v>
      </c>
      <c r="N184" s="34" t="s">
        <v>95</v>
      </c>
      <c r="O184" s="37">
        <f>315</f>
        <v>315</v>
      </c>
      <c r="P184" s="34" t="s">
        <v>245</v>
      </c>
      <c r="Q184" s="37">
        <f>328</f>
        <v>328</v>
      </c>
      <c r="R184" s="34" t="s">
        <v>51</v>
      </c>
      <c r="S184" s="36">
        <f>329.71</f>
        <v>329.71</v>
      </c>
      <c r="T184" s="33">
        <f>14530</f>
        <v>14530</v>
      </c>
      <c r="U184" s="33" t="str">
        <f t="shared" si="4"/>
        <v>－</v>
      </c>
      <c r="V184" s="33">
        <f>4750910</f>
        <v>4750910</v>
      </c>
      <c r="W184" s="33" t="str">
        <f t="shared" si="5"/>
        <v>－</v>
      </c>
      <c r="X184" s="35">
        <f>17</f>
        <v>17</v>
      </c>
    </row>
    <row r="185" spans="1:24">
      <c r="A185" s="29" t="s">
        <v>42</v>
      </c>
      <c r="B185" s="29" t="s">
        <v>767</v>
      </c>
      <c r="C185" s="29" t="s">
        <v>768</v>
      </c>
      <c r="D185" s="29" t="s">
        <v>769</v>
      </c>
      <c r="E185" s="30" t="s">
        <v>46</v>
      </c>
      <c r="F185" s="31" t="s">
        <v>46</v>
      </c>
      <c r="G185" s="32" t="s">
        <v>46</v>
      </c>
      <c r="H185" s="27"/>
      <c r="I185" s="27" t="s">
        <v>47</v>
      </c>
      <c r="J185" s="33">
        <v>100</v>
      </c>
      <c r="K185" s="37">
        <f>2</f>
        <v>2</v>
      </c>
      <c r="L185" s="34" t="s">
        <v>48</v>
      </c>
      <c r="M185" s="37">
        <f>3</f>
        <v>3</v>
      </c>
      <c r="N185" s="34" t="s">
        <v>48</v>
      </c>
      <c r="O185" s="37">
        <f>1</f>
        <v>1</v>
      </c>
      <c r="P185" s="34" t="s">
        <v>51</v>
      </c>
      <c r="Q185" s="37">
        <f>2</f>
        <v>2</v>
      </c>
      <c r="R185" s="34" t="s">
        <v>51</v>
      </c>
      <c r="S185" s="36">
        <f>2.47</f>
        <v>2.4700000000000002</v>
      </c>
      <c r="T185" s="33">
        <f>240677400</f>
        <v>240677400</v>
      </c>
      <c r="U185" s="33" t="str">
        <f t="shared" si="4"/>
        <v>－</v>
      </c>
      <c r="V185" s="33">
        <f>554493000</f>
        <v>554493000</v>
      </c>
      <c r="W185" s="33" t="str">
        <f t="shared" si="5"/>
        <v>－</v>
      </c>
      <c r="X185" s="35">
        <f>19</f>
        <v>19</v>
      </c>
    </row>
    <row r="186" spans="1:24">
      <c r="A186" s="29" t="s">
        <v>42</v>
      </c>
      <c r="B186" s="29" t="s">
        <v>770</v>
      </c>
      <c r="C186" s="29" t="s">
        <v>771</v>
      </c>
      <c r="D186" s="29" t="s">
        <v>772</v>
      </c>
      <c r="E186" s="30" t="s">
        <v>46</v>
      </c>
      <c r="F186" s="31" t="s">
        <v>46</v>
      </c>
      <c r="G186" s="32" t="s">
        <v>46</v>
      </c>
      <c r="H186" s="27"/>
      <c r="I186" s="27" t="s">
        <v>47</v>
      </c>
      <c r="J186" s="33">
        <v>10</v>
      </c>
      <c r="K186" s="37">
        <f>1000</f>
        <v>1000</v>
      </c>
      <c r="L186" s="34" t="s">
        <v>48</v>
      </c>
      <c r="M186" s="37">
        <f>1300</f>
        <v>1300</v>
      </c>
      <c r="N186" s="34" t="s">
        <v>65</v>
      </c>
      <c r="O186" s="37">
        <f>840</f>
        <v>840</v>
      </c>
      <c r="P186" s="34" t="s">
        <v>50</v>
      </c>
      <c r="Q186" s="37">
        <f>860</f>
        <v>860</v>
      </c>
      <c r="R186" s="34" t="s">
        <v>51</v>
      </c>
      <c r="S186" s="36">
        <f>963.58</f>
        <v>963.58</v>
      </c>
      <c r="T186" s="33">
        <f>48880</f>
        <v>48880</v>
      </c>
      <c r="U186" s="33" t="str">
        <f t="shared" si="4"/>
        <v>－</v>
      </c>
      <c r="V186" s="33">
        <f>51452350</f>
        <v>51452350</v>
      </c>
      <c r="W186" s="33" t="str">
        <f t="shared" si="5"/>
        <v>－</v>
      </c>
      <c r="X186" s="35">
        <f>19</f>
        <v>19</v>
      </c>
    </row>
    <row r="187" spans="1:24">
      <c r="A187" s="29" t="s">
        <v>42</v>
      </c>
      <c r="B187" s="29" t="s">
        <v>773</v>
      </c>
      <c r="C187" s="29" t="s">
        <v>774</v>
      </c>
      <c r="D187" s="29" t="s">
        <v>775</v>
      </c>
      <c r="E187" s="30" t="s">
        <v>46</v>
      </c>
      <c r="F187" s="31" t="s">
        <v>46</v>
      </c>
      <c r="G187" s="32" t="s">
        <v>46</v>
      </c>
      <c r="H187" s="27"/>
      <c r="I187" s="27" t="s">
        <v>47</v>
      </c>
      <c r="J187" s="33">
        <v>1</v>
      </c>
      <c r="K187" s="37">
        <f>3060</f>
        <v>3060</v>
      </c>
      <c r="L187" s="34" t="s">
        <v>65</v>
      </c>
      <c r="M187" s="37">
        <f>3060</f>
        <v>3060</v>
      </c>
      <c r="N187" s="34" t="s">
        <v>65</v>
      </c>
      <c r="O187" s="37">
        <f>2631</f>
        <v>2631</v>
      </c>
      <c r="P187" s="34" t="s">
        <v>119</v>
      </c>
      <c r="Q187" s="37">
        <f>2762</f>
        <v>2762</v>
      </c>
      <c r="R187" s="34" t="s">
        <v>50</v>
      </c>
      <c r="S187" s="36">
        <f>2908.64</f>
        <v>2908.64</v>
      </c>
      <c r="T187" s="33">
        <f>72</f>
        <v>72</v>
      </c>
      <c r="U187" s="33" t="str">
        <f t="shared" si="4"/>
        <v>－</v>
      </c>
      <c r="V187" s="33">
        <f>202481</f>
        <v>202481</v>
      </c>
      <c r="W187" s="33" t="str">
        <f t="shared" si="5"/>
        <v>－</v>
      </c>
      <c r="X187" s="35">
        <f>11</f>
        <v>11</v>
      </c>
    </row>
    <row r="188" spans="1:24">
      <c r="A188" s="29" t="s">
        <v>42</v>
      </c>
      <c r="B188" s="29" t="s">
        <v>776</v>
      </c>
      <c r="C188" s="29" t="s">
        <v>777</v>
      </c>
      <c r="D188" s="29" t="s">
        <v>778</v>
      </c>
      <c r="E188" s="30" t="s">
        <v>46</v>
      </c>
      <c r="F188" s="31" t="s">
        <v>46</v>
      </c>
      <c r="G188" s="32" t="s">
        <v>46</v>
      </c>
      <c r="H188" s="27"/>
      <c r="I188" s="27" t="s">
        <v>47</v>
      </c>
      <c r="J188" s="33">
        <v>100</v>
      </c>
      <c r="K188" s="37">
        <f>297</f>
        <v>297</v>
      </c>
      <c r="L188" s="34" t="s">
        <v>48</v>
      </c>
      <c r="M188" s="37">
        <f>310</f>
        <v>310</v>
      </c>
      <c r="N188" s="34" t="s">
        <v>175</v>
      </c>
      <c r="O188" s="37">
        <f>270</f>
        <v>270</v>
      </c>
      <c r="P188" s="34" t="s">
        <v>50</v>
      </c>
      <c r="Q188" s="37">
        <f>278</f>
        <v>278</v>
      </c>
      <c r="R188" s="34" t="s">
        <v>50</v>
      </c>
      <c r="S188" s="36">
        <f>295.7</f>
        <v>295.7</v>
      </c>
      <c r="T188" s="33">
        <f>2800</f>
        <v>2800</v>
      </c>
      <c r="U188" s="33" t="str">
        <f t="shared" si="4"/>
        <v>－</v>
      </c>
      <c r="V188" s="33">
        <f>824700</f>
        <v>824700</v>
      </c>
      <c r="W188" s="33" t="str">
        <f t="shared" si="5"/>
        <v>－</v>
      </c>
      <c r="X188" s="35">
        <f>10</f>
        <v>10</v>
      </c>
    </row>
    <row r="189" spans="1:24">
      <c r="A189" s="29" t="s">
        <v>42</v>
      </c>
      <c r="B189" s="29" t="s">
        <v>779</v>
      </c>
      <c r="C189" s="29" t="s">
        <v>780</v>
      </c>
      <c r="D189" s="29" t="s">
        <v>781</v>
      </c>
      <c r="E189" s="30" t="s">
        <v>46</v>
      </c>
      <c r="F189" s="31" t="s">
        <v>46</v>
      </c>
      <c r="G189" s="32" t="s">
        <v>46</v>
      </c>
      <c r="H189" s="27"/>
      <c r="I189" s="27" t="s">
        <v>47</v>
      </c>
      <c r="J189" s="33">
        <v>10</v>
      </c>
      <c r="K189" s="37">
        <f>2995</f>
        <v>2995</v>
      </c>
      <c r="L189" s="34" t="s">
        <v>48</v>
      </c>
      <c r="M189" s="37">
        <f>2995</f>
        <v>2995</v>
      </c>
      <c r="N189" s="34" t="s">
        <v>48</v>
      </c>
      <c r="O189" s="37">
        <f>2639</f>
        <v>2639</v>
      </c>
      <c r="P189" s="34" t="s">
        <v>91</v>
      </c>
      <c r="Q189" s="37">
        <f>2681</f>
        <v>2681</v>
      </c>
      <c r="R189" s="34" t="s">
        <v>51</v>
      </c>
      <c r="S189" s="36">
        <f>2777.64</f>
        <v>2777.64</v>
      </c>
      <c r="T189" s="33">
        <f>860</f>
        <v>860</v>
      </c>
      <c r="U189" s="33" t="str">
        <f t="shared" si="4"/>
        <v>－</v>
      </c>
      <c r="V189" s="33">
        <f>2342660</f>
        <v>2342660</v>
      </c>
      <c r="W189" s="33" t="str">
        <f t="shared" si="5"/>
        <v>－</v>
      </c>
      <c r="X189" s="35">
        <f>11</f>
        <v>11</v>
      </c>
    </row>
    <row r="190" spans="1:24">
      <c r="A190" s="29" t="s">
        <v>42</v>
      </c>
      <c r="B190" s="29" t="s">
        <v>782</v>
      </c>
      <c r="C190" s="29" t="s">
        <v>783</v>
      </c>
      <c r="D190" s="29" t="s">
        <v>784</v>
      </c>
      <c r="E190" s="30" t="s">
        <v>46</v>
      </c>
      <c r="F190" s="31" t="s">
        <v>46</v>
      </c>
      <c r="G190" s="32" t="s">
        <v>46</v>
      </c>
      <c r="H190" s="27"/>
      <c r="I190" s="27" t="s">
        <v>47</v>
      </c>
      <c r="J190" s="33">
        <v>10</v>
      </c>
      <c r="K190" s="37">
        <f>1501</f>
        <v>1501</v>
      </c>
      <c r="L190" s="34" t="s">
        <v>119</v>
      </c>
      <c r="M190" s="37">
        <f>1533</f>
        <v>1533</v>
      </c>
      <c r="N190" s="34" t="s">
        <v>61</v>
      </c>
      <c r="O190" s="37">
        <f>1300</f>
        <v>1300</v>
      </c>
      <c r="P190" s="34" t="s">
        <v>245</v>
      </c>
      <c r="Q190" s="37">
        <f>1300</f>
        <v>1300</v>
      </c>
      <c r="R190" s="34" t="s">
        <v>245</v>
      </c>
      <c r="S190" s="36">
        <f>1422.4</f>
        <v>1422.4</v>
      </c>
      <c r="T190" s="33">
        <f>1260</f>
        <v>1260</v>
      </c>
      <c r="U190" s="33" t="str">
        <f t="shared" si="4"/>
        <v>－</v>
      </c>
      <c r="V190" s="33">
        <f>1801120</f>
        <v>1801120</v>
      </c>
      <c r="W190" s="33" t="str">
        <f t="shared" si="5"/>
        <v>－</v>
      </c>
      <c r="X190" s="35">
        <f>10</f>
        <v>10</v>
      </c>
    </row>
    <row r="191" spans="1:24">
      <c r="A191" s="29" t="s">
        <v>42</v>
      </c>
      <c r="B191" s="29" t="s">
        <v>785</v>
      </c>
      <c r="C191" s="29" t="s">
        <v>786</v>
      </c>
      <c r="D191" s="29" t="s">
        <v>787</v>
      </c>
      <c r="E191" s="30" t="s">
        <v>46</v>
      </c>
      <c r="F191" s="31" t="s">
        <v>46</v>
      </c>
      <c r="G191" s="32" t="s">
        <v>46</v>
      </c>
      <c r="H191" s="27"/>
      <c r="I191" s="27" t="s">
        <v>47</v>
      </c>
      <c r="J191" s="33">
        <v>100</v>
      </c>
      <c r="K191" s="37">
        <f>71</f>
        <v>71</v>
      </c>
      <c r="L191" s="34" t="s">
        <v>48</v>
      </c>
      <c r="M191" s="37">
        <f>76</f>
        <v>76</v>
      </c>
      <c r="N191" s="34" t="s">
        <v>309</v>
      </c>
      <c r="O191" s="37">
        <f>69</f>
        <v>69</v>
      </c>
      <c r="P191" s="34" t="s">
        <v>48</v>
      </c>
      <c r="Q191" s="37">
        <f>72</f>
        <v>72</v>
      </c>
      <c r="R191" s="34" t="s">
        <v>51</v>
      </c>
      <c r="S191" s="36">
        <f>72.42</f>
        <v>72.42</v>
      </c>
      <c r="T191" s="33">
        <f>762800</f>
        <v>762800</v>
      </c>
      <c r="U191" s="33" t="str">
        <f t="shared" si="4"/>
        <v>－</v>
      </c>
      <c r="V191" s="33">
        <f>54938100</f>
        <v>54938100</v>
      </c>
      <c r="W191" s="33" t="str">
        <f t="shared" si="5"/>
        <v>－</v>
      </c>
      <c r="X191" s="35">
        <f>19</f>
        <v>19</v>
      </c>
    </row>
    <row r="192" spans="1:24">
      <c r="A192" s="29" t="s">
        <v>42</v>
      </c>
      <c r="B192" s="29" t="s">
        <v>788</v>
      </c>
      <c r="C192" s="29" t="s">
        <v>789</v>
      </c>
      <c r="D192" s="29" t="s">
        <v>790</v>
      </c>
      <c r="E192" s="30" t="s">
        <v>46</v>
      </c>
      <c r="F192" s="31" t="s">
        <v>46</v>
      </c>
      <c r="G192" s="32" t="s">
        <v>46</v>
      </c>
      <c r="H192" s="27"/>
      <c r="I192" s="27" t="s">
        <v>47</v>
      </c>
      <c r="J192" s="33">
        <v>100</v>
      </c>
      <c r="K192" s="37">
        <f>81</f>
        <v>81</v>
      </c>
      <c r="L192" s="34" t="s">
        <v>48</v>
      </c>
      <c r="M192" s="37">
        <f>82</f>
        <v>82</v>
      </c>
      <c r="N192" s="34" t="s">
        <v>48</v>
      </c>
      <c r="O192" s="37">
        <f>79</f>
        <v>79</v>
      </c>
      <c r="P192" s="34" t="s">
        <v>65</v>
      </c>
      <c r="Q192" s="37">
        <f>80</f>
        <v>80</v>
      </c>
      <c r="R192" s="34" t="s">
        <v>51</v>
      </c>
      <c r="S192" s="36">
        <f>80.95</f>
        <v>80.95</v>
      </c>
      <c r="T192" s="33">
        <f>241500</f>
        <v>241500</v>
      </c>
      <c r="U192" s="33" t="str">
        <f t="shared" si="4"/>
        <v>－</v>
      </c>
      <c r="V192" s="33">
        <f>19608000</f>
        <v>19608000</v>
      </c>
      <c r="W192" s="33" t="str">
        <f t="shared" si="5"/>
        <v>－</v>
      </c>
      <c r="X192" s="35">
        <f>19</f>
        <v>19</v>
      </c>
    </row>
    <row r="193" spans="1:24">
      <c r="A193" s="29" t="s">
        <v>42</v>
      </c>
      <c r="B193" s="29" t="s">
        <v>791</v>
      </c>
      <c r="C193" s="29" t="s">
        <v>792</v>
      </c>
      <c r="D193" s="29" t="s">
        <v>793</v>
      </c>
      <c r="E193" s="30" t="s">
        <v>46</v>
      </c>
      <c r="F193" s="31" t="s">
        <v>46</v>
      </c>
      <c r="G193" s="32" t="s">
        <v>46</v>
      </c>
      <c r="H193" s="27"/>
      <c r="I193" s="27" t="s">
        <v>47</v>
      </c>
      <c r="J193" s="33">
        <v>10</v>
      </c>
      <c r="K193" s="37">
        <f>1990</f>
        <v>1990</v>
      </c>
      <c r="L193" s="34" t="s">
        <v>100</v>
      </c>
      <c r="M193" s="37">
        <f>2222</f>
        <v>2222</v>
      </c>
      <c r="N193" s="34" t="s">
        <v>86</v>
      </c>
      <c r="O193" s="37">
        <f>1870</f>
        <v>1870</v>
      </c>
      <c r="P193" s="34" t="s">
        <v>51</v>
      </c>
      <c r="Q193" s="37">
        <f>2080</f>
        <v>2080</v>
      </c>
      <c r="R193" s="34" t="s">
        <v>51</v>
      </c>
      <c r="S193" s="36">
        <f>2074</f>
        <v>2074</v>
      </c>
      <c r="T193" s="33">
        <f>440</f>
        <v>440</v>
      </c>
      <c r="U193" s="33" t="str">
        <f t="shared" si="4"/>
        <v>－</v>
      </c>
      <c r="V193" s="33">
        <f>913470</f>
        <v>913470</v>
      </c>
      <c r="W193" s="33" t="str">
        <f t="shared" si="5"/>
        <v>－</v>
      </c>
      <c r="X193" s="35">
        <f>9</f>
        <v>9</v>
      </c>
    </row>
    <row r="194" spans="1:24">
      <c r="A194" s="29" t="s">
        <v>42</v>
      </c>
      <c r="B194" s="29" t="s">
        <v>568</v>
      </c>
      <c r="C194" s="29" t="s">
        <v>569</v>
      </c>
      <c r="D194" s="29" t="s">
        <v>570</v>
      </c>
      <c r="E194" s="30" t="s">
        <v>46</v>
      </c>
      <c r="F194" s="31" t="s">
        <v>46</v>
      </c>
      <c r="G194" s="32" t="s">
        <v>46</v>
      </c>
      <c r="H194" s="27"/>
      <c r="I194" s="27" t="s">
        <v>47</v>
      </c>
      <c r="J194" s="33">
        <v>10</v>
      </c>
      <c r="K194" s="37">
        <f>1750</f>
        <v>1750</v>
      </c>
      <c r="L194" s="34" t="s">
        <v>48</v>
      </c>
      <c r="M194" s="37">
        <f>1775</f>
        <v>1775</v>
      </c>
      <c r="N194" s="34" t="s">
        <v>150</v>
      </c>
      <c r="O194" s="37">
        <f>1709</f>
        <v>1709</v>
      </c>
      <c r="P194" s="34" t="s">
        <v>50</v>
      </c>
      <c r="Q194" s="37">
        <f>1720</f>
        <v>1720</v>
      </c>
      <c r="R194" s="34" t="s">
        <v>51</v>
      </c>
      <c r="S194" s="36">
        <f>1754.32</f>
        <v>1754.32</v>
      </c>
      <c r="T194" s="33">
        <f>65420</f>
        <v>65420</v>
      </c>
      <c r="U194" s="33" t="str">
        <f>"－"</f>
        <v>－</v>
      </c>
      <c r="V194" s="33">
        <f>113857560</f>
        <v>113857560</v>
      </c>
      <c r="W194" s="33" t="str">
        <f>"－"</f>
        <v>－</v>
      </c>
      <c r="X194" s="35">
        <f>19</f>
        <v>19</v>
      </c>
    </row>
    <row r="195" spans="1:24">
      <c r="A195" s="29" t="s">
        <v>42</v>
      </c>
      <c r="B195" s="29" t="s">
        <v>571</v>
      </c>
      <c r="C195" s="29" t="s">
        <v>572</v>
      </c>
      <c r="D195" s="29" t="s">
        <v>573</v>
      </c>
      <c r="E195" s="30" t="s">
        <v>46</v>
      </c>
      <c r="F195" s="31" t="s">
        <v>46</v>
      </c>
      <c r="G195" s="32" t="s">
        <v>46</v>
      </c>
      <c r="H195" s="27"/>
      <c r="I195" s="27" t="s">
        <v>47</v>
      </c>
      <c r="J195" s="33">
        <v>10</v>
      </c>
      <c r="K195" s="37">
        <f>419</f>
        <v>419</v>
      </c>
      <c r="L195" s="34" t="s">
        <v>48</v>
      </c>
      <c r="M195" s="37">
        <f>430</f>
        <v>430</v>
      </c>
      <c r="N195" s="34" t="s">
        <v>65</v>
      </c>
      <c r="O195" s="37">
        <f>349</f>
        <v>349</v>
      </c>
      <c r="P195" s="34" t="s">
        <v>91</v>
      </c>
      <c r="Q195" s="37">
        <f>354</f>
        <v>354</v>
      </c>
      <c r="R195" s="34" t="s">
        <v>51</v>
      </c>
      <c r="S195" s="36">
        <f>384.47</f>
        <v>384.47</v>
      </c>
      <c r="T195" s="33">
        <f>7544530</f>
        <v>7544530</v>
      </c>
      <c r="U195" s="33">
        <f>9700</f>
        <v>9700</v>
      </c>
      <c r="V195" s="33">
        <f>2884803599</f>
        <v>2884803599</v>
      </c>
      <c r="W195" s="33">
        <f>3797039</f>
        <v>3797039</v>
      </c>
      <c r="X195" s="35">
        <f>19</f>
        <v>19</v>
      </c>
    </row>
    <row r="196" spans="1:24">
      <c r="A196" s="29" t="s">
        <v>42</v>
      </c>
      <c r="B196" s="29" t="s">
        <v>574</v>
      </c>
      <c r="C196" s="29" t="s">
        <v>575</v>
      </c>
      <c r="D196" s="29" t="s">
        <v>576</v>
      </c>
      <c r="E196" s="30" t="s">
        <v>46</v>
      </c>
      <c r="F196" s="31" t="s">
        <v>46</v>
      </c>
      <c r="G196" s="32" t="s">
        <v>46</v>
      </c>
      <c r="H196" s="27"/>
      <c r="I196" s="27" t="s">
        <v>577</v>
      </c>
      <c r="J196" s="33">
        <v>1</v>
      </c>
      <c r="K196" s="37">
        <f>12120</f>
        <v>12120</v>
      </c>
      <c r="L196" s="34" t="s">
        <v>48</v>
      </c>
      <c r="M196" s="37">
        <f>13540</f>
        <v>13540</v>
      </c>
      <c r="N196" s="34" t="s">
        <v>90</v>
      </c>
      <c r="O196" s="37">
        <f>11000</f>
        <v>11000</v>
      </c>
      <c r="P196" s="34" t="s">
        <v>51</v>
      </c>
      <c r="Q196" s="37">
        <f>11000</f>
        <v>11000</v>
      </c>
      <c r="R196" s="34" t="s">
        <v>51</v>
      </c>
      <c r="S196" s="36">
        <f>12273.89</f>
        <v>12273.89</v>
      </c>
      <c r="T196" s="33">
        <f>3323</f>
        <v>3323</v>
      </c>
      <c r="U196" s="33" t="str">
        <f>"－"</f>
        <v>－</v>
      </c>
      <c r="V196" s="33">
        <f>40116440</f>
        <v>40116440</v>
      </c>
      <c r="W196" s="33" t="str">
        <f>"－"</f>
        <v>－</v>
      </c>
      <c r="X196" s="35">
        <f>18</f>
        <v>18</v>
      </c>
    </row>
    <row r="197" spans="1:24">
      <c r="A197" s="29" t="s">
        <v>42</v>
      </c>
      <c r="B197" s="29" t="s">
        <v>578</v>
      </c>
      <c r="C197" s="29" t="s">
        <v>579</v>
      </c>
      <c r="D197" s="29" t="s">
        <v>580</v>
      </c>
      <c r="E197" s="30" t="s">
        <v>46</v>
      </c>
      <c r="F197" s="31" t="s">
        <v>46</v>
      </c>
      <c r="G197" s="32" t="s">
        <v>46</v>
      </c>
      <c r="H197" s="27"/>
      <c r="I197" s="27" t="s">
        <v>577</v>
      </c>
      <c r="J197" s="33">
        <v>1</v>
      </c>
      <c r="K197" s="37">
        <f>6040</f>
        <v>6040</v>
      </c>
      <c r="L197" s="34" t="s">
        <v>48</v>
      </c>
      <c r="M197" s="37">
        <f>6460</f>
        <v>6460</v>
      </c>
      <c r="N197" s="34" t="s">
        <v>51</v>
      </c>
      <c r="O197" s="37">
        <f>5800</f>
        <v>5800</v>
      </c>
      <c r="P197" s="34" t="s">
        <v>49</v>
      </c>
      <c r="Q197" s="37">
        <f>6410</f>
        <v>6410</v>
      </c>
      <c r="R197" s="34" t="s">
        <v>51</v>
      </c>
      <c r="S197" s="36">
        <f>6058.95</f>
        <v>6058.95</v>
      </c>
      <c r="T197" s="33">
        <f>9376</f>
        <v>9376</v>
      </c>
      <c r="U197" s="33" t="str">
        <f>"－"</f>
        <v>－</v>
      </c>
      <c r="V197" s="33">
        <f>58511080</f>
        <v>58511080</v>
      </c>
      <c r="W197" s="33" t="str">
        <f>"－"</f>
        <v>－</v>
      </c>
      <c r="X197" s="35">
        <f>19</f>
        <v>19</v>
      </c>
    </row>
    <row r="198" spans="1:24">
      <c r="A198" s="29" t="s">
        <v>42</v>
      </c>
      <c r="B198" s="29" t="s">
        <v>581</v>
      </c>
      <c r="C198" s="29" t="s">
        <v>582</v>
      </c>
      <c r="D198" s="29" t="s">
        <v>583</v>
      </c>
      <c r="E198" s="30" t="s">
        <v>46</v>
      </c>
      <c r="F198" s="31" t="s">
        <v>46</v>
      </c>
      <c r="G198" s="32" t="s">
        <v>46</v>
      </c>
      <c r="H198" s="27"/>
      <c r="I198" s="27" t="s">
        <v>577</v>
      </c>
      <c r="J198" s="33">
        <v>1</v>
      </c>
      <c r="K198" s="37">
        <f>10100</f>
        <v>10100</v>
      </c>
      <c r="L198" s="34" t="s">
        <v>48</v>
      </c>
      <c r="M198" s="37">
        <f>11330</f>
        <v>11330</v>
      </c>
      <c r="N198" s="34" t="s">
        <v>49</v>
      </c>
      <c r="O198" s="37">
        <f>9510</f>
        <v>9510</v>
      </c>
      <c r="P198" s="34" t="s">
        <v>51</v>
      </c>
      <c r="Q198" s="37">
        <f>9550</f>
        <v>9550</v>
      </c>
      <c r="R198" s="34" t="s">
        <v>51</v>
      </c>
      <c r="S198" s="36">
        <f>10481.11</f>
        <v>10481.11</v>
      </c>
      <c r="T198" s="33">
        <f>542</f>
        <v>542</v>
      </c>
      <c r="U198" s="33" t="str">
        <f>"－"</f>
        <v>－</v>
      </c>
      <c r="V198" s="33">
        <f>5722590</f>
        <v>5722590</v>
      </c>
      <c r="W198" s="33" t="str">
        <f>"－"</f>
        <v>－</v>
      </c>
      <c r="X198" s="35">
        <f>18</f>
        <v>18</v>
      </c>
    </row>
    <row r="199" spans="1:24">
      <c r="A199" s="29" t="s">
        <v>42</v>
      </c>
      <c r="B199" s="29" t="s">
        <v>584</v>
      </c>
      <c r="C199" s="29" t="s">
        <v>585</v>
      </c>
      <c r="D199" s="29" t="s">
        <v>586</v>
      </c>
      <c r="E199" s="30" t="s">
        <v>46</v>
      </c>
      <c r="F199" s="31" t="s">
        <v>46</v>
      </c>
      <c r="G199" s="32" t="s">
        <v>46</v>
      </c>
      <c r="H199" s="27"/>
      <c r="I199" s="27" t="s">
        <v>577</v>
      </c>
      <c r="J199" s="33">
        <v>1</v>
      </c>
      <c r="K199" s="37">
        <f>9400</f>
        <v>9400</v>
      </c>
      <c r="L199" s="34" t="s">
        <v>48</v>
      </c>
      <c r="M199" s="37">
        <f>9500</f>
        <v>9500</v>
      </c>
      <c r="N199" s="34" t="s">
        <v>100</v>
      </c>
      <c r="O199" s="37">
        <f>9090</f>
        <v>9090</v>
      </c>
      <c r="P199" s="34" t="s">
        <v>150</v>
      </c>
      <c r="Q199" s="37">
        <f>9350</f>
        <v>9350</v>
      </c>
      <c r="R199" s="34" t="s">
        <v>51</v>
      </c>
      <c r="S199" s="36">
        <f>9282.11</f>
        <v>9282.11</v>
      </c>
      <c r="T199" s="33">
        <f>14543</f>
        <v>14543</v>
      </c>
      <c r="U199" s="33" t="str">
        <f>"－"</f>
        <v>－</v>
      </c>
      <c r="V199" s="33">
        <f>135135850</f>
        <v>135135850</v>
      </c>
      <c r="W199" s="33" t="str">
        <f>"－"</f>
        <v>－</v>
      </c>
      <c r="X199" s="35">
        <f>19</f>
        <v>19</v>
      </c>
    </row>
    <row r="200" spans="1:24">
      <c r="A200" s="29" t="s">
        <v>42</v>
      </c>
      <c r="B200" s="29" t="s">
        <v>587</v>
      </c>
      <c r="C200" s="29" t="s">
        <v>588</v>
      </c>
      <c r="D200" s="29" t="s">
        <v>589</v>
      </c>
      <c r="E200" s="30" t="s">
        <v>46</v>
      </c>
      <c r="F200" s="31" t="s">
        <v>46</v>
      </c>
      <c r="G200" s="32" t="s">
        <v>46</v>
      </c>
      <c r="H200" s="27"/>
      <c r="I200" s="27" t="s">
        <v>577</v>
      </c>
      <c r="J200" s="33">
        <v>1</v>
      </c>
      <c r="K200" s="37">
        <f>523</f>
        <v>523</v>
      </c>
      <c r="L200" s="34" t="s">
        <v>48</v>
      </c>
      <c r="M200" s="37">
        <f>555</f>
        <v>555</v>
      </c>
      <c r="N200" s="34" t="s">
        <v>65</v>
      </c>
      <c r="O200" s="37">
        <f>455</f>
        <v>455</v>
      </c>
      <c r="P200" s="34" t="s">
        <v>49</v>
      </c>
      <c r="Q200" s="37">
        <f>532</f>
        <v>532</v>
      </c>
      <c r="R200" s="34" t="s">
        <v>51</v>
      </c>
      <c r="S200" s="36">
        <f>494.37</f>
        <v>494.37</v>
      </c>
      <c r="T200" s="33">
        <f>999217</f>
        <v>999217</v>
      </c>
      <c r="U200" s="33" t="str">
        <f>"－"</f>
        <v>－</v>
      </c>
      <c r="V200" s="33">
        <f>507393716</f>
        <v>507393716</v>
      </c>
      <c r="W200" s="33" t="str">
        <f>"－"</f>
        <v>－</v>
      </c>
      <c r="X200" s="35">
        <f>19</f>
        <v>19</v>
      </c>
    </row>
    <row r="201" spans="1:24">
      <c r="A201" s="29" t="s">
        <v>42</v>
      </c>
      <c r="B201" s="29" t="s">
        <v>590</v>
      </c>
      <c r="C201" s="29" t="s">
        <v>591</v>
      </c>
      <c r="D201" s="29" t="s">
        <v>592</v>
      </c>
      <c r="E201" s="30" t="s">
        <v>46</v>
      </c>
      <c r="F201" s="31" t="s">
        <v>46</v>
      </c>
      <c r="G201" s="32" t="s">
        <v>46</v>
      </c>
      <c r="H201" s="27"/>
      <c r="I201" s="27" t="s">
        <v>577</v>
      </c>
      <c r="J201" s="33">
        <v>1</v>
      </c>
      <c r="K201" s="37">
        <f>13890</f>
        <v>13890</v>
      </c>
      <c r="L201" s="34" t="s">
        <v>48</v>
      </c>
      <c r="M201" s="37">
        <f>14530</f>
        <v>14530</v>
      </c>
      <c r="N201" s="34" t="s">
        <v>65</v>
      </c>
      <c r="O201" s="37">
        <f>13710</f>
        <v>13710</v>
      </c>
      <c r="P201" s="34" t="s">
        <v>48</v>
      </c>
      <c r="Q201" s="37">
        <f>14110</f>
        <v>14110</v>
      </c>
      <c r="R201" s="34" t="s">
        <v>51</v>
      </c>
      <c r="S201" s="36">
        <f>14108.42</f>
        <v>14108.42</v>
      </c>
      <c r="T201" s="33">
        <f>47279</f>
        <v>47279</v>
      </c>
      <c r="U201" s="33">
        <f>3</f>
        <v>3</v>
      </c>
      <c r="V201" s="33">
        <f>664820000</f>
        <v>664820000</v>
      </c>
      <c r="W201" s="33">
        <f>41730</f>
        <v>41730</v>
      </c>
      <c r="X201" s="35">
        <f>19</f>
        <v>19</v>
      </c>
    </row>
    <row r="202" spans="1:24">
      <c r="A202" s="29" t="s">
        <v>42</v>
      </c>
      <c r="B202" s="29" t="s">
        <v>593</v>
      </c>
      <c r="C202" s="29" t="s">
        <v>594</v>
      </c>
      <c r="D202" s="29" t="s">
        <v>595</v>
      </c>
      <c r="E202" s="30" t="s">
        <v>46</v>
      </c>
      <c r="F202" s="31" t="s">
        <v>46</v>
      </c>
      <c r="G202" s="32" t="s">
        <v>46</v>
      </c>
      <c r="H202" s="27"/>
      <c r="I202" s="27" t="s">
        <v>577</v>
      </c>
      <c r="J202" s="33">
        <v>1</v>
      </c>
      <c r="K202" s="37">
        <f>6880</f>
        <v>6880</v>
      </c>
      <c r="L202" s="34" t="s">
        <v>48</v>
      </c>
      <c r="M202" s="37">
        <f>6890</f>
        <v>6890</v>
      </c>
      <c r="N202" s="34" t="s">
        <v>100</v>
      </c>
      <c r="O202" s="37">
        <f>6690</f>
        <v>6690</v>
      </c>
      <c r="P202" s="34" t="s">
        <v>95</v>
      </c>
      <c r="Q202" s="37">
        <f>6770</f>
        <v>6770</v>
      </c>
      <c r="R202" s="34" t="s">
        <v>51</v>
      </c>
      <c r="S202" s="36">
        <f>6783.68</f>
        <v>6783.68</v>
      </c>
      <c r="T202" s="33">
        <f>5201</f>
        <v>5201</v>
      </c>
      <c r="U202" s="33" t="str">
        <f>"－"</f>
        <v>－</v>
      </c>
      <c r="V202" s="33">
        <f>35326330</f>
        <v>35326330</v>
      </c>
      <c r="W202" s="33" t="str">
        <f>"－"</f>
        <v>－</v>
      </c>
      <c r="X202" s="35">
        <f>19</f>
        <v>19</v>
      </c>
    </row>
    <row r="203" spans="1:24">
      <c r="A203" s="29" t="s">
        <v>42</v>
      </c>
      <c r="B203" s="29" t="s">
        <v>596</v>
      </c>
      <c r="C203" s="29" t="s">
        <v>597</v>
      </c>
      <c r="D203" s="29" t="s">
        <v>598</v>
      </c>
      <c r="E203" s="30" t="s">
        <v>46</v>
      </c>
      <c r="F203" s="31" t="s">
        <v>46</v>
      </c>
      <c r="G203" s="32" t="s">
        <v>46</v>
      </c>
      <c r="H203" s="27"/>
      <c r="I203" s="27" t="s">
        <v>577</v>
      </c>
      <c r="J203" s="33">
        <v>1</v>
      </c>
      <c r="K203" s="37">
        <f>1599</f>
        <v>1599</v>
      </c>
      <c r="L203" s="34" t="s">
        <v>48</v>
      </c>
      <c r="M203" s="37">
        <f>1746</f>
        <v>1746</v>
      </c>
      <c r="N203" s="34" t="s">
        <v>65</v>
      </c>
      <c r="O203" s="37">
        <f>1184</f>
        <v>1184</v>
      </c>
      <c r="P203" s="34" t="s">
        <v>91</v>
      </c>
      <c r="Q203" s="37">
        <f>1220</f>
        <v>1220</v>
      </c>
      <c r="R203" s="34" t="s">
        <v>51</v>
      </c>
      <c r="S203" s="36">
        <f>1405.42</f>
        <v>1405.42</v>
      </c>
      <c r="T203" s="33">
        <f>7681722</f>
        <v>7681722</v>
      </c>
      <c r="U203" s="33">
        <f>13803</f>
        <v>13803</v>
      </c>
      <c r="V203" s="33">
        <f>10909969559</f>
        <v>10909969559</v>
      </c>
      <c r="W203" s="33">
        <f>16518049</f>
        <v>16518049</v>
      </c>
      <c r="X203" s="35">
        <f>19</f>
        <v>19</v>
      </c>
    </row>
    <row r="204" spans="1:24">
      <c r="A204" s="29" t="s">
        <v>42</v>
      </c>
      <c r="B204" s="29" t="s">
        <v>599</v>
      </c>
      <c r="C204" s="29" t="s">
        <v>600</v>
      </c>
      <c r="D204" s="29" t="s">
        <v>601</v>
      </c>
      <c r="E204" s="30" t="s">
        <v>46</v>
      </c>
      <c r="F204" s="31" t="s">
        <v>46</v>
      </c>
      <c r="G204" s="32" t="s">
        <v>46</v>
      </c>
      <c r="H204" s="27"/>
      <c r="I204" s="27" t="s">
        <v>577</v>
      </c>
      <c r="J204" s="33">
        <v>1</v>
      </c>
      <c r="K204" s="37">
        <f>6230</f>
        <v>6230</v>
      </c>
      <c r="L204" s="34" t="s">
        <v>48</v>
      </c>
      <c r="M204" s="37">
        <f>7170</f>
        <v>7170</v>
      </c>
      <c r="N204" s="34" t="s">
        <v>91</v>
      </c>
      <c r="O204" s="37">
        <f>6000</f>
        <v>6000</v>
      </c>
      <c r="P204" s="34" t="s">
        <v>65</v>
      </c>
      <c r="Q204" s="37">
        <f>7050</f>
        <v>7050</v>
      </c>
      <c r="R204" s="34" t="s">
        <v>51</v>
      </c>
      <c r="S204" s="36">
        <f>6651.05</f>
        <v>6651.05</v>
      </c>
      <c r="T204" s="33">
        <f>300892</f>
        <v>300892</v>
      </c>
      <c r="U204" s="33" t="str">
        <f>"－"</f>
        <v>－</v>
      </c>
      <c r="V204" s="33">
        <f>2016707800</f>
        <v>2016707800</v>
      </c>
      <c r="W204" s="33" t="str">
        <f>"－"</f>
        <v>－</v>
      </c>
      <c r="X204" s="35">
        <f>19</f>
        <v>19</v>
      </c>
    </row>
    <row r="205" spans="1:24">
      <c r="A205" s="29" t="s">
        <v>42</v>
      </c>
      <c r="B205" s="29" t="s">
        <v>602</v>
      </c>
      <c r="C205" s="29" t="s">
        <v>603</v>
      </c>
      <c r="D205" s="29" t="s">
        <v>604</v>
      </c>
      <c r="E205" s="30" t="s">
        <v>46</v>
      </c>
      <c r="F205" s="31" t="s">
        <v>46</v>
      </c>
      <c r="G205" s="32" t="s">
        <v>46</v>
      </c>
      <c r="H205" s="27"/>
      <c r="I205" s="27" t="s">
        <v>577</v>
      </c>
      <c r="J205" s="33">
        <v>1</v>
      </c>
      <c r="K205" s="37">
        <f>25200</f>
        <v>25200</v>
      </c>
      <c r="L205" s="34" t="s">
        <v>48</v>
      </c>
      <c r="M205" s="37">
        <f>26870</f>
        <v>26870</v>
      </c>
      <c r="N205" s="34" t="s">
        <v>49</v>
      </c>
      <c r="O205" s="37">
        <f>24510</f>
        <v>24510</v>
      </c>
      <c r="P205" s="34" t="s">
        <v>65</v>
      </c>
      <c r="Q205" s="37">
        <f>25890</f>
        <v>25890</v>
      </c>
      <c r="R205" s="34" t="s">
        <v>51</v>
      </c>
      <c r="S205" s="36">
        <f>25994.21</f>
        <v>25994.21</v>
      </c>
      <c r="T205" s="33">
        <f>79173</f>
        <v>79173</v>
      </c>
      <c r="U205" s="33">
        <f>2170</f>
        <v>2170</v>
      </c>
      <c r="V205" s="33">
        <f>2051481980</f>
        <v>2051481980</v>
      </c>
      <c r="W205" s="33">
        <f>56431560</f>
        <v>56431560</v>
      </c>
      <c r="X205" s="35">
        <f>19</f>
        <v>19</v>
      </c>
    </row>
    <row r="206" spans="1:24">
      <c r="A206" s="29" t="s">
        <v>42</v>
      </c>
      <c r="B206" s="29" t="s">
        <v>605</v>
      </c>
      <c r="C206" s="29" t="s">
        <v>606</v>
      </c>
      <c r="D206" s="29" t="s">
        <v>607</v>
      </c>
      <c r="E206" s="30" t="s">
        <v>46</v>
      </c>
      <c r="F206" s="31" t="s">
        <v>46</v>
      </c>
      <c r="G206" s="32" t="s">
        <v>46</v>
      </c>
      <c r="H206" s="27"/>
      <c r="I206" s="27" t="s">
        <v>577</v>
      </c>
      <c r="J206" s="33">
        <v>1</v>
      </c>
      <c r="K206" s="37">
        <f>4335</f>
        <v>4335</v>
      </c>
      <c r="L206" s="34" t="s">
        <v>48</v>
      </c>
      <c r="M206" s="37">
        <f>4380</f>
        <v>4380</v>
      </c>
      <c r="N206" s="34" t="s">
        <v>65</v>
      </c>
      <c r="O206" s="37">
        <f>4195</f>
        <v>4195</v>
      </c>
      <c r="P206" s="34" t="s">
        <v>79</v>
      </c>
      <c r="Q206" s="37">
        <f>4255</f>
        <v>4255</v>
      </c>
      <c r="R206" s="34" t="s">
        <v>51</v>
      </c>
      <c r="S206" s="36">
        <f>4262.63</f>
        <v>4262.63</v>
      </c>
      <c r="T206" s="33">
        <f>215510</f>
        <v>215510</v>
      </c>
      <c r="U206" s="33" t="str">
        <f>"－"</f>
        <v>－</v>
      </c>
      <c r="V206" s="33">
        <f>922566540</f>
        <v>922566540</v>
      </c>
      <c r="W206" s="33" t="str">
        <f>"－"</f>
        <v>－</v>
      </c>
      <c r="X206" s="35">
        <f>19</f>
        <v>19</v>
      </c>
    </row>
    <row r="207" spans="1:24">
      <c r="A207" s="29" t="s">
        <v>42</v>
      </c>
      <c r="B207" s="29" t="s">
        <v>608</v>
      </c>
      <c r="C207" s="29" t="s">
        <v>609</v>
      </c>
      <c r="D207" s="29" t="s">
        <v>610</v>
      </c>
      <c r="E207" s="30" t="s">
        <v>46</v>
      </c>
      <c r="F207" s="31" t="s">
        <v>46</v>
      </c>
      <c r="G207" s="32" t="s">
        <v>46</v>
      </c>
      <c r="H207" s="27"/>
      <c r="I207" s="27" t="s">
        <v>577</v>
      </c>
      <c r="J207" s="33">
        <v>1</v>
      </c>
      <c r="K207" s="37">
        <f>9550</f>
        <v>9550</v>
      </c>
      <c r="L207" s="34" t="s">
        <v>48</v>
      </c>
      <c r="M207" s="37">
        <f>9680</f>
        <v>9680</v>
      </c>
      <c r="N207" s="34" t="s">
        <v>100</v>
      </c>
      <c r="O207" s="37">
        <f>8720</f>
        <v>8720</v>
      </c>
      <c r="P207" s="34" t="s">
        <v>50</v>
      </c>
      <c r="Q207" s="37">
        <f>9010</f>
        <v>9010</v>
      </c>
      <c r="R207" s="34" t="s">
        <v>51</v>
      </c>
      <c r="S207" s="36">
        <f>9387.89</f>
        <v>9387.89</v>
      </c>
      <c r="T207" s="33">
        <f>156511</f>
        <v>156511</v>
      </c>
      <c r="U207" s="33" t="str">
        <f>"－"</f>
        <v>－</v>
      </c>
      <c r="V207" s="33">
        <f>1459605390</f>
        <v>1459605390</v>
      </c>
      <c r="W207" s="33" t="str">
        <f>"－"</f>
        <v>－</v>
      </c>
      <c r="X207" s="35">
        <f>19</f>
        <v>19</v>
      </c>
    </row>
    <row r="208" spans="1:24">
      <c r="A208" s="29" t="s">
        <v>42</v>
      </c>
      <c r="B208" s="29" t="s">
        <v>611</v>
      </c>
      <c r="C208" s="29" t="s">
        <v>612</v>
      </c>
      <c r="D208" s="29" t="s">
        <v>613</v>
      </c>
      <c r="E208" s="30" t="s">
        <v>46</v>
      </c>
      <c r="F208" s="31" t="s">
        <v>46</v>
      </c>
      <c r="G208" s="32" t="s">
        <v>46</v>
      </c>
      <c r="H208" s="27"/>
      <c r="I208" s="27" t="s">
        <v>577</v>
      </c>
      <c r="J208" s="33">
        <v>1</v>
      </c>
      <c r="K208" s="37">
        <f>12810</f>
        <v>12810</v>
      </c>
      <c r="L208" s="34" t="s">
        <v>48</v>
      </c>
      <c r="M208" s="37">
        <f>13260</f>
        <v>13260</v>
      </c>
      <c r="N208" s="34" t="s">
        <v>90</v>
      </c>
      <c r="O208" s="37">
        <f>12200</f>
        <v>12200</v>
      </c>
      <c r="P208" s="34" t="s">
        <v>51</v>
      </c>
      <c r="Q208" s="37">
        <f>12200</f>
        <v>12200</v>
      </c>
      <c r="R208" s="34" t="s">
        <v>51</v>
      </c>
      <c r="S208" s="36">
        <f>12782.5</f>
        <v>12782.5</v>
      </c>
      <c r="T208" s="33">
        <f>788</f>
        <v>788</v>
      </c>
      <c r="U208" s="33" t="str">
        <f>"－"</f>
        <v>－</v>
      </c>
      <c r="V208" s="33">
        <f>10191420</f>
        <v>10191420</v>
      </c>
      <c r="W208" s="33" t="str">
        <f>"－"</f>
        <v>－</v>
      </c>
      <c r="X208" s="35">
        <f>16</f>
        <v>16</v>
      </c>
    </row>
    <row r="209" spans="1:24">
      <c r="A209" s="29" t="s">
        <v>42</v>
      </c>
      <c r="B209" s="29" t="s">
        <v>614</v>
      </c>
      <c r="C209" s="29" t="s">
        <v>615</v>
      </c>
      <c r="D209" s="29" t="s">
        <v>616</v>
      </c>
      <c r="E209" s="30" t="s">
        <v>46</v>
      </c>
      <c r="F209" s="31" t="s">
        <v>46</v>
      </c>
      <c r="G209" s="32" t="s">
        <v>46</v>
      </c>
      <c r="H209" s="27"/>
      <c r="I209" s="27" t="s">
        <v>577</v>
      </c>
      <c r="J209" s="33">
        <v>1</v>
      </c>
      <c r="K209" s="37">
        <f>14960</f>
        <v>14960</v>
      </c>
      <c r="L209" s="34" t="s">
        <v>48</v>
      </c>
      <c r="M209" s="37">
        <f>15540</f>
        <v>15540</v>
      </c>
      <c r="N209" s="34" t="s">
        <v>49</v>
      </c>
      <c r="O209" s="37">
        <f>14600</f>
        <v>14600</v>
      </c>
      <c r="P209" s="34" t="s">
        <v>65</v>
      </c>
      <c r="Q209" s="37">
        <f>15140</f>
        <v>15140</v>
      </c>
      <c r="R209" s="34" t="s">
        <v>51</v>
      </c>
      <c r="S209" s="36">
        <f>15157.89</f>
        <v>15157.89</v>
      </c>
      <c r="T209" s="33">
        <f>33080</f>
        <v>33080</v>
      </c>
      <c r="U209" s="33">
        <f>5000</f>
        <v>5000</v>
      </c>
      <c r="V209" s="33">
        <f>505773140</f>
        <v>505773140</v>
      </c>
      <c r="W209" s="33">
        <f>78310000</f>
        <v>78310000</v>
      </c>
      <c r="X209" s="35">
        <f>19</f>
        <v>19</v>
      </c>
    </row>
    <row r="210" spans="1:24">
      <c r="A210" s="29" t="s">
        <v>42</v>
      </c>
      <c r="B210" s="29" t="s">
        <v>617</v>
      </c>
      <c r="C210" s="29" t="s">
        <v>618</v>
      </c>
      <c r="D210" s="29" t="s">
        <v>619</v>
      </c>
      <c r="E210" s="30" t="s">
        <v>46</v>
      </c>
      <c r="F210" s="31" t="s">
        <v>46</v>
      </c>
      <c r="G210" s="32" t="s">
        <v>46</v>
      </c>
      <c r="H210" s="27"/>
      <c r="I210" s="27" t="s">
        <v>577</v>
      </c>
      <c r="J210" s="33">
        <v>1</v>
      </c>
      <c r="K210" s="37">
        <f>13770</f>
        <v>13770</v>
      </c>
      <c r="L210" s="34" t="s">
        <v>48</v>
      </c>
      <c r="M210" s="37">
        <f>14400</f>
        <v>14400</v>
      </c>
      <c r="N210" s="34" t="s">
        <v>150</v>
      </c>
      <c r="O210" s="37">
        <f>13640</f>
        <v>13640</v>
      </c>
      <c r="P210" s="34" t="s">
        <v>48</v>
      </c>
      <c r="Q210" s="37">
        <f>14040</f>
        <v>14040</v>
      </c>
      <c r="R210" s="34" t="s">
        <v>51</v>
      </c>
      <c r="S210" s="36">
        <f>14070</f>
        <v>14070</v>
      </c>
      <c r="T210" s="33">
        <f>684</f>
        <v>684</v>
      </c>
      <c r="U210" s="33" t="str">
        <f>"－"</f>
        <v>－</v>
      </c>
      <c r="V210" s="33">
        <f>9611770</f>
        <v>9611770</v>
      </c>
      <c r="W210" s="33" t="str">
        <f>"－"</f>
        <v>－</v>
      </c>
      <c r="X210" s="35">
        <f>18</f>
        <v>18</v>
      </c>
    </row>
    <row r="211" spans="1:24">
      <c r="A211" s="29" t="s">
        <v>42</v>
      </c>
      <c r="B211" s="29" t="s">
        <v>620</v>
      </c>
      <c r="C211" s="29" t="s">
        <v>621</v>
      </c>
      <c r="D211" s="29" t="s">
        <v>622</v>
      </c>
      <c r="E211" s="30" t="s">
        <v>46</v>
      </c>
      <c r="F211" s="31" t="s">
        <v>46</v>
      </c>
      <c r="G211" s="32" t="s">
        <v>46</v>
      </c>
      <c r="H211" s="27"/>
      <c r="I211" s="27" t="s">
        <v>577</v>
      </c>
      <c r="J211" s="33">
        <v>1</v>
      </c>
      <c r="K211" s="37">
        <f>10700</f>
        <v>10700</v>
      </c>
      <c r="L211" s="34" t="s">
        <v>48</v>
      </c>
      <c r="M211" s="37">
        <f>11160</f>
        <v>11160</v>
      </c>
      <c r="N211" s="34" t="s">
        <v>49</v>
      </c>
      <c r="O211" s="37">
        <f>10030</f>
        <v>10030</v>
      </c>
      <c r="P211" s="34" t="s">
        <v>65</v>
      </c>
      <c r="Q211" s="37">
        <f>10290</f>
        <v>10290</v>
      </c>
      <c r="R211" s="34" t="s">
        <v>51</v>
      </c>
      <c r="S211" s="36">
        <f>10664.21</f>
        <v>10664.21</v>
      </c>
      <c r="T211" s="33">
        <f>15683</f>
        <v>15683</v>
      </c>
      <c r="U211" s="33" t="str">
        <f>"－"</f>
        <v>－</v>
      </c>
      <c r="V211" s="33">
        <f>168399500</f>
        <v>168399500</v>
      </c>
      <c r="W211" s="33" t="str">
        <f>"－"</f>
        <v>－</v>
      </c>
      <c r="X211" s="35">
        <f>19</f>
        <v>19</v>
      </c>
    </row>
    <row r="212" spans="1:24">
      <c r="A212" s="29" t="s">
        <v>42</v>
      </c>
      <c r="B212" s="29" t="s">
        <v>623</v>
      </c>
      <c r="C212" s="29" t="s">
        <v>624</v>
      </c>
      <c r="D212" s="29" t="s">
        <v>625</v>
      </c>
      <c r="E212" s="30" t="s">
        <v>46</v>
      </c>
      <c r="F212" s="31" t="s">
        <v>46</v>
      </c>
      <c r="G212" s="32" t="s">
        <v>46</v>
      </c>
      <c r="H212" s="27"/>
      <c r="I212" s="27" t="s">
        <v>577</v>
      </c>
      <c r="J212" s="33">
        <v>1</v>
      </c>
      <c r="K212" s="37">
        <f>6340</f>
        <v>6340</v>
      </c>
      <c r="L212" s="34" t="s">
        <v>48</v>
      </c>
      <c r="M212" s="37">
        <f>6430</f>
        <v>6430</v>
      </c>
      <c r="N212" s="34" t="s">
        <v>95</v>
      </c>
      <c r="O212" s="37">
        <f>6220</f>
        <v>6220</v>
      </c>
      <c r="P212" s="34" t="s">
        <v>100</v>
      </c>
      <c r="Q212" s="37">
        <f>6350</f>
        <v>6350</v>
      </c>
      <c r="R212" s="34" t="s">
        <v>51</v>
      </c>
      <c r="S212" s="36">
        <f>6297.22</f>
        <v>6297.22</v>
      </c>
      <c r="T212" s="33">
        <f>3455</f>
        <v>3455</v>
      </c>
      <c r="U212" s="33" t="str">
        <f>"－"</f>
        <v>－</v>
      </c>
      <c r="V212" s="33">
        <f>21749570</f>
        <v>21749570</v>
      </c>
      <c r="W212" s="33" t="str">
        <f>"－"</f>
        <v>－</v>
      </c>
      <c r="X212" s="35">
        <f>18</f>
        <v>18</v>
      </c>
    </row>
    <row r="213" spans="1:24">
      <c r="A213" s="29" t="s">
        <v>42</v>
      </c>
      <c r="B213" s="29" t="s">
        <v>626</v>
      </c>
      <c r="C213" s="29" t="s">
        <v>627</v>
      </c>
      <c r="D213" s="29" t="s">
        <v>628</v>
      </c>
      <c r="E213" s="30" t="s">
        <v>46</v>
      </c>
      <c r="F213" s="31" t="s">
        <v>46</v>
      </c>
      <c r="G213" s="32" t="s">
        <v>46</v>
      </c>
      <c r="H213" s="27"/>
      <c r="I213" s="27" t="s">
        <v>577</v>
      </c>
      <c r="J213" s="33">
        <v>1</v>
      </c>
      <c r="K213" s="37">
        <f>10320</f>
        <v>10320</v>
      </c>
      <c r="L213" s="34" t="s">
        <v>48</v>
      </c>
      <c r="M213" s="37">
        <f>10690</f>
        <v>10690</v>
      </c>
      <c r="N213" s="34" t="s">
        <v>49</v>
      </c>
      <c r="O213" s="37">
        <f>10090</f>
        <v>10090</v>
      </c>
      <c r="P213" s="34" t="s">
        <v>50</v>
      </c>
      <c r="Q213" s="37">
        <f>10200</f>
        <v>10200</v>
      </c>
      <c r="R213" s="34" t="s">
        <v>51</v>
      </c>
      <c r="S213" s="36">
        <f>10414.12</f>
        <v>10414.120000000001</v>
      </c>
      <c r="T213" s="33">
        <f>3146</f>
        <v>3146</v>
      </c>
      <c r="U213" s="33" t="str">
        <f>"－"</f>
        <v>－</v>
      </c>
      <c r="V213" s="33">
        <f>32720130</f>
        <v>32720130</v>
      </c>
      <c r="W213" s="33" t="str">
        <f>"－"</f>
        <v>－</v>
      </c>
      <c r="X213" s="35">
        <f>17</f>
        <v>17</v>
      </c>
    </row>
    <row r="214" spans="1:24">
      <c r="A214" s="29" t="s">
        <v>42</v>
      </c>
      <c r="B214" s="29" t="s">
        <v>629</v>
      </c>
      <c r="C214" s="29" t="s">
        <v>630</v>
      </c>
      <c r="D214" s="29" t="s">
        <v>631</v>
      </c>
      <c r="E214" s="30" t="s">
        <v>46</v>
      </c>
      <c r="F214" s="31" t="s">
        <v>46</v>
      </c>
      <c r="G214" s="32" t="s">
        <v>46</v>
      </c>
      <c r="H214" s="27"/>
      <c r="I214" s="27" t="s">
        <v>577</v>
      </c>
      <c r="J214" s="33">
        <v>1</v>
      </c>
      <c r="K214" s="37">
        <f>11150</f>
        <v>11150</v>
      </c>
      <c r="L214" s="34" t="s">
        <v>48</v>
      </c>
      <c r="M214" s="37">
        <f>11290</f>
        <v>11290</v>
      </c>
      <c r="N214" s="34" t="s">
        <v>61</v>
      </c>
      <c r="O214" s="37">
        <f>10440</f>
        <v>10440</v>
      </c>
      <c r="P214" s="34" t="s">
        <v>50</v>
      </c>
      <c r="Q214" s="37">
        <f>10650</f>
        <v>10650</v>
      </c>
      <c r="R214" s="34" t="s">
        <v>51</v>
      </c>
      <c r="S214" s="36">
        <f>10982.5</f>
        <v>10982.5</v>
      </c>
      <c r="T214" s="33">
        <f>4235</f>
        <v>4235</v>
      </c>
      <c r="U214" s="33">
        <f>3000</f>
        <v>3000</v>
      </c>
      <c r="V214" s="33">
        <f>45528680</f>
        <v>45528680</v>
      </c>
      <c r="W214" s="33">
        <f>31920000</f>
        <v>31920000</v>
      </c>
      <c r="X214" s="35">
        <f>12</f>
        <v>12</v>
      </c>
    </row>
    <row r="215" spans="1:24">
      <c r="A215" s="29" t="s">
        <v>42</v>
      </c>
      <c r="B215" s="29" t="s">
        <v>632</v>
      </c>
      <c r="C215" s="29" t="s">
        <v>633</v>
      </c>
      <c r="D215" s="29" t="s">
        <v>634</v>
      </c>
      <c r="E215" s="30" t="s">
        <v>46</v>
      </c>
      <c r="F215" s="31" t="s">
        <v>46</v>
      </c>
      <c r="G215" s="32" t="s">
        <v>46</v>
      </c>
      <c r="H215" s="27"/>
      <c r="I215" s="27" t="s">
        <v>577</v>
      </c>
      <c r="J215" s="33">
        <v>1</v>
      </c>
      <c r="K215" s="37">
        <f>12050</f>
        <v>12050</v>
      </c>
      <c r="L215" s="34" t="s">
        <v>48</v>
      </c>
      <c r="M215" s="37">
        <f>12100</f>
        <v>12100</v>
      </c>
      <c r="N215" s="34" t="s">
        <v>86</v>
      </c>
      <c r="O215" s="37">
        <f>11610</f>
        <v>11610</v>
      </c>
      <c r="P215" s="34" t="s">
        <v>50</v>
      </c>
      <c r="Q215" s="37">
        <f>11610</f>
        <v>11610</v>
      </c>
      <c r="R215" s="34" t="s">
        <v>50</v>
      </c>
      <c r="S215" s="36">
        <f>11840</f>
        <v>11840</v>
      </c>
      <c r="T215" s="33">
        <f>1465</f>
        <v>1465</v>
      </c>
      <c r="U215" s="33" t="str">
        <f>"－"</f>
        <v>－</v>
      </c>
      <c r="V215" s="33">
        <f>17081190</f>
        <v>17081190</v>
      </c>
      <c r="W215" s="33" t="str">
        <f>"－"</f>
        <v>－</v>
      </c>
      <c r="X215" s="35">
        <f>8</f>
        <v>8</v>
      </c>
    </row>
    <row r="216" spans="1:24">
      <c r="A216" s="29" t="s">
        <v>42</v>
      </c>
      <c r="B216" s="29" t="s">
        <v>635</v>
      </c>
      <c r="C216" s="29" t="s">
        <v>636</v>
      </c>
      <c r="D216" s="29" t="s">
        <v>637</v>
      </c>
      <c r="E216" s="30" t="s">
        <v>46</v>
      </c>
      <c r="F216" s="31" t="s">
        <v>46</v>
      </c>
      <c r="G216" s="32" t="s">
        <v>46</v>
      </c>
      <c r="H216" s="27"/>
      <c r="I216" s="27" t="s">
        <v>577</v>
      </c>
      <c r="J216" s="33">
        <v>1</v>
      </c>
      <c r="K216" s="37">
        <f>13460</f>
        <v>13460</v>
      </c>
      <c r="L216" s="34" t="s">
        <v>100</v>
      </c>
      <c r="M216" s="37">
        <f>14130</f>
        <v>14130</v>
      </c>
      <c r="N216" s="34" t="s">
        <v>51</v>
      </c>
      <c r="O216" s="37">
        <f>13320</f>
        <v>13320</v>
      </c>
      <c r="P216" s="34" t="s">
        <v>65</v>
      </c>
      <c r="Q216" s="37">
        <f>14000</f>
        <v>14000</v>
      </c>
      <c r="R216" s="34" t="s">
        <v>51</v>
      </c>
      <c r="S216" s="36">
        <f>13684.17</f>
        <v>13684.17</v>
      </c>
      <c r="T216" s="33">
        <f>6534</f>
        <v>6534</v>
      </c>
      <c r="U216" s="33" t="str">
        <f>"－"</f>
        <v>－</v>
      </c>
      <c r="V216" s="33">
        <f>91268550</f>
        <v>91268550</v>
      </c>
      <c r="W216" s="33" t="str">
        <f>"－"</f>
        <v>－</v>
      </c>
      <c r="X216" s="35">
        <f>12</f>
        <v>12</v>
      </c>
    </row>
    <row r="217" spans="1:24">
      <c r="A217" s="29" t="s">
        <v>42</v>
      </c>
      <c r="B217" s="29" t="s">
        <v>638</v>
      </c>
      <c r="C217" s="29" t="s">
        <v>639</v>
      </c>
      <c r="D217" s="29" t="s">
        <v>640</v>
      </c>
      <c r="E217" s="30" t="s">
        <v>46</v>
      </c>
      <c r="F217" s="31" t="s">
        <v>46</v>
      </c>
      <c r="G217" s="32" t="s">
        <v>46</v>
      </c>
      <c r="H217" s="27"/>
      <c r="I217" s="27" t="s">
        <v>577</v>
      </c>
      <c r="J217" s="33">
        <v>1</v>
      </c>
      <c r="K217" s="37">
        <f>10970</f>
        <v>10970</v>
      </c>
      <c r="L217" s="34" t="s">
        <v>48</v>
      </c>
      <c r="M217" s="37">
        <f>11290</f>
        <v>11290</v>
      </c>
      <c r="N217" s="34" t="s">
        <v>49</v>
      </c>
      <c r="O217" s="37">
        <f>10720</f>
        <v>10720</v>
      </c>
      <c r="P217" s="34" t="s">
        <v>50</v>
      </c>
      <c r="Q217" s="37">
        <f>10840</f>
        <v>10840</v>
      </c>
      <c r="R217" s="34" t="s">
        <v>51</v>
      </c>
      <c r="S217" s="36">
        <f>11052.63</f>
        <v>11052.63</v>
      </c>
      <c r="T217" s="33">
        <f>23973</f>
        <v>23973</v>
      </c>
      <c r="U217" s="33">
        <f>7000</f>
        <v>7000</v>
      </c>
      <c r="V217" s="33">
        <f>267629770</f>
        <v>267629770</v>
      </c>
      <c r="W217" s="33">
        <f>78036000</f>
        <v>78036000</v>
      </c>
      <c r="X217" s="35">
        <f>19</f>
        <v>19</v>
      </c>
    </row>
    <row r="218" spans="1:24">
      <c r="A218" s="29" t="s">
        <v>42</v>
      </c>
      <c r="B218" s="29" t="s">
        <v>641</v>
      </c>
      <c r="C218" s="29" t="s">
        <v>642</v>
      </c>
      <c r="D218" s="29" t="s">
        <v>643</v>
      </c>
      <c r="E218" s="30" t="s">
        <v>46</v>
      </c>
      <c r="F218" s="31" t="s">
        <v>46</v>
      </c>
      <c r="G218" s="32" t="s">
        <v>46</v>
      </c>
      <c r="H218" s="27"/>
      <c r="I218" s="27" t="s">
        <v>577</v>
      </c>
      <c r="J218" s="33">
        <v>1</v>
      </c>
      <c r="K218" s="37">
        <f>10130</f>
        <v>10130</v>
      </c>
      <c r="L218" s="34" t="s">
        <v>100</v>
      </c>
      <c r="M218" s="37">
        <f>10380</f>
        <v>10380</v>
      </c>
      <c r="N218" s="34" t="s">
        <v>99</v>
      </c>
      <c r="O218" s="37">
        <f>9630</f>
        <v>9630</v>
      </c>
      <c r="P218" s="34" t="s">
        <v>50</v>
      </c>
      <c r="Q218" s="37">
        <f>9810</f>
        <v>9810</v>
      </c>
      <c r="R218" s="34" t="s">
        <v>51</v>
      </c>
      <c r="S218" s="36">
        <f>10081.82</f>
        <v>10081.82</v>
      </c>
      <c r="T218" s="33">
        <f>7277</f>
        <v>7277</v>
      </c>
      <c r="U218" s="33" t="str">
        <f>"－"</f>
        <v>－</v>
      </c>
      <c r="V218" s="33">
        <f>72291230</f>
        <v>72291230</v>
      </c>
      <c r="W218" s="33" t="str">
        <f>"－"</f>
        <v>－</v>
      </c>
      <c r="X218" s="35">
        <f>11</f>
        <v>11</v>
      </c>
    </row>
    <row r="219" spans="1:24">
      <c r="A219" s="29" t="s">
        <v>42</v>
      </c>
      <c r="B219" s="29" t="s">
        <v>644</v>
      </c>
      <c r="C219" s="29" t="s">
        <v>645</v>
      </c>
      <c r="D219" s="29" t="s">
        <v>646</v>
      </c>
      <c r="E219" s="30" t="s">
        <v>46</v>
      </c>
      <c r="F219" s="31" t="s">
        <v>46</v>
      </c>
      <c r="G219" s="32" t="s">
        <v>46</v>
      </c>
      <c r="H219" s="27"/>
      <c r="I219" s="27" t="s">
        <v>577</v>
      </c>
      <c r="J219" s="33">
        <v>1</v>
      </c>
      <c r="K219" s="37">
        <f>12210</f>
        <v>12210</v>
      </c>
      <c r="L219" s="34" t="s">
        <v>86</v>
      </c>
      <c r="M219" s="37">
        <f>12210</f>
        <v>12210</v>
      </c>
      <c r="N219" s="34" t="s">
        <v>86</v>
      </c>
      <c r="O219" s="37">
        <f>12120</f>
        <v>12120</v>
      </c>
      <c r="P219" s="34" t="s">
        <v>175</v>
      </c>
      <c r="Q219" s="37">
        <f>12120</f>
        <v>12120</v>
      </c>
      <c r="R219" s="34" t="s">
        <v>175</v>
      </c>
      <c r="S219" s="36">
        <f>12165</f>
        <v>12165</v>
      </c>
      <c r="T219" s="33">
        <f>8</f>
        <v>8</v>
      </c>
      <c r="U219" s="33" t="str">
        <f>"－"</f>
        <v>－</v>
      </c>
      <c r="V219" s="33">
        <f>97050</f>
        <v>97050</v>
      </c>
      <c r="W219" s="33" t="str">
        <f>"－"</f>
        <v>－</v>
      </c>
      <c r="X219" s="35">
        <f>2</f>
        <v>2</v>
      </c>
    </row>
    <row r="220" spans="1:24">
      <c r="A220" s="29" t="s">
        <v>42</v>
      </c>
      <c r="B220" s="29" t="s">
        <v>647</v>
      </c>
      <c r="C220" s="29" t="s">
        <v>648</v>
      </c>
      <c r="D220" s="29" t="s">
        <v>649</v>
      </c>
      <c r="E220" s="30" t="s">
        <v>46</v>
      </c>
      <c r="F220" s="31" t="s">
        <v>46</v>
      </c>
      <c r="G220" s="32" t="s">
        <v>46</v>
      </c>
      <c r="H220" s="27"/>
      <c r="I220" s="27" t="s">
        <v>47</v>
      </c>
      <c r="J220" s="33">
        <v>10</v>
      </c>
      <c r="K220" s="37">
        <f>1015</f>
        <v>1015</v>
      </c>
      <c r="L220" s="34" t="s">
        <v>48</v>
      </c>
      <c r="M220" s="37">
        <f>1018</f>
        <v>1018</v>
      </c>
      <c r="N220" s="34" t="s">
        <v>65</v>
      </c>
      <c r="O220" s="37">
        <f>1009</f>
        <v>1009</v>
      </c>
      <c r="P220" s="34" t="s">
        <v>90</v>
      </c>
      <c r="Q220" s="37">
        <f>1017</f>
        <v>1017</v>
      </c>
      <c r="R220" s="34" t="s">
        <v>51</v>
      </c>
      <c r="S220" s="36">
        <f>1012.79</f>
        <v>1012.79</v>
      </c>
      <c r="T220" s="33">
        <f>56120</f>
        <v>56120</v>
      </c>
      <c r="U220" s="33" t="str">
        <f>"－"</f>
        <v>－</v>
      </c>
      <c r="V220" s="33">
        <f>56849490</f>
        <v>56849490</v>
      </c>
      <c r="W220" s="33" t="str">
        <f>"－"</f>
        <v>－</v>
      </c>
      <c r="X220" s="35">
        <f>19</f>
        <v>19</v>
      </c>
    </row>
    <row r="221" spans="1:24">
      <c r="A221" s="29" t="s">
        <v>42</v>
      </c>
      <c r="B221" s="29" t="s">
        <v>650</v>
      </c>
      <c r="C221" s="29" t="s">
        <v>651</v>
      </c>
      <c r="D221" s="29" t="s">
        <v>652</v>
      </c>
      <c r="E221" s="30" t="s">
        <v>46</v>
      </c>
      <c r="F221" s="31" t="s">
        <v>46</v>
      </c>
      <c r="G221" s="32" t="s">
        <v>46</v>
      </c>
      <c r="H221" s="27"/>
      <c r="I221" s="27" t="s">
        <v>47</v>
      </c>
      <c r="J221" s="33">
        <v>10</v>
      </c>
      <c r="K221" s="37">
        <f>989</f>
        <v>989</v>
      </c>
      <c r="L221" s="34" t="s">
        <v>48</v>
      </c>
      <c r="M221" s="37">
        <f>994</f>
        <v>994</v>
      </c>
      <c r="N221" s="34" t="s">
        <v>79</v>
      </c>
      <c r="O221" s="37">
        <f>967</f>
        <v>967</v>
      </c>
      <c r="P221" s="34" t="s">
        <v>65</v>
      </c>
      <c r="Q221" s="37">
        <f>987</f>
        <v>987</v>
      </c>
      <c r="R221" s="34" t="s">
        <v>51</v>
      </c>
      <c r="S221" s="36">
        <f>981.42</f>
        <v>981.42</v>
      </c>
      <c r="T221" s="33">
        <f>240580</f>
        <v>240580</v>
      </c>
      <c r="U221" s="33">
        <f>74800</f>
        <v>74800</v>
      </c>
      <c r="V221" s="33">
        <f>236241750</f>
        <v>236241750</v>
      </c>
      <c r="W221" s="33">
        <f>73536220</f>
        <v>73536220</v>
      </c>
      <c r="X221" s="35">
        <f>19</f>
        <v>19</v>
      </c>
    </row>
    <row r="222" spans="1:24">
      <c r="A222" s="29" t="s">
        <v>42</v>
      </c>
      <c r="B222" s="29" t="s">
        <v>653</v>
      </c>
      <c r="C222" s="29" t="s">
        <v>654</v>
      </c>
      <c r="D222" s="29" t="s">
        <v>655</v>
      </c>
      <c r="E222" s="30" t="s">
        <v>46</v>
      </c>
      <c r="F222" s="31" t="s">
        <v>46</v>
      </c>
      <c r="G222" s="32" t="s">
        <v>46</v>
      </c>
      <c r="H222" s="27"/>
      <c r="I222" s="27" t="s">
        <v>47</v>
      </c>
      <c r="J222" s="33">
        <v>10</v>
      </c>
      <c r="K222" s="37">
        <f>1018</f>
        <v>1018</v>
      </c>
      <c r="L222" s="34" t="s">
        <v>48</v>
      </c>
      <c r="M222" s="37">
        <f>1033</f>
        <v>1033</v>
      </c>
      <c r="N222" s="34" t="s">
        <v>50</v>
      </c>
      <c r="O222" s="37">
        <f>1013</f>
        <v>1013</v>
      </c>
      <c r="P222" s="34" t="s">
        <v>119</v>
      </c>
      <c r="Q222" s="37">
        <f>1032</f>
        <v>1032</v>
      </c>
      <c r="R222" s="34" t="s">
        <v>51</v>
      </c>
      <c r="S222" s="36">
        <f>1021</f>
        <v>1021</v>
      </c>
      <c r="T222" s="33">
        <f>1185770</f>
        <v>1185770</v>
      </c>
      <c r="U222" s="33">
        <f>1148150</f>
        <v>1148150</v>
      </c>
      <c r="V222" s="33">
        <f>1205898295</f>
        <v>1205898295</v>
      </c>
      <c r="W222" s="33">
        <f>1167541155</f>
        <v>1167541155</v>
      </c>
      <c r="X222" s="35">
        <f>19</f>
        <v>19</v>
      </c>
    </row>
    <row r="223" spans="1:24">
      <c r="A223" s="29" t="s">
        <v>42</v>
      </c>
      <c r="B223" s="29" t="s">
        <v>656</v>
      </c>
      <c r="C223" s="29" t="s">
        <v>657</v>
      </c>
      <c r="D223" s="29" t="s">
        <v>658</v>
      </c>
      <c r="E223" s="30" t="s">
        <v>46</v>
      </c>
      <c r="F223" s="31" t="s">
        <v>46</v>
      </c>
      <c r="G223" s="32" t="s">
        <v>46</v>
      </c>
      <c r="H223" s="27"/>
      <c r="I223" s="27" t="s">
        <v>47</v>
      </c>
      <c r="J223" s="33">
        <v>10</v>
      </c>
      <c r="K223" s="37">
        <f>1121</f>
        <v>1121</v>
      </c>
      <c r="L223" s="34" t="s">
        <v>48</v>
      </c>
      <c r="M223" s="37">
        <f>1189</f>
        <v>1189</v>
      </c>
      <c r="N223" s="34" t="s">
        <v>309</v>
      </c>
      <c r="O223" s="37">
        <f>1106</f>
        <v>1106</v>
      </c>
      <c r="P223" s="34" t="s">
        <v>65</v>
      </c>
      <c r="Q223" s="37">
        <f>1151</f>
        <v>1151</v>
      </c>
      <c r="R223" s="34" t="s">
        <v>51</v>
      </c>
      <c r="S223" s="36">
        <f>1154.63</f>
        <v>1154.6300000000001</v>
      </c>
      <c r="T223" s="33">
        <f>179390</f>
        <v>179390</v>
      </c>
      <c r="U223" s="33" t="str">
        <f>"－"</f>
        <v>－</v>
      </c>
      <c r="V223" s="33">
        <f>202459600</f>
        <v>202459600</v>
      </c>
      <c r="W223" s="33" t="str">
        <f>"－"</f>
        <v>－</v>
      </c>
      <c r="X223" s="35">
        <f>19</f>
        <v>19</v>
      </c>
    </row>
    <row r="224" spans="1:24">
      <c r="A224" s="29" t="s">
        <v>42</v>
      </c>
      <c r="B224" s="29" t="s">
        <v>659</v>
      </c>
      <c r="C224" s="29" t="s">
        <v>660</v>
      </c>
      <c r="D224" s="29" t="s">
        <v>661</v>
      </c>
      <c r="E224" s="30" t="s">
        <v>46</v>
      </c>
      <c r="F224" s="31" t="s">
        <v>46</v>
      </c>
      <c r="G224" s="32" t="s">
        <v>46</v>
      </c>
      <c r="H224" s="27"/>
      <c r="I224" s="27" t="s">
        <v>47</v>
      </c>
      <c r="J224" s="33">
        <v>10</v>
      </c>
      <c r="K224" s="37">
        <f>1153</f>
        <v>1153</v>
      </c>
      <c r="L224" s="34" t="s">
        <v>48</v>
      </c>
      <c r="M224" s="37">
        <f>1212</f>
        <v>1212</v>
      </c>
      <c r="N224" s="34" t="s">
        <v>91</v>
      </c>
      <c r="O224" s="37">
        <f>1137</f>
        <v>1137</v>
      </c>
      <c r="P224" s="34" t="s">
        <v>65</v>
      </c>
      <c r="Q224" s="37">
        <f>1173</f>
        <v>1173</v>
      </c>
      <c r="R224" s="34" t="s">
        <v>51</v>
      </c>
      <c r="S224" s="36">
        <f>1169.39</f>
        <v>1169.3900000000001</v>
      </c>
      <c r="T224" s="33">
        <f>279040</f>
        <v>279040</v>
      </c>
      <c r="U224" s="33">
        <f>47000</f>
        <v>47000</v>
      </c>
      <c r="V224" s="33">
        <f>324583710</f>
        <v>324583710</v>
      </c>
      <c r="W224" s="33">
        <f>55093400</f>
        <v>55093400</v>
      </c>
      <c r="X224" s="35">
        <f>18</f>
        <v>18</v>
      </c>
    </row>
    <row r="225" spans="1:24">
      <c r="A225" s="29" t="s">
        <v>42</v>
      </c>
      <c r="B225" s="29" t="s">
        <v>662</v>
      </c>
      <c r="C225" s="29" t="s">
        <v>663</v>
      </c>
      <c r="D225" s="29" t="s">
        <v>664</v>
      </c>
      <c r="E225" s="30" t="s">
        <v>46</v>
      </c>
      <c r="F225" s="31" t="s">
        <v>46</v>
      </c>
      <c r="G225" s="32" t="s">
        <v>46</v>
      </c>
      <c r="H225" s="27"/>
      <c r="I225" s="27" t="s">
        <v>47</v>
      </c>
      <c r="J225" s="33">
        <v>10</v>
      </c>
      <c r="K225" s="37">
        <f>1064</f>
        <v>1064</v>
      </c>
      <c r="L225" s="34" t="s">
        <v>48</v>
      </c>
      <c r="M225" s="37">
        <f>1108</f>
        <v>1108</v>
      </c>
      <c r="N225" s="34" t="s">
        <v>91</v>
      </c>
      <c r="O225" s="37">
        <f>1053</f>
        <v>1053</v>
      </c>
      <c r="P225" s="34" t="s">
        <v>65</v>
      </c>
      <c r="Q225" s="37">
        <f>1091</f>
        <v>1091</v>
      </c>
      <c r="R225" s="34" t="s">
        <v>51</v>
      </c>
      <c r="S225" s="36">
        <f>1086.47</f>
        <v>1086.47</v>
      </c>
      <c r="T225" s="33">
        <f>366840</f>
        <v>366840</v>
      </c>
      <c r="U225" s="33">
        <f>143440</f>
        <v>143440</v>
      </c>
      <c r="V225" s="33">
        <f>397331545</f>
        <v>397331545</v>
      </c>
      <c r="W225" s="33">
        <f>156494665</f>
        <v>156494665</v>
      </c>
      <c r="X225" s="35">
        <f>19</f>
        <v>19</v>
      </c>
    </row>
    <row r="226" spans="1:24">
      <c r="A226" s="29" t="s">
        <v>42</v>
      </c>
      <c r="B226" s="29" t="s">
        <v>665</v>
      </c>
      <c r="C226" s="29" t="s">
        <v>666</v>
      </c>
      <c r="D226" s="29" t="s">
        <v>667</v>
      </c>
      <c r="E226" s="30" t="s">
        <v>46</v>
      </c>
      <c r="F226" s="31" t="s">
        <v>46</v>
      </c>
      <c r="G226" s="32" t="s">
        <v>46</v>
      </c>
      <c r="H226" s="27"/>
      <c r="I226" s="27" t="s">
        <v>47</v>
      </c>
      <c r="J226" s="33">
        <v>10</v>
      </c>
      <c r="K226" s="37">
        <f>671</f>
        <v>671</v>
      </c>
      <c r="L226" s="34" t="s">
        <v>48</v>
      </c>
      <c r="M226" s="37">
        <f>685</f>
        <v>685</v>
      </c>
      <c r="N226" s="34" t="s">
        <v>90</v>
      </c>
      <c r="O226" s="37">
        <f>614</f>
        <v>614</v>
      </c>
      <c r="P226" s="34" t="s">
        <v>50</v>
      </c>
      <c r="Q226" s="37">
        <f>634</f>
        <v>634</v>
      </c>
      <c r="R226" s="34" t="s">
        <v>51</v>
      </c>
      <c r="S226" s="36">
        <f>664.37</f>
        <v>664.37</v>
      </c>
      <c r="T226" s="33">
        <f>1529810</f>
        <v>1529810</v>
      </c>
      <c r="U226" s="33">
        <f>100760</f>
        <v>100760</v>
      </c>
      <c r="V226" s="33">
        <f>1003505614</f>
        <v>1003505614</v>
      </c>
      <c r="W226" s="33">
        <f>65620784</f>
        <v>65620784</v>
      </c>
      <c r="X226" s="35">
        <f>19</f>
        <v>19</v>
      </c>
    </row>
    <row r="227" spans="1:24">
      <c r="A227" s="29" t="s">
        <v>42</v>
      </c>
      <c r="B227" s="29" t="s">
        <v>668</v>
      </c>
      <c r="C227" s="29" t="s">
        <v>669</v>
      </c>
      <c r="D227" s="29" t="s">
        <v>670</v>
      </c>
      <c r="E227" s="30" t="s">
        <v>46</v>
      </c>
      <c r="F227" s="31" t="s">
        <v>46</v>
      </c>
      <c r="G227" s="32" t="s">
        <v>46</v>
      </c>
      <c r="H227" s="27"/>
      <c r="I227" s="27" t="s">
        <v>47</v>
      </c>
      <c r="J227" s="33">
        <v>10</v>
      </c>
      <c r="K227" s="37">
        <f>1264</f>
        <v>1264</v>
      </c>
      <c r="L227" s="34" t="s">
        <v>48</v>
      </c>
      <c r="M227" s="37">
        <f>1300</f>
        <v>1300</v>
      </c>
      <c r="N227" s="34" t="s">
        <v>51</v>
      </c>
      <c r="O227" s="37">
        <f>1248</f>
        <v>1248</v>
      </c>
      <c r="P227" s="34" t="s">
        <v>119</v>
      </c>
      <c r="Q227" s="37">
        <f>1300</f>
        <v>1300</v>
      </c>
      <c r="R227" s="34" t="s">
        <v>51</v>
      </c>
      <c r="S227" s="36">
        <f>1271</f>
        <v>1271</v>
      </c>
      <c r="T227" s="33">
        <f>791010</f>
        <v>791010</v>
      </c>
      <c r="U227" s="33">
        <f>777000</f>
        <v>777000</v>
      </c>
      <c r="V227" s="33">
        <f>1018494870</f>
        <v>1018494870</v>
      </c>
      <c r="W227" s="33">
        <f>1000744920</f>
        <v>1000744920</v>
      </c>
      <c r="X227" s="35">
        <f>19</f>
        <v>19</v>
      </c>
    </row>
    <row r="228" spans="1:24">
      <c r="A228" s="29" t="s">
        <v>42</v>
      </c>
      <c r="B228" s="29" t="s">
        <v>671</v>
      </c>
      <c r="C228" s="29" t="s">
        <v>672</v>
      </c>
      <c r="D228" s="29" t="s">
        <v>673</v>
      </c>
      <c r="E228" s="30" t="s">
        <v>46</v>
      </c>
      <c r="F228" s="31" t="s">
        <v>46</v>
      </c>
      <c r="G228" s="32" t="s">
        <v>46</v>
      </c>
      <c r="H228" s="27"/>
      <c r="I228" s="27" t="s">
        <v>47</v>
      </c>
      <c r="J228" s="33">
        <v>1</v>
      </c>
      <c r="K228" s="37">
        <f>977</f>
        <v>977</v>
      </c>
      <c r="L228" s="34" t="s">
        <v>48</v>
      </c>
      <c r="M228" s="37">
        <f>1042</f>
        <v>1042</v>
      </c>
      <c r="N228" s="34" t="s">
        <v>72</v>
      </c>
      <c r="O228" s="37">
        <f>965</f>
        <v>965</v>
      </c>
      <c r="P228" s="34" t="s">
        <v>50</v>
      </c>
      <c r="Q228" s="37">
        <f>977</f>
        <v>977</v>
      </c>
      <c r="R228" s="34" t="s">
        <v>51</v>
      </c>
      <c r="S228" s="36">
        <f>996.74</f>
        <v>996.74</v>
      </c>
      <c r="T228" s="33">
        <f>925093</f>
        <v>925093</v>
      </c>
      <c r="U228" s="33" t="str">
        <f>"－"</f>
        <v>－</v>
      </c>
      <c r="V228" s="33">
        <f>908092801</f>
        <v>908092801</v>
      </c>
      <c r="W228" s="33" t="str">
        <f>"－"</f>
        <v>－</v>
      </c>
      <c r="X228" s="35">
        <f>19</f>
        <v>19</v>
      </c>
    </row>
    <row r="229" spans="1:24">
      <c r="A229" s="29" t="s">
        <v>42</v>
      </c>
      <c r="B229" s="29" t="s">
        <v>674</v>
      </c>
      <c r="C229" s="29" t="s">
        <v>675</v>
      </c>
      <c r="D229" s="29" t="s">
        <v>676</v>
      </c>
      <c r="E229" s="30" t="s">
        <v>46</v>
      </c>
      <c r="F229" s="31" t="s">
        <v>46</v>
      </c>
      <c r="G229" s="32" t="s">
        <v>46</v>
      </c>
      <c r="H229" s="27"/>
      <c r="I229" s="27" t="s">
        <v>47</v>
      </c>
      <c r="J229" s="33">
        <v>10</v>
      </c>
      <c r="K229" s="37">
        <f>1050</f>
        <v>1050</v>
      </c>
      <c r="L229" s="34" t="s">
        <v>48</v>
      </c>
      <c r="M229" s="37">
        <f>1130</f>
        <v>1130</v>
      </c>
      <c r="N229" s="34" t="s">
        <v>49</v>
      </c>
      <c r="O229" s="37">
        <f>1043</f>
        <v>1043</v>
      </c>
      <c r="P229" s="34" t="s">
        <v>48</v>
      </c>
      <c r="Q229" s="37">
        <f>1075</f>
        <v>1075</v>
      </c>
      <c r="R229" s="34" t="s">
        <v>51</v>
      </c>
      <c r="S229" s="36">
        <f>1068</f>
        <v>1068</v>
      </c>
      <c r="T229" s="33">
        <f>66990</f>
        <v>66990</v>
      </c>
      <c r="U229" s="33" t="str">
        <f>"－"</f>
        <v>－</v>
      </c>
      <c r="V229" s="33">
        <f>71404850</f>
        <v>71404850</v>
      </c>
      <c r="W229" s="33" t="str">
        <f>"－"</f>
        <v>－</v>
      </c>
      <c r="X229" s="35">
        <f>19</f>
        <v>19</v>
      </c>
    </row>
    <row r="230" spans="1:24">
      <c r="A230" s="29" t="s">
        <v>42</v>
      </c>
      <c r="B230" s="29" t="s">
        <v>677</v>
      </c>
      <c r="C230" s="29" t="s">
        <v>678</v>
      </c>
      <c r="D230" s="29" t="s">
        <v>679</v>
      </c>
      <c r="E230" s="30" t="s">
        <v>46</v>
      </c>
      <c r="F230" s="31" t="s">
        <v>46</v>
      </c>
      <c r="G230" s="32" t="s">
        <v>46</v>
      </c>
      <c r="H230" s="27"/>
      <c r="I230" s="27" t="s">
        <v>47</v>
      </c>
      <c r="J230" s="33">
        <v>10</v>
      </c>
      <c r="K230" s="37">
        <f>1050</f>
        <v>1050</v>
      </c>
      <c r="L230" s="34" t="s">
        <v>48</v>
      </c>
      <c r="M230" s="37">
        <f>1093</f>
        <v>1093</v>
      </c>
      <c r="N230" s="34" t="s">
        <v>90</v>
      </c>
      <c r="O230" s="37">
        <f>1002</f>
        <v>1002</v>
      </c>
      <c r="P230" s="34" t="s">
        <v>51</v>
      </c>
      <c r="Q230" s="37">
        <f>1002</f>
        <v>1002</v>
      </c>
      <c r="R230" s="34" t="s">
        <v>51</v>
      </c>
      <c r="S230" s="36">
        <f>1050.89</f>
        <v>1050.8900000000001</v>
      </c>
      <c r="T230" s="33">
        <f>75490</f>
        <v>75490</v>
      </c>
      <c r="U230" s="33">
        <f>10</f>
        <v>10</v>
      </c>
      <c r="V230" s="33">
        <f>79798920</f>
        <v>79798920</v>
      </c>
      <c r="W230" s="33">
        <f>10240</f>
        <v>10240</v>
      </c>
      <c r="X230" s="35">
        <f>19</f>
        <v>19</v>
      </c>
    </row>
    <row r="231" spans="1:24">
      <c r="A231" s="29" t="s">
        <v>42</v>
      </c>
      <c r="B231" s="29" t="s">
        <v>680</v>
      </c>
      <c r="C231" s="29" t="s">
        <v>681</v>
      </c>
      <c r="D231" s="29" t="s">
        <v>682</v>
      </c>
      <c r="E231" s="30" t="s">
        <v>46</v>
      </c>
      <c r="F231" s="31" t="s">
        <v>46</v>
      </c>
      <c r="G231" s="32" t="s">
        <v>46</v>
      </c>
      <c r="H231" s="27"/>
      <c r="I231" s="27" t="s">
        <v>47</v>
      </c>
      <c r="J231" s="33">
        <v>10</v>
      </c>
      <c r="K231" s="37">
        <f>1129</f>
        <v>1129</v>
      </c>
      <c r="L231" s="34" t="s">
        <v>48</v>
      </c>
      <c r="M231" s="37">
        <f>1162</f>
        <v>1162</v>
      </c>
      <c r="N231" s="34" t="s">
        <v>49</v>
      </c>
      <c r="O231" s="37">
        <f>1113</f>
        <v>1113</v>
      </c>
      <c r="P231" s="34" t="s">
        <v>65</v>
      </c>
      <c r="Q231" s="37">
        <f>1144</f>
        <v>1144</v>
      </c>
      <c r="R231" s="34" t="s">
        <v>51</v>
      </c>
      <c r="S231" s="36">
        <f>1144.16</f>
        <v>1144.1600000000001</v>
      </c>
      <c r="T231" s="33">
        <f>6400180</f>
        <v>6400180</v>
      </c>
      <c r="U231" s="33">
        <f>4426900</f>
        <v>4426900</v>
      </c>
      <c r="V231" s="33">
        <f>7275120210</f>
        <v>7275120210</v>
      </c>
      <c r="W231" s="33">
        <f>5027488150</f>
        <v>5027488150</v>
      </c>
      <c r="X231" s="35">
        <f>19</f>
        <v>19</v>
      </c>
    </row>
    <row r="232" spans="1:24">
      <c r="A232" s="29" t="s">
        <v>42</v>
      </c>
      <c r="B232" s="29" t="s">
        <v>683</v>
      </c>
      <c r="C232" s="29" t="s">
        <v>684</v>
      </c>
      <c r="D232" s="29" t="s">
        <v>685</v>
      </c>
      <c r="E232" s="30" t="s">
        <v>46</v>
      </c>
      <c r="F232" s="31" t="s">
        <v>46</v>
      </c>
      <c r="G232" s="32" t="s">
        <v>46</v>
      </c>
      <c r="H232" s="27"/>
      <c r="I232" s="27" t="s">
        <v>47</v>
      </c>
      <c r="J232" s="33">
        <v>1</v>
      </c>
      <c r="K232" s="37">
        <f>2463</f>
        <v>2463</v>
      </c>
      <c r="L232" s="34" t="s">
        <v>48</v>
      </c>
      <c r="M232" s="37">
        <f>2633</f>
        <v>2633</v>
      </c>
      <c r="N232" s="34" t="s">
        <v>49</v>
      </c>
      <c r="O232" s="37">
        <f>2433</f>
        <v>2433</v>
      </c>
      <c r="P232" s="34" t="s">
        <v>65</v>
      </c>
      <c r="Q232" s="37">
        <f>2480</f>
        <v>2480</v>
      </c>
      <c r="R232" s="34" t="s">
        <v>51</v>
      </c>
      <c r="S232" s="36">
        <f>2551</f>
        <v>2551</v>
      </c>
      <c r="T232" s="33">
        <f>32472</f>
        <v>32472</v>
      </c>
      <c r="U232" s="33" t="str">
        <f>"－"</f>
        <v>－</v>
      </c>
      <c r="V232" s="33">
        <f>82773171</f>
        <v>82773171</v>
      </c>
      <c r="W232" s="33" t="str">
        <f>"－"</f>
        <v>－</v>
      </c>
      <c r="X232" s="35">
        <f>19</f>
        <v>19</v>
      </c>
    </row>
    <row r="233" spans="1:24">
      <c r="A233" s="29" t="s">
        <v>42</v>
      </c>
      <c r="B233" s="29" t="s">
        <v>686</v>
      </c>
      <c r="C233" s="29" t="s">
        <v>687</v>
      </c>
      <c r="D233" s="29" t="s">
        <v>688</v>
      </c>
      <c r="E233" s="30" t="s">
        <v>46</v>
      </c>
      <c r="F233" s="31" t="s">
        <v>46</v>
      </c>
      <c r="G233" s="32" t="s">
        <v>46</v>
      </c>
      <c r="H233" s="27"/>
      <c r="I233" s="27" t="s">
        <v>47</v>
      </c>
      <c r="J233" s="33">
        <v>10</v>
      </c>
      <c r="K233" s="37">
        <f>1570</f>
        <v>1570</v>
      </c>
      <c r="L233" s="34" t="s">
        <v>90</v>
      </c>
      <c r="M233" s="37">
        <f>1570</f>
        <v>1570</v>
      </c>
      <c r="N233" s="34" t="s">
        <v>90</v>
      </c>
      <c r="O233" s="37">
        <f>1570</f>
        <v>1570</v>
      </c>
      <c r="P233" s="34" t="s">
        <v>90</v>
      </c>
      <c r="Q233" s="37">
        <f>1570</f>
        <v>1570</v>
      </c>
      <c r="R233" s="34" t="s">
        <v>90</v>
      </c>
      <c r="S233" s="36">
        <f>1570</f>
        <v>1570</v>
      </c>
      <c r="T233" s="33">
        <f>10</f>
        <v>10</v>
      </c>
      <c r="U233" s="33" t="str">
        <f>"－"</f>
        <v>－</v>
      </c>
      <c r="V233" s="33">
        <f>15700</f>
        <v>15700</v>
      </c>
      <c r="W233" s="33" t="str">
        <f>"－"</f>
        <v>－</v>
      </c>
      <c r="X233" s="35">
        <f>1</f>
        <v>1</v>
      </c>
    </row>
    <row r="234" spans="1:24">
      <c r="A234" s="29" t="s">
        <v>42</v>
      </c>
      <c r="B234" s="29" t="s">
        <v>689</v>
      </c>
      <c r="C234" s="29" t="s">
        <v>690</v>
      </c>
      <c r="D234" s="29" t="s">
        <v>691</v>
      </c>
      <c r="E234" s="30" t="s">
        <v>46</v>
      </c>
      <c r="F234" s="31" t="s">
        <v>46</v>
      </c>
      <c r="G234" s="32" t="s">
        <v>46</v>
      </c>
      <c r="H234" s="27"/>
      <c r="I234" s="27" t="s">
        <v>47</v>
      </c>
      <c r="J234" s="33">
        <v>10</v>
      </c>
      <c r="K234" s="37">
        <f>1715</f>
        <v>1715</v>
      </c>
      <c r="L234" s="34" t="s">
        <v>48</v>
      </c>
      <c r="M234" s="37">
        <f>1788</f>
        <v>1788</v>
      </c>
      <c r="N234" s="34" t="s">
        <v>175</v>
      </c>
      <c r="O234" s="37">
        <f>1712</f>
        <v>1712</v>
      </c>
      <c r="P234" s="34" t="s">
        <v>50</v>
      </c>
      <c r="Q234" s="37">
        <f>1712</f>
        <v>1712</v>
      </c>
      <c r="R234" s="34" t="s">
        <v>50</v>
      </c>
      <c r="S234" s="36">
        <f>1735.57</f>
        <v>1735.57</v>
      </c>
      <c r="T234" s="33">
        <f>209680</f>
        <v>209680</v>
      </c>
      <c r="U234" s="33">
        <f>208000</f>
        <v>208000</v>
      </c>
      <c r="V234" s="33">
        <f>367309750</f>
        <v>367309750</v>
      </c>
      <c r="W234" s="33">
        <f>364413600</f>
        <v>364413600</v>
      </c>
      <c r="X234" s="35">
        <f>7</f>
        <v>7</v>
      </c>
    </row>
    <row r="235" spans="1:24">
      <c r="A235" s="29" t="s">
        <v>42</v>
      </c>
      <c r="B235" s="29" t="s">
        <v>692</v>
      </c>
      <c r="C235" s="29" t="s">
        <v>693</v>
      </c>
      <c r="D235" s="29" t="s">
        <v>694</v>
      </c>
      <c r="E235" s="30" t="s">
        <v>46</v>
      </c>
      <c r="F235" s="31" t="s">
        <v>46</v>
      </c>
      <c r="G235" s="32" t="s">
        <v>46</v>
      </c>
      <c r="H235" s="27"/>
      <c r="I235" s="27" t="s">
        <v>47</v>
      </c>
      <c r="J235" s="33">
        <v>1</v>
      </c>
      <c r="K235" s="37">
        <f>23710</f>
        <v>23710</v>
      </c>
      <c r="L235" s="34" t="s">
        <v>100</v>
      </c>
      <c r="M235" s="37">
        <f>24310</f>
        <v>24310</v>
      </c>
      <c r="N235" s="34" t="s">
        <v>79</v>
      </c>
      <c r="O235" s="37">
        <f>23230</f>
        <v>23230</v>
      </c>
      <c r="P235" s="34" t="s">
        <v>50</v>
      </c>
      <c r="Q235" s="37">
        <f>23230</f>
        <v>23230</v>
      </c>
      <c r="R235" s="34" t="s">
        <v>50</v>
      </c>
      <c r="S235" s="36">
        <f>23778.75</f>
        <v>23778.75</v>
      </c>
      <c r="T235" s="33">
        <f>41598</f>
        <v>41598</v>
      </c>
      <c r="U235" s="33">
        <f>39000</f>
        <v>39000</v>
      </c>
      <c r="V235" s="33">
        <f>998001160</f>
        <v>998001160</v>
      </c>
      <c r="W235" s="33">
        <f>936819000</f>
        <v>936819000</v>
      </c>
      <c r="X235" s="35">
        <f>8</f>
        <v>8</v>
      </c>
    </row>
    <row r="236" spans="1:24">
      <c r="A236" s="29" t="s">
        <v>42</v>
      </c>
      <c r="B236" s="29" t="s">
        <v>695</v>
      </c>
      <c r="C236" s="29" t="s">
        <v>696</v>
      </c>
      <c r="D236" s="29" t="s">
        <v>697</v>
      </c>
      <c r="E236" s="30" t="s">
        <v>46</v>
      </c>
      <c r="F236" s="31" t="s">
        <v>46</v>
      </c>
      <c r="G236" s="32" t="s">
        <v>46</v>
      </c>
      <c r="H236" s="27"/>
      <c r="I236" s="27" t="s">
        <v>47</v>
      </c>
      <c r="J236" s="33">
        <v>1</v>
      </c>
      <c r="K236" s="37">
        <f>15280</f>
        <v>15280</v>
      </c>
      <c r="L236" s="34" t="s">
        <v>48</v>
      </c>
      <c r="M236" s="37">
        <f>15740</f>
        <v>15740</v>
      </c>
      <c r="N236" s="34" t="s">
        <v>49</v>
      </c>
      <c r="O236" s="37">
        <f>15090</f>
        <v>15090</v>
      </c>
      <c r="P236" s="34" t="s">
        <v>50</v>
      </c>
      <c r="Q236" s="37">
        <f>15230</f>
        <v>15230</v>
      </c>
      <c r="R236" s="34" t="s">
        <v>51</v>
      </c>
      <c r="S236" s="36">
        <f>15448.46</f>
        <v>15448.46</v>
      </c>
      <c r="T236" s="33">
        <f>22417</f>
        <v>22417</v>
      </c>
      <c r="U236" s="33">
        <f>10000</f>
        <v>10000</v>
      </c>
      <c r="V236" s="33">
        <f>348315540</f>
        <v>348315540</v>
      </c>
      <c r="W236" s="33">
        <f>156370000</f>
        <v>156370000</v>
      </c>
      <c r="X236" s="35">
        <f>13</f>
        <v>13</v>
      </c>
    </row>
    <row r="237" spans="1:24">
      <c r="A237" s="29" t="s">
        <v>42</v>
      </c>
      <c r="B237" s="29" t="s">
        <v>698</v>
      </c>
      <c r="C237" s="29" t="s">
        <v>699</v>
      </c>
      <c r="D237" s="29" t="s">
        <v>700</v>
      </c>
      <c r="E237" s="30" t="s">
        <v>46</v>
      </c>
      <c r="F237" s="31" t="s">
        <v>46</v>
      </c>
      <c r="G237" s="32" t="s">
        <v>46</v>
      </c>
      <c r="H237" s="27"/>
      <c r="I237" s="27" t="s">
        <v>47</v>
      </c>
      <c r="J237" s="33">
        <v>10</v>
      </c>
      <c r="K237" s="37">
        <f>1279</f>
        <v>1279</v>
      </c>
      <c r="L237" s="34" t="s">
        <v>48</v>
      </c>
      <c r="M237" s="37">
        <f>1421</f>
        <v>1421</v>
      </c>
      <c r="N237" s="34" t="s">
        <v>61</v>
      </c>
      <c r="O237" s="37">
        <f>1235</f>
        <v>1235</v>
      </c>
      <c r="P237" s="34" t="s">
        <v>150</v>
      </c>
      <c r="Q237" s="37">
        <f>1295</f>
        <v>1295</v>
      </c>
      <c r="R237" s="34" t="s">
        <v>51</v>
      </c>
      <c r="S237" s="36">
        <f>1292.86</f>
        <v>1292.8599999999999</v>
      </c>
      <c r="T237" s="33">
        <f>915310</f>
        <v>915310</v>
      </c>
      <c r="U237" s="33">
        <f>683450</f>
        <v>683450</v>
      </c>
      <c r="V237" s="33">
        <f>1160537800</f>
        <v>1160537800</v>
      </c>
      <c r="W237" s="33">
        <f>866633750</f>
        <v>866633750</v>
      </c>
      <c r="X237" s="35">
        <f>14</f>
        <v>14</v>
      </c>
    </row>
    <row r="238" spans="1:24">
      <c r="A238" s="29" t="s">
        <v>42</v>
      </c>
      <c r="B238" s="29" t="s">
        <v>701</v>
      </c>
      <c r="C238" s="29" t="s">
        <v>702</v>
      </c>
      <c r="D238" s="29" t="s">
        <v>703</v>
      </c>
      <c r="E238" s="30" t="s">
        <v>46</v>
      </c>
      <c r="F238" s="31" t="s">
        <v>46</v>
      </c>
      <c r="G238" s="32" t="s">
        <v>46</v>
      </c>
      <c r="H238" s="27"/>
      <c r="I238" s="27" t="s">
        <v>47</v>
      </c>
      <c r="J238" s="33">
        <v>10</v>
      </c>
      <c r="K238" s="37">
        <f>1260</f>
        <v>1260</v>
      </c>
      <c r="L238" s="34" t="s">
        <v>48</v>
      </c>
      <c r="M238" s="37">
        <f>1299</f>
        <v>1299</v>
      </c>
      <c r="N238" s="34" t="s">
        <v>51</v>
      </c>
      <c r="O238" s="37">
        <f>1241</f>
        <v>1241</v>
      </c>
      <c r="P238" s="34" t="s">
        <v>65</v>
      </c>
      <c r="Q238" s="37">
        <f>1299</f>
        <v>1299</v>
      </c>
      <c r="R238" s="34" t="s">
        <v>51</v>
      </c>
      <c r="S238" s="36">
        <f>1262.83</f>
        <v>1262.83</v>
      </c>
      <c r="T238" s="33">
        <f>15750</f>
        <v>15750</v>
      </c>
      <c r="U238" s="33" t="str">
        <f t="shared" ref="U238:U248" si="6">"－"</f>
        <v>－</v>
      </c>
      <c r="V238" s="33">
        <f>19755910</f>
        <v>19755910</v>
      </c>
      <c r="W238" s="33" t="str">
        <f t="shared" ref="W238:W248" si="7">"－"</f>
        <v>－</v>
      </c>
      <c r="X238" s="35">
        <f>18</f>
        <v>18</v>
      </c>
    </row>
    <row r="239" spans="1:24">
      <c r="A239" s="29" t="s">
        <v>42</v>
      </c>
      <c r="B239" s="29" t="s">
        <v>704</v>
      </c>
      <c r="C239" s="29" t="s">
        <v>705</v>
      </c>
      <c r="D239" s="29" t="s">
        <v>706</v>
      </c>
      <c r="E239" s="30" t="s">
        <v>46</v>
      </c>
      <c r="F239" s="31" t="s">
        <v>46</v>
      </c>
      <c r="G239" s="32" t="s">
        <v>46</v>
      </c>
      <c r="H239" s="27"/>
      <c r="I239" s="27" t="s">
        <v>47</v>
      </c>
      <c r="J239" s="33">
        <v>1</v>
      </c>
      <c r="K239" s="37">
        <f>1029</f>
        <v>1029</v>
      </c>
      <c r="L239" s="34" t="s">
        <v>48</v>
      </c>
      <c r="M239" s="37">
        <f>1059</f>
        <v>1059</v>
      </c>
      <c r="N239" s="34" t="s">
        <v>49</v>
      </c>
      <c r="O239" s="37">
        <f>1012</f>
        <v>1012</v>
      </c>
      <c r="P239" s="34" t="s">
        <v>50</v>
      </c>
      <c r="Q239" s="37">
        <f>1023</f>
        <v>1023</v>
      </c>
      <c r="R239" s="34" t="s">
        <v>51</v>
      </c>
      <c r="S239" s="36">
        <f>1040.37</f>
        <v>1040.3699999999999</v>
      </c>
      <c r="T239" s="33">
        <f>67807</f>
        <v>67807</v>
      </c>
      <c r="U239" s="33" t="str">
        <f t="shared" si="6"/>
        <v>－</v>
      </c>
      <c r="V239" s="33">
        <f>70013645</f>
        <v>70013645</v>
      </c>
      <c r="W239" s="33" t="str">
        <f t="shared" si="7"/>
        <v>－</v>
      </c>
      <c r="X239" s="35">
        <f>19</f>
        <v>19</v>
      </c>
    </row>
    <row r="240" spans="1:24">
      <c r="A240" s="29" t="s">
        <v>42</v>
      </c>
      <c r="B240" s="29" t="s">
        <v>707</v>
      </c>
      <c r="C240" s="29" t="s">
        <v>708</v>
      </c>
      <c r="D240" s="29" t="s">
        <v>709</v>
      </c>
      <c r="E240" s="30" t="s">
        <v>46</v>
      </c>
      <c r="F240" s="31" t="s">
        <v>46</v>
      </c>
      <c r="G240" s="32" t="s">
        <v>46</v>
      </c>
      <c r="H240" s="27"/>
      <c r="I240" s="27" t="s">
        <v>47</v>
      </c>
      <c r="J240" s="33">
        <v>1</v>
      </c>
      <c r="K240" s="37">
        <f>10850</f>
        <v>10850</v>
      </c>
      <c r="L240" s="34" t="s">
        <v>100</v>
      </c>
      <c r="M240" s="37">
        <f>11010</f>
        <v>11010</v>
      </c>
      <c r="N240" s="34" t="s">
        <v>150</v>
      </c>
      <c r="O240" s="37">
        <f>10010</f>
        <v>10010</v>
      </c>
      <c r="P240" s="34" t="s">
        <v>95</v>
      </c>
      <c r="Q240" s="37">
        <f>10150</f>
        <v>10150</v>
      </c>
      <c r="R240" s="34" t="s">
        <v>51</v>
      </c>
      <c r="S240" s="36">
        <f>10685</f>
        <v>10685</v>
      </c>
      <c r="T240" s="33">
        <f>598</f>
        <v>598</v>
      </c>
      <c r="U240" s="33" t="str">
        <f t="shared" si="6"/>
        <v>－</v>
      </c>
      <c r="V240" s="33">
        <f>6352240</f>
        <v>6352240</v>
      </c>
      <c r="W240" s="33" t="str">
        <f t="shared" si="7"/>
        <v>－</v>
      </c>
      <c r="X240" s="35">
        <f>16</f>
        <v>16</v>
      </c>
    </row>
    <row r="241" spans="1:24">
      <c r="A241" s="29" t="s">
        <v>42</v>
      </c>
      <c r="B241" s="29" t="s">
        <v>710</v>
      </c>
      <c r="C241" s="29" t="s">
        <v>711</v>
      </c>
      <c r="D241" s="29" t="s">
        <v>712</v>
      </c>
      <c r="E241" s="30" t="s">
        <v>46</v>
      </c>
      <c r="F241" s="31" t="s">
        <v>46</v>
      </c>
      <c r="G241" s="32" t="s">
        <v>46</v>
      </c>
      <c r="H241" s="27"/>
      <c r="I241" s="27" t="s">
        <v>47</v>
      </c>
      <c r="J241" s="33">
        <v>1</v>
      </c>
      <c r="K241" s="37">
        <f>2289</f>
        <v>2289</v>
      </c>
      <c r="L241" s="34" t="s">
        <v>48</v>
      </c>
      <c r="M241" s="37">
        <f>2374</f>
        <v>2374</v>
      </c>
      <c r="N241" s="34" t="s">
        <v>51</v>
      </c>
      <c r="O241" s="37">
        <f>2246</f>
        <v>2246</v>
      </c>
      <c r="P241" s="34" t="s">
        <v>119</v>
      </c>
      <c r="Q241" s="37">
        <f>2368</f>
        <v>2368</v>
      </c>
      <c r="R241" s="34" t="s">
        <v>51</v>
      </c>
      <c r="S241" s="36">
        <f>2301.16</f>
        <v>2301.16</v>
      </c>
      <c r="T241" s="33">
        <f>6491</f>
        <v>6491</v>
      </c>
      <c r="U241" s="33" t="str">
        <f t="shared" si="6"/>
        <v>－</v>
      </c>
      <c r="V241" s="33">
        <f>14973248</f>
        <v>14973248</v>
      </c>
      <c r="W241" s="33" t="str">
        <f t="shared" si="7"/>
        <v>－</v>
      </c>
      <c r="X241" s="35">
        <f>19</f>
        <v>19</v>
      </c>
    </row>
    <row r="242" spans="1:24">
      <c r="A242" s="29" t="s">
        <v>42</v>
      </c>
      <c r="B242" s="29" t="s">
        <v>713</v>
      </c>
      <c r="C242" s="29" t="s">
        <v>714</v>
      </c>
      <c r="D242" s="29" t="s">
        <v>715</v>
      </c>
      <c r="E242" s="30" t="s">
        <v>46</v>
      </c>
      <c r="F242" s="31" t="s">
        <v>46</v>
      </c>
      <c r="G242" s="32" t="s">
        <v>46</v>
      </c>
      <c r="H242" s="27"/>
      <c r="I242" s="27" t="s">
        <v>47</v>
      </c>
      <c r="J242" s="33">
        <v>10</v>
      </c>
      <c r="K242" s="37">
        <f>1065</f>
        <v>1065</v>
      </c>
      <c r="L242" s="34" t="s">
        <v>100</v>
      </c>
      <c r="M242" s="37">
        <f>1159</f>
        <v>1159</v>
      </c>
      <c r="N242" s="34" t="s">
        <v>86</v>
      </c>
      <c r="O242" s="37">
        <f>1005</f>
        <v>1005</v>
      </c>
      <c r="P242" s="34" t="s">
        <v>95</v>
      </c>
      <c r="Q242" s="37">
        <f>1027</f>
        <v>1027</v>
      </c>
      <c r="R242" s="34" t="s">
        <v>95</v>
      </c>
      <c r="S242" s="36">
        <f>1093.29</f>
        <v>1093.29</v>
      </c>
      <c r="T242" s="33">
        <f>1550</f>
        <v>1550</v>
      </c>
      <c r="U242" s="33" t="str">
        <f t="shared" si="6"/>
        <v>－</v>
      </c>
      <c r="V242" s="33">
        <f>1746880</f>
        <v>1746880</v>
      </c>
      <c r="W242" s="33" t="str">
        <f t="shared" si="7"/>
        <v>－</v>
      </c>
      <c r="X242" s="35">
        <f>7</f>
        <v>7</v>
      </c>
    </row>
    <row r="243" spans="1:24">
      <c r="A243" s="29" t="s">
        <v>42</v>
      </c>
      <c r="B243" s="29" t="s">
        <v>716</v>
      </c>
      <c r="C243" s="29" t="s">
        <v>717</v>
      </c>
      <c r="D243" s="29" t="s">
        <v>718</v>
      </c>
      <c r="E243" s="30" t="s">
        <v>46</v>
      </c>
      <c r="F243" s="31" t="s">
        <v>46</v>
      </c>
      <c r="G243" s="32" t="s">
        <v>46</v>
      </c>
      <c r="H243" s="27"/>
      <c r="I243" s="27" t="s">
        <v>47</v>
      </c>
      <c r="J243" s="33">
        <v>10</v>
      </c>
      <c r="K243" s="37">
        <f>1003</f>
        <v>1003</v>
      </c>
      <c r="L243" s="34" t="s">
        <v>48</v>
      </c>
      <c r="M243" s="37">
        <f>1070</f>
        <v>1070</v>
      </c>
      <c r="N243" s="34" t="s">
        <v>51</v>
      </c>
      <c r="O243" s="37">
        <f>997</f>
        <v>997</v>
      </c>
      <c r="P243" s="34" t="s">
        <v>119</v>
      </c>
      <c r="Q243" s="37">
        <f>1010</f>
        <v>1010</v>
      </c>
      <c r="R243" s="34" t="s">
        <v>51</v>
      </c>
      <c r="S243" s="36">
        <f>1002.82</f>
        <v>1002.82</v>
      </c>
      <c r="T243" s="33">
        <f>16340</f>
        <v>16340</v>
      </c>
      <c r="U243" s="33" t="str">
        <f t="shared" si="6"/>
        <v>－</v>
      </c>
      <c r="V243" s="33">
        <f>16367610</f>
        <v>16367610</v>
      </c>
      <c r="W243" s="33" t="str">
        <f t="shared" si="7"/>
        <v>－</v>
      </c>
      <c r="X243" s="35">
        <f>17</f>
        <v>17</v>
      </c>
    </row>
    <row r="244" spans="1:24">
      <c r="A244" s="29" t="s">
        <v>42</v>
      </c>
      <c r="B244" s="29" t="s">
        <v>719</v>
      </c>
      <c r="C244" s="29" t="s">
        <v>720</v>
      </c>
      <c r="D244" s="29" t="s">
        <v>721</v>
      </c>
      <c r="E244" s="30" t="s">
        <v>46</v>
      </c>
      <c r="F244" s="31" t="s">
        <v>46</v>
      </c>
      <c r="G244" s="32" t="s">
        <v>46</v>
      </c>
      <c r="H244" s="27"/>
      <c r="I244" s="27" t="s">
        <v>47</v>
      </c>
      <c r="J244" s="33">
        <v>10</v>
      </c>
      <c r="K244" s="37">
        <f>2192</f>
        <v>2192</v>
      </c>
      <c r="L244" s="34" t="s">
        <v>48</v>
      </c>
      <c r="M244" s="37">
        <f>2264</f>
        <v>2264</v>
      </c>
      <c r="N244" s="34" t="s">
        <v>51</v>
      </c>
      <c r="O244" s="37">
        <f>2145</f>
        <v>2145</v>
      </c>
      <c r="P244" s="34" t="s">
        <v>119</v>
      </c>
      <c r="Q244" s="37">
        <f>2264</f>
        <v>2264</v>
      </c>
      <c r="R244" s="34" t="s">
        <v>51</v>
      </c>
      <c r="S244" s="36">
        <f>2196.82</f>
        <v>2196.8200000000002</v>
      </c>
      <c r="T244" s="33">
        <f>3630</f>
        <v>3630</v>
      </c>
      <c r="U244" s="33" t="str">
        <f t="shared" si="6"/>
        <v>－</v>
      </c>
      <c r="V244" s="33">
        <f>7991480</f>
        <v>7991480</v>
      </c>
      <c r="W244" s="33" t="str">
        <f t="shared" si="7"/>
        <v>－</v>
      </c>
      <c r="X244" s="35">
        <f>17</f>
        <v>17</v>
      </c>
    </row>
    <row r="245" spans="1:24">
      <c r="A245" s="29" t="s">
        <v>42</v>
      </c>
      <c r="B245" s="29" t="s">
        <v>722</v>
      </c>
      <c r="C245" s="29" t="s">
        <v>723</v>
      </c>
      <c r="D245" s="29" t="s">
        <v>724</v>
      </c>
      <c r="E245" s="30" t="s">
        <v>46</v>
      </c>
      <c r="F245" s="31" t="s">
        <v>46</v>
      </c>
      <c r="G245" s="32" t="s">
        <v>46</v>
      </c>
      <c r="H245" s="27"/>
      <c r="I245" s="27" t="s">
        <v>47</v>
      </c>
      <c r="J245" s="33">
        <v>10</v>
      </c>
      <c r="K245" s="37">
        <f>2187</f>
        <v>2187</v>
      </c>
      <c r="L245" s="34" t="s">
        <v>48</v>
      </c>
      <c r="M245" s="37">
        <f>2241</f>
        <v>2241</v>
      </c>
      <c r="N245" s="34" t="s">
        <v>51</v>
      </c>
      <c r="O245" s="37">
        <f>2129</f>
        <v>2129</v>
      </c>
      <c r="P245" s="34" t="s">
        <v>119</v>
      </c>
      <c r="Q245" s="37">
        <f>2241</f>
        <v>2241</v>
      </c>
      <c r="R245" s="34" t="s">
        <v>51</v>
      </c>
      <c r="S245" s="36">
        <f>2172.08</f>
        <v>2172.08</v>
      </c>
      <c r="T245" s="33">
        <f>870</f>
        <v>870</v>
      </c>
      <c r="U245" s="33" t="str">
        <f t="shared" si="6"/>
        <v>－</v>
      </c>
      <c r="V245" s="33">
        <f>1882880</f>
        <v>1882880</v>
      </c>
      <c r="W245" s="33" t="str">
        <f t="shared" si="7"/>
        <v>－</v>
      </c>
      <c r="X245" s="35">
        <f>12</f>
        <v>12</v>
      </c>
    </row>
    <row r="246" spans="1:24">
      <c r="A246" s="29" t="s">
        <v>42</v>
      </c>
      <c r="B246" s="29" t="s">
        <v>725</v>
      </c>
      <c r="C246" s="29" t="s">
        <v>726</v>
      </c>
      <c r="D246" s="29" t="s">
        <v>727</v>
      </c>
      <c r="E246" s="30" t="s">
        <v>46</v>
      </c>
      <c r="F246" s="31" t="s">
        <v>46</v>
      </c>
      <c r="G246" s="32" t="s">
        <v>46</v>
      </c>
      <c r="H246" s="27"/>
      <c r="I246" s="27" t="s">
        <v>47</v>
      </c>
      <c r="J246" s="33">
        <v>10</v>
      </c>
      <c r="K246" s="37">
        <f>1698</f>
        <v>1698</v>
      </c>
      <c r="L246" s="34" t="s">
        <v>48</v>
      </c>
      <c r="M246" s="37">
        <f>1731</f>
        <v>1731</v>
      </c>
      <c r="N246" s="34" t="s">
        <v>175</v>
      </c>
      <c r="O246" s="37">
        <f>1690</f>
        <v>1690</v>
      </c>
      <c r="P246" s="34" t="s">
        <v>65</v>
      </c>
      <c r="Q246" s="37">
        <f>1697</f>
        <v>1697</v>
      </c>
      <c r="R246" s="34" t="s">
        <v>91</v>
      </c>
      <c r="S246" s="36">
        <f>1710.5</f>
        <v>1710.5</v>
      </c>
      <c r="T246" s="33">
        <f>250410</f>
        <v>250410</v>
      </c>
      <c r="U246" s="33" t="str">
        <f t="shared" si="6"/>
        <v>－</v>
      </c>
      <c r="V246" s="33">
        <f>431145110</f>
        <v>431145110</v>
      </c>
      <c r="W246" s="33" t="str">
        <f t="shared" si="7"/>
        <v>－</v>
      </c>
      <c r="X246" s="35">
        <f>6</f>
        <v>6</v>
      </c>
    </row>
    <row r="247" spans="1:24">
      <c r="A247" s="29" t="s">
        <v>42</v>
      </c>
      <c r="B247" s="29" t="s">
        <v>728</v>
      </c>
      <c r="C247" s="29" t="s">
        <v>729</v>
      </c>
      <c r="D247" s="29" t="s">
        <v>730</v>
      </c>
      <c r="E247" s="30" t="s">
        <v>731</v>
      </c>
      <c r="F247" s="31" t="s">
        <v>732</v>
      </c>
      <c r="G247" s="32" t="s">
        <v>733</v>
      </c>
      <c r="H247" s="27"/>
      <c r="I247" s="27" t="s">
        <v>47</v>
      </c>
      <c r="J247" s="33">
        <v>1</v>
      </c>
      <c r="K247" s="37">
        <f>10180</f>
        <v>10180</v>
      </c>
      <c r="L247" s="34" t="s">
        <v>119</v>
      </c>
      <c r="M247" s="37">
        <f>10530</f>
        <v>10530</v>
      </c>
      <c r="N247" s="34" t="s">
        <v>49</v>
      </c>
      <c r="O247" s="37">
        <f>10130</f>
        <v>10130</v>
      </c>
      <c r="P247" s="34" t="s">
        <v>95</v>
      </c>
      <c r="Q247" s="37">
        <f>10280</f>
        <v>10280</v>
      </c>
      <c r="R247" s="34" t="s">
        <v>51</v>
      </c>
      <c r="S247" s="36">
        <f>10339.38</f>
        <v>10339.379999999999</v>
      </c>
      <c r="T247" s="33">
        <f>50896</f>
        <v>50896</v>
      </c>
      <c r="U247" s="33" t="str">
        <f t="shared" si="6"/>
        <v>－</v>
      </c>
      <c r="V247" s="33">
        <f>525420310</f>
        <v>525420310</v>
      </c>
      <c r="W247" s="33" t="str">
        <f t="shared" si="7"/>
        <v>－</v>
      </c>
      <c r="X247" s="35">
        <f>16</f>
        <v>16</v>
      </c>
    </row>
    <row r="248" spans="1:24">
      <c r="A248" s="29" t="s">
        <v>42</v>
      </c>
      <c r="B248" s="29" t="s">
        <v>734</v>
      </c>
      <c r="C248" s="29" t="s">
        <v>735</v>
      </c>
      <c r="D248" s="29" t="s">
        <v>736</v>
      </c>
      <c r="E248" s="30" t="s">
        <v>731</v>
      </c>
      <c r="F248" s="31" t="s">
        <v>732</v>
      </c>
      <c r="G248" s="32" t="s">
        <v>733</v>
      </c>
      <c r="H248" s="27"/>
      <c r="I248" s="27" t="s">
        <v>47</v>
      </c>
      <c r="J248" s="33">
        <v>1</v>
      </c>
      <c r="K248" s="37">
        <f>10200</f>
        <v>10200</v>
      </c>
      <c r="L248" s="34" t="s">
        <v>119</v>
      </c>
      <c r="M248" s="37">
        <f>10500</f>
        <v>10500</v>
      </c>
      <c r="N248" s="34" t="s">
        <v>150</v>
      </c>
      <c r="O248" s="37">
        <f>10030</f>
        <v>10030</v>
      </c>
      <c r="P248" s="34" t="s">
        <v>95</v>
      </c>
      <c r="Q248" s="37">
        <f>10180</f>
        <v>10180</v>
      </c>
      <c r="R248" s="34" t="s">
        <v>51</v>
      </c>
      <c r="S248" s="36">
        <f>10302.5</f>
        <v>10302.5</v>
      </c>
      <c r="T248" s="33">
        <f>30090</f>
        <v>30090</v>
      </c>
      <c r="U248" s="33" t="str">
        <f t="shared" si="6"/>
        <v>－</v>
      </c>
      <c r="V248" s="33">
        <f>309895850</f>
        <v>309895850</v>
      </c>
      <c r="W248" s="33" t="str">
        <f t="shared" si="7"/>
        <v>－</v>
      </c>
      <c r="X248" s="35">
        <f>16</f>
        <v>16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27655-1D75-4EDD-98BE-42CAE2E7B730}">
  <sheetPr>
    <pageSetUpPr fitToPage="1"/>
  </sheetPr>
  <dimension ref="A1:X265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RowHeight="13.5"/>
  <cols>
    <col min="1" max="1" width="13.125" style="1" bestFit="1" customWidth="1"/>
    <col min="2" max="2" width="10.75" style="1" bestFit="1" customWidth="1"/>
    <col min="3" max="4" width="27.625" style="1" customWidth="1"/>
    <col min="5" max="5" width="13.75" style="1" bestFit="1" customWidth="1"/>
    <col min="6" max="6" width="20.75" style="1" bestFit="1" customWidth="1"/>
    <col min="7" max="7" width="11.25" style="1" customWidth="1"/>
    <col min="8" max="8" width="8.75" style="1" bestFit="1" customWidth="1"/>
    <col min="9" max="9" width="11.75" style="1" bestFit="1" customWidth="1"/>
    <col min="10" max="10" width="12.625" style="1" bestFit="1" customWidth="1"/>
    <col min="11" max="11" width="16.25" style="1" customWidth="1"/>
    <col min="12" max="12" width="5.625" style="1" bestFit="1" customWidth="1"/>
    <col min="13" max="13" width="16.25" style="1" customWidth="1"/>
    <col min="14" max="14" width="5.625" style="1" bestFit="1" customWidth="1"/>
    <col min="15" max="15" width="16.25" style="1" customWidth="1"/>
    <col min="16" max="16" width="5.625" style="1" bestFit="1" customWidth="1"/>
    <col min="17" max="17" width="16.25" style="1" customWidth="1"/>
    <col min="18" max="18" width="5.625" style="1" bestFit="1" customWidth="1"/>
    <col min="19" max="19" width="23.875" style="1" bestFit="1" customWidth="1"/>
    <col min="20" max="20" width="16.25" style="1" customWidth="1"/>
    <col min="21" max="21" width="24.125" style="1" customWidth="1"/>
    <col min="22" max="22" width="19.875" style="1" bestFit="1" customWidth="1"/>
    <col min="23" max="23" width="25" style="1" bestFit="1" customWidth="1"/>
    <col min="24" max="24" width="13.12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916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1673</f>
        <v>1673</v>
      </c>
      <c r="L7" s="67" t="s">
        <v>833</v>
      </c>
      <c r="M7" s="66">
        <f>1884</f>
        <v>1884</v>
      </c>
      <c r="N7" s="67" t="s">
        <v>91</v>
      </c>
      <c r="O7" s="66">
        <f>1672</f>
        <v>1672</v>
      </c>
      <c r="P7" s="67" t="s">
        <v>833</v>
      </c>
      <c r="Q7" s="66">
        <f>1841</f>
        <v>1841</v>
      </c>
      <c r="R7" s="67" t="s">
        <v>50</v>
      </c>
      <c r="S7" s="68">
        <f>1800.89</f>
        <v>1800.89</v>
      </c>
      <c r="T7" s="65">
        <f>15040990</f>
        <v>15040990</v>
      </c>
      <c r="U7" s="65">
        <f>6842360</f>
        <v>6842360</v>
      </c>
      <c r="V7" s="65">
        <f>26750376711</f>
        <v>26750376711</v>
      </c>
      <c r="W7" s="65">
        <f>11916407571</f>
        <v>11916407571</v>
      </c>
      <c r="X7" s="69">
        <f>19</f>
        <v>19</v>
      </c>
    </row>
    <row r="8" spans="1:24">
      <c r="A8" s="60" t="s">
        <v>916</v>
      </c>
      <c r="B8" s="60" t="s">
        <v>52</v>
      </c>
      <c r="C8" s="60" t="s">
        <v>873</v>
      </c>
      <c r="D8" s="60" t="s">
        <v>874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1652</f>
        <v>1652</v>
      </c>
      <c r="L8" s="67" t="s">
        <v>833</v>
      </c>
      <c r="M8" s="66">
        <f>1863</f>
        <v>1863</v>
      </c>
      <c r="N8" s="67" t="s">
        <v>91</v>
      </c>
      <c r="O8" s="66">
        <f>1652</f>
        <v>1652</v>
      </c>
      <c r="P8" s="67" t="s">
        <v>833</v>
      </c>
      <c r="Q8" s="66">
        <f>1818</f>
        <v>1818</v>
      </c>
      <c r="R8" s="67" t="s">
        <v>50</v>
      </c>
      <c r="S8" s="68">
        <f>1779.05</f>
        <v>1779.05</v>
      </c>
      <c r="T8" s="65">
        <f>64623720</f>
        <v>64623720</v>
      </c>
      <c r="U8" s="65">
        <f>16037280</f>
        <v>16037280</v>
      </c>
      <c r="V8" s="65">
        <f>116167580193</f>
        <v>116167580193</v>
      </c>
      <c r="W8" s="65">
        <f>29571248553</f>
        <v>29571248553</v>
      </c>
      <c r="X8" s="69">
        <f>19</f>
        <v>19</v>
      </c>
    </row>
    <row r="9" spans="1:24">
      <c r="A9" s="60" t="s">
        <v>916</v>
      </c>
      <c r="B9" s="60" t="s">
        <v>55</v>
      </c>
      <c r="C9" s="60" t="s">
        <v>56</v>
      </c>
      <c r="D9" s="60" t="s">
        <v>57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1636</f>
        <v>1636</v>
      </c>
      <c r="L9" s="67" t="s">
        <v>833</v>
      </c>
      <c r="M9" s="66">
        <f>1845</f>
        <v>1845</v>
      </c>
      <c r="N9" s="67" t="s">
        <v>91</v>
      </c>
      <c r="O9" s="66">
        <f>1636</f>
        <v>1636</v>
      </c>
      <c r="P9" s="67" t="s">
        <v>833</v>
      </c>
      <c r="Q9" s="66">
        <f>1801</f>
        <v>1801</v>
      </c>
      <c r="R9" s="67" t="s">
        <v>50</v>
      </c>
      <c r="S9" s="68">
        <f>1761.63</f>
        <v>1761.63</v>
      </c>
      <c r="T9" s="65">
        <f>28424100</f>
        <v>28424100</v>
      </c>
      <c r="U9" s="65">
        <f>16657400</f>
        <v>16657400</v>
      </c>
      <c r="V9" s="65">
        <f>50102969650</f>
        <v>50102969650</v>
      </c>
      <c r="W9" s="65">
        <f>29251802450</f>
        <v>29251802450</v>
      </c>
      <c r="X9" s="69">
        <f>19</f>
        <v>19</v>
      </c>
    </row>
    <row r="10" spans="1:24">
      <c r="A10" s="60" t="s">
        <v>916</v>
      </c>
      <c r="B10" s="60" t="s">
        <v>58</v>
      </c>
      <c r="C10" s="60" t="s">
        <v>59</v>
      </c>
      <c r="D10" s="60" t="s">
        <v>60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38350</f>
        <v>38350</v>
      </c>
      <c r="L10" s="67" t="s">
        <v>833</v>
      </c>
      <c r="M10" s="66">
        <f>42450</f>
        <v>42450</v>
      </c>
      <c r="N10" s="67" t="s">
        <v>50</v>
      </c>
      <c r="O10" s="66">
        <f>38350</f>
        <v>38350</v>
      </c>
      <c r="P10" s="67" t="s">
        <v>833</v>
      </c>
      <c r="Q10" s="66">
        <f>41550</f>
        <v>41550</v>
      </c>
      <c r="R10" s="67" t="s">
        <v>50</v>
      </c>
      <c r="S10" s="68">
        <f>40502.63</f>
        <v>40502.629999999997</v>
      </c>
      <c r="T10" s="65">
        <f>11214</f>
        <v>11214</v>
      </c>
      <c r="U10" s="65" t="str">
        <f>"－"</f>
        <v>－</v>
      </c>
      <c r="V10" s="65">
        <f>456657300</f>
        <v>456657300</v>
      </c>
      <c r="W10" s="65" t="str">
        <f>"－"</f>
        <v>－</v>
      </c>
      <c r="X10" s="69">
        <f>19</f>
        <v>19</v>
      </c>
    </row>
    <row r="11" spans="1:24">
      <c r="A11" s="60" t="s">
        <v>916</v>
      </c>
      <c r="B11" s="60" t="s">
        <v>62</v>
      </c>
      <c r="C11" s="60" t="s">
        <v>875</v>
      </c>
      <c r="D11" s="60" t="s">
        <v>876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725</f>
        <v>725</v>
      </c>
      <c r="L11" s="67" t="s">
        <v>833</v>
      </c>
      <c r="M11" s="66">
        <f>818</f>
        <v>818</v>
      </c>
      <c r="N11" s="67" t="s">
        <v>50</v>
      </c>
      <c r="O11" s="66">
        <f>725</f>
        <v>725</v>
      </c>
      <c r="P11" s="67" t="s">
        <v>833</v>
      </c>
      <c r="Q11" s="66">
        <f>797</f>
        <v>797</v>
      </c>
      <c r="R11" s="67" t="s">
        <v>50</v>
      </c>
      <c r="S11" s="68">
        <f>780.68</f>
        <v>780.68</v>
      </c>
      <c r="T11" s="65">
        <f>214580</f>
        <v>214580</v>
      </c>
      <c r="U11" s="65" t="str">
        <f>"－"</f>
        <v>－</v>
      </c>
      <c r="V11" s="65">
        <f>166418610</f>
        <v>166418610</v>
      </c>
      <c r="W11" s="65" t="str">
        <f>"－"</f>
        <v>－</v>
      </c>
      <c r="X11" s="69">
        <f>19</f>
        <v>19</v>
      </c>
    </row>
    <row r="12" spans="1:24">
      <c r="A12" s="60" t="s">
        <v>916</v>
      </c>
      <c r="B12" s="60" t="s">
        <v>66</v>
      </c>
      <c r="C12" s="60" t="s">
        <v>877</v>
      </c>
      <c r="D12" s="60" t="s">
        <v>878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18730</f>
        <v>18730</v>
      </c>
      <c r="L12" s="67" t="s">
        <v>833</v>
      </c>
      <c r="M12" s="66">
        <f>20230</f>
        <v>20230</v>
      </c>
      <c r="N12" s="67" t="s">
        <v>816</v>
      </c>
      <c r="O12" s="66">
        <f>18730</f>
        <v>18730</v>
      </c>
      <c r="P12" s="67" t="s">
        <v>833</v>
      </c>
      <c r="Q12" s="66">
        <f>19710</f>
        <v>19710</v>
      </c>
      <c r="R12" s="67" t="s">
        <v>50</v>
      </c>
      <c r="S12" s="68">
        <f>19634.12</f>
        <v>19634.12</v>
      </c>
      <c r="T12" s="65">
        <f>1280</f>
        <v>1280</v>
      </c>
      <c r="U12" s="65" t="str">
        <f>"－"</f>
        <v>－</v>
      </c>
      <c r="V12" s="65">
        <f>25293680</f>
        <v>25293680</v>
      </c>
      <c r="W12" s="65" t="str">
        <f>"－"</f>
        <v>－</v>
      </c>
      <c r="X12" s="69">
        <f>17</f>
        <v>17</v>
      </c>
    </row>
    <row r="13" spans="1:24">
      <c r="A13" s="60" t="s">
        <v>916</v>
      </c>
      <c r="B13" s="60" t="s">
        <v>69</v>
      </c>
      <c r="C13" s="60" t="s">
        <v>70</v>
      </c>
      <c r="D13" s="60" t="s">
        <v>71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2829</f>
        <v>2829</v>
      </c>
      <c r="L13" s="67" t="s">
        <v>833</v>
      </c>
      <c r="M13" s="66">
        <f>3850</f>
        <v>3850</v>
      </c>
      <c r="N13" s="67" t="s">
        <v>816</v>
      </c>
      <c r="O13" s="66">
        <f>2771</f>
        <v>2771</v>
      </c>
      <c r="P13" s="67" t="s">
        <v>833</v>
      </c>
      <c r="Q13" s="66">
        <f>3275</f>
        <v>3275</v>
      </c>
      <c r="R13" s="67" t="s">
        <v>50</v>
      </c>
      <c r="S13" s="68">
        <f>3122</f>
        <v>3122</v>
      </c>
      <c r="T13" s="65">
        <f>7460</f>
        <v>7460</v>
      </c>
      <c r="U13" s="65" t="str">
        <f>"－"</f>
        <v>－</v>
      </c>
      <c r="V13" s="65">
        <f>24107640</f>
        <v>24107640</v>
      </c>
      <c r="W13" s="65" t="str">
        <f>"－"</f>
        <v>－</v>
      </c>
      <c r="X13" s="69">
        <f>19</f>
        <v>19</v>
      </c>
    </row>
    <row r="14" spans="1:24">
      <c r="A14" s="60" t="s">
        <v>916</v>
      </c>
      <c r="B14" s="60" t="s">
        <v>73</v>
      </c>
      <c r="C14" s="60" t="s">
        <v>879</v>
      </c>
      <c r="D14" s="60" t="s">
        <v>880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311</f>
        <v>311</v>
      </c>
      <c r="L14" s="67" t="s">
        <v>833</v>
      </c>
      <c r="M14" s="66">
        <f>338</f>
        <v>338</v>
      </c>
      <c r="N14" s="67" t="s">
        <v>91</v>
      </c>
      <c r="O14" s="66">
        <f>311</f>
        <v>311</v>
      </c>
      <c r="P14" s="67" t="s">
        <v>833</v>
      </c>
      <c r="Q14" s="66">
        <f>334</f>
        <v>334</v>
      </c>
      <c r="R14" s="67" t="s">
        <v>50</v>
      </c>
      <c r="S14" s="68">
        <f>326.89</f>
        <v>326.89</v>
      </c>
      <c r="T14" s="65">
        <f>160000</f>
        <v>160000</v>
      </c>
      <c r="U14" s="65" t="str">
        <f>"－"</f>
        <v>－</v>
      </c>
      <c r="V14" s="65">
        <f>52672000</f>
        <v>52672000</v>
      </c>
      <c r="W14" s="65" t="str">
        <f>"－"</f>
        <v>－</v>
      </c>
      <c r="X14" s="69">
        <f>18</f>
        <v>18</v>
      </c>
    </row>
    <row r="15" spans="1:24">
      <c r="A15" s="60" t="s">
        <v>916</v>
      </c>
      <c r="B15" s="60" t="s">
        <v>76</v>
      </c>
      <c r="C15" s="60" t="s">
        <v>77</v>
      </c>
      <c r="D15" s="60" t="s">
        <v>78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23730</f>
        <v>23730</v>
      </c>
      <c r="L15" s="67" t="s">
        <v>833</v>
      </c>
      <c r="M15" s="66">
        <f>27610</f>
        <v>27610</v>
      </c>
      <c r="N15" s="67" t="s">
        <v>50</v>
      </c>
      <c r="O15" s="66">
        <f>23730</f>
        <v>23730</v>
      </c>
      <c r="P15" s="67" t="s">
        <v>833</v>
      </c>
      <c r="Q15" s="66">
        <f>27170</f>
        <v>27170</v>
      </c>
      <c r="R15" s="67" t="s">
        <v>50</v>
      </c>
      <c r="S15" s="68">
        <f>26092.11</f>
        <v>26092.11</v>
      </c>
      <c r="T15" s="65">
        <f>1741935</f>
        <v>1741935</v>
      </c>
      <c r="U15" s="65">
        <f>403313</f>
        <v>403313</v>
      </c>
      <c r="V15" s="65">
        <f>45116149250</f>
        <v>45116149250</v>
      </c>
      <c r="W15" s="65">
        <f>10324835250</f>
        <v>10324835250</v>
      </c>
      <c r="X15" s="69">
        <f>19</f>
        <v>19</v>
      </c>
    </row>
    <row r="16" spans="1:24">
      <c r="A16" s="60" t="s">
        <v>916</v>
      </c>
      <c r="B16" s="60" t="s">
        <v>80</v>
      </c>
      <c r="C16" s="60" t="s">
        <v>881</v>
      </c>
      <c r="D16" s="60" t="s">
        <v>882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23790</f>
        <v>23790</v>
      </c>
      <c r="L16" s="67" t="s">
        <v>833</v>
      </c>
      <c r="M16" s="66">
        <f>27680</f>
        <v>27680</v>
      </c>
      <c r="N16" s="67" t="s">
        <v>50</v>
      </c>
      <c r="O16" s="66">
        <f>23790</f>
        <v>23790</v>
      </c>
      <c r="P16" s="67" t="s">
        <v>833</v>
      </c>
      <c r="Q16" s="66">
        <f>27230</f>
        <v>27230</v>
      </c>
      <c r="R16" s="67" t="s">
        <v>50</v>
      </c>
      <c r="S16" s="68">
        <f>26151.58</f>
        <v>26151.58</v>
      </c>
      <c r="T16" s="65">
        <f>6128670</f>
        <v>6128670</v>
      </c>
      <c r="U16" s="65">
        <f>263504</f>
        <v>263504</v>
      </c>
      <c r="V16" s="65">
        <f>158865120677</f>
        <v>158865120677</v>
      </c>
      <c r="W16" s="65">
        <f>6798412577</f>
        <v>6798412577</v>
      </c>
      <c r="X16" s="69">
        <f>19</f>
        <v>19</v>
      </c>
    </row>
    <row r="17" spans="1:24">
      <c r="A17" s="60" t="s">
        <v>916</v>
      </c>
      <c r="B17" s="60" t="s">
        <v>83</v>
      </c>
      <c r="C17" s="60" t="s">
        <v>84</v>
      </c>
      <c r="D17" s="60" t="s">
        <v>85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7190</f>
        <v>7190</v>
      </c>
      <c r="L17" s="67" t="s">
        <v>833</v>
      </c>
      <c r="M17" s="66">
        <f>7790</f>
        <v>7790</v>
      </c>
      <c r="N17" s="67" t="s">
        <v>822</v>
      </c>
      <c r="O17" s="66">
        <f>7110</f>
        <v>7110</v>
      </c>
      <c r="P17" s="67" t="s">
        <v>833</v>
      </c>
      <c r="Q17" s="66">
        <f>7690</f>
        <v>7690</v>
      </c>
      <c r="R17" s="67" t="s">
        <v>50</v>
      </c>
      <c r="S17" s="68">
        <f>7562.11</f>
        <v>7562.11</v>
      </c>
      <c r="T17" s="65">
        <f>21410</f>
        <v>21410</v>
      </c>
      <c r="U17" s="65">
        <f>10</f>
        <v>10</v>
      </c>
      <c r="V17" s="65">
        <f>162213900</f>
        <v>162213900</v>
      </c>
      <c r="W17" s="65">
        <f>76500</f>
        <v>76500</v>
      </c>
      <c r="X17" s="69">
        <f>19</f>
        <v>19</v>
      </c>
    </row>
    <row r="18" spans="1:24">
      <c r="A18" s="60" t="s">
        <v>916</v>
      </c>
      <c r="B18" s="60" t="s">
        <v>87</v>
      </c>
      <c r="C18" s="60" t="s">
        <v>88</v>
      </c>
      <c r="D18" s="60" t="s">
        <v>89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306</f>
        <v>306</v>
      </c>
      <c r="L18" s="67" t="s">
        <v>833</v>
      </c>
      <c r="M18" s="66">
        <f>358</f>
        <v>358</v>
      </c>
      <c r="N18" s="67" t="s">
        <v>175</v>
      </c>
      <c r="O18" s="66">
        <f>305</f>
        <v>305</v>
      </c>
      <c r="P18" s="67" t="s">
        <v>833</v>
      </c>
      <c r="Q18" s="66">
        <f>347</f>
        <v>347</v>
      </c>
      <c r="R18" s="67" t="s">
        <v>50</v>
      </c>
      <c r="S18" s="68">
        <f>335.89</f>
        <v>335.89</v>
      </c>
      <c r="T18" s="65">
        <f>72100</f>
        <v>72100</v>
      </c>
      <c r="U18" s="65">
        <f>100</f>
        <v>100</v>
      </c>
      <c r="V18" s="65">
        <f>24508700</f>
        <v>24508700</v>
      </c>
      <c r="W18" s="65">
        <f>35300</f>
        <v>35300</v>
      </c>
      <c r="X18" s="69">
        <f>19</f>
        <v>19</v>
      </c>
    </row>
    <row r="19" spans="1:24">
      <c r="A19" s="60" t="s">
        <v>916</v>
      </c>
      <c r="B19" s="60" t="s">
        <v>92</v>
      </c>
      <c r="C19" s="60" t="s">
        <v>93</v>
      </c>
      <c r="D19" s="60" t="s">
        <v>94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127</f>
        <v>127</v>
      </c>
      <c r="L19" s="67" t="s">
        <v>833</v>
      </c>
      <c r="M19" s="66">
        <f>135</f>
        <v>135</v>
      </c>
      <c r="N19" s="67" t="s">
        <v>821</v>
      </c>
      <c r="O19" s="66">
        <f>126</f>
        <v>126</v>
      </c>
      <c r="P19" s="67" t="s">
        <v>833</v>
      </c>
      <c r="Q19" s="66">
        <f>132</f>
        <v>132</v>
      </c>
      <c r="R19" s="67" t="s">
        <v>50</v>
      </c>
      <c r="S19" s="68">
        <f>130</f>
        <v>130</v>
      </c>
      <c r="T19" s="65">
        <f>349800</f>
        <v>349800</v>
      </c>
      <c r="U19" s="65">
        <f>100</f>
        <v>100</v>
      </c>
      <c r="V19" s="65">
        <f>45633300</f>
        <v>45633300</v>
      </c>
      <c r="W19" s="65">
        <f>13000</f>
        <v>13000</v>
      </c>
      <c r="X19" s="69">
        <f>19</f>
        <v>19</v>
      </c>
    </row>
    <row r="20" spans="1:24">
      <c r="A20" s="60" t="s">
        <v>916</v>
      </c>
      <c r="B20" s="60" t="s">
        <v>96</v>
      </c>
      <c r="C20" s="60" t="s">
        <v>97</v>
      </c>
      <c r="D20" s="60" t="s">
        <v>98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142</f>
        <v>142</v>
      </c>
      <c r="L20" s="67" t="s">
        <v>833</v>
      </c>
      <c r="M20" s="66">
        <f>159</f>
        <v>159</v>
      </c>
      <c r="N20" s="67" t="s">
        <v>91</v>
      </c>
      <c r="O20" s="66">
        <f>141</f>
        <v>141</v>
      </c>
      <c r="P20" s="67" t="s">
        <v>833</v>
      </c>
      <c r="Q20" s="66">
        <f>154</f>
        <v>154</v>
      </c>
      <c r="R20" s="67" t="s">
        <v>50</v>
      </c>
      <c r="S20" s="68">
        <f>151.89</f>
        <v>151.88999999999999</v>
      </c>
      <c r="T20" s="65">
        <f>533500</f>
        <v>533500</v>
      </c>
      <c r="U20" s="65">
        <f>100</f>
        <v>100</v>
      </c>
      <c r="V20" s="65">
        <f>81832300</f>
        <v>81832300</v>
      </c>
      <c r="W20" s="65">
        <f>15800</f>
        <v>15800</v>
      </c>
      <c r="X20" s="69">
        <f>19</f>
        <v>19</v>
      </c>
    </row>
    <row r="21" spans="1:24">
      <c r="A21" s="60" t="s">
        <v>916</v>
      </c>
      <c r="B21" s="60" t="s">
        <v>101</v>
      </c>
      <c r="C21" s="60" t="s">
        <v>102</v>
      </c>
      <c r="D21" s="60" t="s">
        <v>103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18410</f>
        <v>18410</v>
      </c>
      <c r="L21" s="67" t="s">
        <v>833</v>
      </c>
      <c r="M21" s="66">
        <f>19090</f>
        <v>19090</v>
      </c>
      <c r="N21" s="67" t="s">
        <v>119</v>
      </c>
      <c r="O21" s="66">
        <f>17200</f>
        <v>17200</v>
      </c>
      <c r="P21" s="67" t="s">
        <v>50</v>
      </c>
      <c r="Q21" s="66">
        <f>17260</f>
        <v>17260</v>
      </c>
      <c r="R21" s="67" t="s">
        <v>50</v>
      </c>
      <c r="S21" s="68">
        <f>18313.68</f>
        <v>18313.68</v>
      </c>
      <c r="T21" s="65">
        <f>342710</f>
        <v>342710</v>
      </c>
      <c r="U21" s="65" t="str">
        <f>"－"</f>
        <v>－</v>
      </c>
      <c r="V21" s="65">
        <f>6263141780</f>
        <v>6263141780</v>
      </c>
      <c r="W21" s="65" t="str">
        <f>"－"</f>
        <v>－</v>
      </c>
      <c r="X21" s="69">
        <f>19</f>
        <v>19</v>
      </c>
    </row>
    <row r="22" spans="1:24">
      <c r="A22" s="60" t="s">
        <v>916</v>
      </c>
      <c r="B22" s="60" t="s">
        <v>104</v>
      </c>
      <c r="C22" s="60" t="s">
        <v>105</v>
      </c>
      <c r="D22" s="60" t="s">
        <v>106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2629</f>
        <v>2629</v>
      </c>
      <c r="L22" s="67" t="s">
        <v>833</v>
      </c>
      <c r="M22" s="66">
        <f>2800</f>
        <v>2800</v>
      </c>
      <c r="N22" s="67" t="s">
        <v>50</v>
      </c>
      <c r="O22" s="66">
        <f>2563</f>
        <v>2563</v>
      </c>
      <c r="P22" s="67" t="s">
        <v>833</v>
      </c>
      <c r="Q22" s="66">
        <f>2715</f>
        <v>2715</v>
      </c>
      <c r="R22" s="67" t="s">
        <v>50</v>
      </c>
      <c r="S22" s="68">
        <f>2648.74</f>
        <v>2648.74</v>
      </c>
      <c r="T22" s="65">
        <f>4303</f>
        <v>4303</v>
      </c>
      <c r="U22" s="65">
        <f>1</f>
        <v>1</v>
      </c>
      <c r="V22" s="65">
        <f>11600632</f>
        <v>11600632</v>
      </c>
      <c r="W22" s="65">
        <f>2700</f>
        <v>2700</v>
      </c>
      <c r="X22" s="69">
        <f>19</f>
        <v>19</v>
      </c>
    </row>
    <row r="23" spans="1:24">
      <c r="A23" s="60" t="s">
        <v>916</v>
      </c>
      <c r="B23" s="60" t="s">
        <v>107</v>
      </c>
      <c r="C23" s="60" t="s">
        <v>883</v>
      </c>
      <c r="D23" s="60" t="s">
        <v>884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5030</f>
        <v>5030</v>
      </c>
      <c r="L23" s="67" t="s">
        <v>833</v>
      </c>
      <c r="M23" s="66">
        <f>5220</f>
        <v>5220</v>
      </c>
      <c r="N23" s="67" t="s">
        <v>119</v>
      </c>
      <c r="O23" s="66">
        <f>4695</f>
        <v>4695</v>
      </c>
      <c r="P23" s="67" t="s">
        <v>50</v>
      </c>
      <c r="Q23" s="66">
        <f>4710</f>
        <v>4710</v>
      </c>
      <c r="R23" s="67" t="s">
        <v>50</v>
      </c>
      <c r="S23" s="68">
        <f>5004.21</f>
        <v>5004.21</v>
      </c>
      <c r="T23" s="65">
        <f>278600</f>
        <v>278600</v>
      </c>
      <c r="U23" s="65" t="str">
        <f>"－"</f>
        <v>－</v>
      </c>
      <c r="V23" s="65">
        <f>1386360550</f>
        <v>1386360550</v>
      </c>
      <c r="W23" s="65" t="str">
        <f>"－"</f>
        <v>－</v>
      </c>
      <c r="X23" s="69">
        <f>19</f>
        <v>19</v>
      </c>
    </row>
    <row r="24" spans="1:24">
      <c r="A24" s="60" t="s">
        <v>916</v>
      </c>
      <c r="B24" s="60" t="s">
        <v>110</v>
      </c>
      <c r="C24" s="60" t="s">
        <v>111</v>
      </c>
      <c r="D24" s="60" t="s">
        <v>112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23900</f>
        <v>23900</v>
      </c>
      <c r="L24" s="67" t="s">
        <v>833</v>
      </c>
      <c r="M24" s="66">
        <f>27780</f>
        <v>27780</v>
      </c>
      <c r="N24" s="67" t="s">
        <v>50</v>
      </c>
      <c r="O24" s="66">
        <f>23890</f>
        <v>23890</v>
      </c>
      <c r="P24" s="67" t="s">
        <v>833</v>
      </c>
      <c r="Q24" s="66">
        <f>27370</f>
        <v>27370</v>
      </c>
      <c r="R24" s="67" t="s">
        <v>50</v>
      </c>
      <c r="S24" s="68">
        <f>26257.89</f>
        <v>26257.89</v>
      </c>
      <c r="T24" s="65">
        <f>920074</f>
        <v>920074</v>
      </c>
      <c r="U24" s="65">
        <f>498199</f>
        <v>498199</v>
      </c>
      <c r="V24" s="65">
        <f>24173912294</f>
        <v>24173912294</v>
      </c>
      <c r="W24" s="65">
        <f>13107859944</f>
        <v>13107859944</v>
      </c>
      <c r="X24" s="69">
        <f>19</f>
        <v>19</v>
      </c>
    </row>
    <row r="25" spans="1:24">
      <c r="A25" s="60" t="s">
        <v>916</v>
      </c>
      <c r="B25" s="60" t="s">
        <v>113</v>
      </c>
      <c r="C25" s="60" t="s">
        <v>114</v>
      </c>
      <c r="D25" s="60" t="s">
        <v>115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23850</f>
        <v>23850</v>
      </c>
      <c r="L25" s="67" t="s">
        <v>833</v>
      </c>
      <c r="M25" s="66">
        <f>27720</f>
        <v>27720</v>
      </c>
      <c r="N25" s="67" t="s">
        <v>50</v>
      </c>
      <c r="O25" s="66">
        <f>23850</f>
        <v>23850</v>
      </c>
      <c r="P25" s="67" t="s">
        <v>833</v>
      </c>
      <c r="Q25" s="66">
        <f>27300</f>
        <v>27300</v>
      </c>
      <c r="R25" s="67" t="s">
        <v>50</v>
      </c>
      <c r="S25" s="68">
        <f>26201.05</f>
        <v>26201.05</v>
      </c>
      <c r="T25" s="65">
        <f>2442310</f>
        <v>2442310</v>
      </c>
      <c r="U25" s="65">
        <f>1165190</f>
        <v>1165190</v>
      </c>
      <c r="V25" s="65">
        <f>63375157802</f>
        <v>63375157802</v>
      </c>
      <c r="W25" s="65">
        <f>30039626002</f>
        <v>30039626002</v>
      </c>
      <c r="X25" s="69">
        <f>19</f>
        <v>19</v>
      </c>
    </row>
    <row r="26" spans="1:24">
      <c r="A26" s="60" t="s">
        <v>916</v>
      </c>
      <c r="B26" s="60" t="s">
        <v>116</v>
      </c>
      <c r="C26" s="60" t="s">
        <v>117</v>
      </c>
      <c r="D26" s="60" t="s">
        <v>118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1751</f>
        <v>1751</v>
      </c>
      <c r="L26" s="67" t="s">
        <v>833</v>
      </c>
      <c r="M26" s="66">
        <f>1855</f>
        <v>1855</v>
      </c>
      <c r="N26" s="67" t="s">
        <v>834</v>
      </c>
      <c r="O26" s="66">
        <f>1748</f>
        <v>1748</v>
      </c>
      <c r="P26" s="67" t="s">
        <v>833</v>
      </c>
      <c r="Q26" s="66">
        <f>1803</f>
        <v>1803</v>
      </c>
      <c r="R26" s="67" t="s">
        <v>50</v>
      </c>
      <c r="S26" s="68">
        <f>1806.32</f>
        <v>1806.32</v>
      </c>
      <c r="T26" s="65">
        <f>7191040</f>
        <v>7191040</v>
      </c>
      <c r="U26" s="65">
        <f>403760</f>
        <v>403760</v>
      </c>
      <c r="V26" s="65">
        <f>12941003572</f>
        <v>12941003572</v>
      </c>
      <c r="W26" s="65">
        <f>729259482</f>
        <v>729259482</v>
      </c>
      <c r="X26" s="69">
        <f>19</f>
        <v>19</v>
      </c>
    </row>
    <row r="27" spans="1:24">
      <c r="A27" s="60" t="s">
        <v>916</v>
      </c>
      <c r="B27" s="60" t="s">
        <v>120</v>
      </c>
      <c r="C27" s="60" t="s">
        <v>121</v>
      </c>
      <c r="D27" s="60" t="s">
        <v>122</v>
      </c>
      <c r="E27" s="61" t="s">
        <v>46</v>
      </c>
      <c r="F27" s="62" t="s">
        <v>46</v>
      </c>
      <c r="G27" s="63" t="s">
        <v>46</v>
      </c>
      <c r="H27" s="64"/>
      <c r="I27" s="64" t="s">
        <v>47</v>
      </c>
      <c r="J27" s="65">
        <v>10</v>
      </c>
      <c r="K27" s="66">
        <f>708</f>
        <v>708</v>
      </c>
      <c r="L27" s="67" t="s">
        <v>833</v>
      </c>
      <c r="M27" s="66">
        <f>794</f>
        <v>794</v>
      </c>
      <c r="N27" s="67" t="s">
        <v>50</v>
      </c>
      <c r="O27" s="66">
        <f>707</f>
        <v>707</v>
      </c>
      <c r="P27" s="67" t="s">
        <v>833</v>
      </c>
      <c r="Q27" s="66">
        <f>775</f>
        <v>775</v>
      </c>
      <c r="R27" s="67" t="s">
        <v>50</v>
      </c>
      <c r="S27" s="68">
        <f>758.32</f>
        <v>758.32</v>
      </c>
      <c r="T27" s="65">
        <f>35910</f>
        <v>35910</v>
      </c>
      <c r="U27" s="65" t="str">
        <f>"－"</f>
        <v>－</v>
      </c>
      <c r="V27" s="65">
        <f>27563850</f>
        <v>27563850</v>
      </c>
      <c r="W27" s="65" t="str">
        <f>"－"</f>
        <v>－</v>
      </c>
      <c r="X27" s="69">
        <f>19</f>
        <v>19</v>
      </c>
    </row>
    <row r="28" spans="1:24">
      <c r="A28" s="60" t="s">
        <v>916</v>
      </c>
      <c r="B28" s="60" t="s">
        <v>123</v>
      </c>
      <c r="C28" s="60" t="s">
        <v>124</v>
      </c>
      <c r="D28" s="60" t="s">
        <v>125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1653</f>
        <v>1653</v>
      </c>
      <c r="L28" s="67" t="s">
        <v>833</v>
      </c>
      <c r="M28" s="66">
        <f>1756</f>
        <v>1756</v>
      </c>
      <c r="N28" s="67" t="s">
        <v>834</v>
      </c>
      <c r="O28" s="66">
        <f>1653</f>
        <v>1653</v>
      </c>
      <c r="P28" s="67" t="s">
        <v>833</v>
      </c>
      <c r="Q28" s="66">
        <f>1708</f>
        <v>1708</v>
      </c>
      <c r="R28" s="67" t="s">
        <v>50</v>
      </c>
      <c r="S28" s="68">
        <f>1706.47</f>
        <v>1706.47</v>
      </c>
      <c r="T28" s="65">
        <f>4771100</f>
        <v>4771100</v>
      </c>
      <c r="U28" s="65">
        <f>468500</f>
        <v>468500</v>
      </c>
      <c r="V28" s="65">
        <f>8125680036</f>
        <v>8125680036</v>
      </c>
      <c r="W28" s="65">
        <f>797895936</f>
        <v>797895936</v>
      </c>
      <c r="X28" s="69">
        <f>19</f>
        <v>19</v>
      </c>
    </row>
    <row r="29" spans="1:24">
      <c r="A29" s="60" t="s">
        <v>916</v>
      </c>
      <c r="B29" s="60" t="s">
        <v>126</v>
      </c>
      <c r="C29" s="60" t="s">
        <v>127</v>
      </c>
      <c r="D29" s="60" t="s">
        <v>128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23890</f>
        <v>23890</v>
      </c>
      <c r="L29" s="67" t="s">
        <v>833</v>
      </c>
      <c r="M29" s="66">
        <f>27800</f>
        <v>27800</v>
      </c>
      <c r="N29" s="67" t="s">
        <v>50</v>
      </c>
      <c r="O29" s="66">
        <f>23890</f>
        <v>23890</v>
      </c>
      <c r="P29" s="67" t="s">
        <v>833</v>
      </c>
      <c r="Q29" s="66">
        <f>27390</f>
        <v>27390</v>
      </c>
      <c r="R29" s="67" t="s">
        <v>50</v>
      </c>
      <c r="S29" s="68">
        <f>26276.84</f>
        <v>26276.84</v>
      </c>
      <c r="T29" s="65">
        <f>678181</f>
        <v>678181</v>
      </c>
      <c r="U29" s="65">
        <f>105946</f>
        <v>105946</v>
      </c>
      <c r="V29" s="65">
        <f>17677615320</f>
        <v>17677615320</v>
      </c>
      <c r="W29" s="65">
        <f>2710360310</f>
        <v>2710360310</v>
      </c>
      <c r="X29" s="69">
        <f>19</f>
        <v>19</v>
      </c>
    </row>
    <row r="30" spans="1:24">
      <c r="A30" s="60" t="s">
        <v>916</v>
      </c>
      <c r="B30" s="60" t="s">
        <v>129</v>
      </c>
      <c r="C30" s="60" t="s">
        <v>130</v>
      </c>
      <c r="D30" s="60" t="s">
        <v>131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1654</f>
        <v>1654</v>
      </c>
      <c r="L30" s="67" t="s">
        <v>833</v>
      </c>
      <c r="M30" s="66">
        <f>1862</f>
        <v>1862</v>
      </c>
      <c r="N30" s="67" t="s">
        <v>91</v>
      </c>
      <c r="O30" s="66">
        <f>1654</f>
        <v>1654</v>
      </c>
      <c r="P30" s="67" t="s">
        <v>833</v>
      </c>
      <c r="Q30" s="66">
        <f>1818</f>
        <v>1818</v>
      </c>
      <c r="R30" s="67" t="s">
        <v>50</v>
      </c>
      <c r="S30" s="68">
        <f>1780.21</f>
        <v>1780.21</v>
      </c>
      <c r="T30" s="65">
        <f>9585170</f>
        <v>9585170</v>
      </c>
      <c r="U30" s="65">
        <f>5683030</f>
        <v>5683030</v>
      </c>
      <c r="V30" s="65">
        <f>17122356900</f>
        <v>17122356900</v>
      </c>
      <c r="W30" s="65">
        <f>10174394790</f>
        <v>10174394790</v>
      </c>
      <c r="X30" s="69">
        <f>19</f>
        <v>19</v>
      </c>
    </row>
    <row r="31" spans="1:24">
      <c r="A31" s="60" t="s">
        <v>916</v>
      </c>
      <c r="B31" s="60" t="s">
        <v>132</v>
      </c>
      <c r="C31" s="60" t="s">
        <v>133</v>
      </c>
      <c r="D31" s="60" t="s">
        <v>134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12870</f>
        <v>12870</v>
      </c>
      <c r="L31" s="67" t="s">
        <v>833</v>
      </c>
      <c r="M31" s="66">
        <f>13160</f>
        <v>13160</v>
      </c>
      <c r="N31" s="67" t="s">
        <v>79</v>
      </c>
      <c r="O31" s="66">
        <f>12800</f>
        <v>12800</v>
      </c>
      <c r="P31" s="67" t="s">
        <v>49</v>
      </c>
      <c r="Q31" s="66">
        <f>13060</f>
        <v>13060</v>
      </c>
      <c r="R31" s="67" t="s">
        <v>50</v>
      </c>
      <c r="S31" s="68">
        <f>12999.47</f>
        <v>12999.47</v>
      </c>
      <c r="T31" s="65">
        <f>1986</f>
        <v>1986</v>
      </c>
      <c r="U31" s="65">
        <f>1</f>
        <v>1</v>
      </c>
      <c r="V31" s="65">
        <f>25792380</f>
        <v>25792380</v>
      </c>
      <c r="W31" s="65">
        <f>13130</f>
        <v>13130</v>
      </c>
      <c r="X31" s="69">
        <f>19</f>
        <v>19</v>
      </c>
    </row>
    <row r="32" spans="1:24">
      <c r="A32" s="60" t="s">
        <v>916</v>
      </c>
      <c r="B32" s="60" t="s">
        <v>135</v>
      </c>
      <c r="C32" s="60" t="s">
        <v>136</v>
      </c>
      <c r="D32" s="60" t="s">
        <v>137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1861</f>
        <v>1861</v>
      </c>
      <c r="L32" s="67" t="s">
        <v>833</v>
      </c>
      <c r="M32" s="66">
        <f>1861</f>
        <v>1861</v>
      </c>
      <c r="N32" s="67" t="s">
        <v>833</v>
      </c>
      <c r="O32" s="66">
        <f>1453</f>
        <v>1453</v>
      </c>
      <c r="P32" s="67" t="s">
        <v>91</v>
      </c>
      <c r="Q32" s="66">
        <f>1524</f>
        <v>1524</v>
      </c>
      <c r="R32" s="67" t="s">
        <v>50</v>
      </c>
      <c r="S32" s="68">
        <f>1600.32</f>
        <v>1600.32</v>
      </c>
      <c r="T32" s="65">
        <f>9607930</f>
        <v>9607930</v>
      </c>
      <c r="U32" s="65">
        <f>37020</f>
        <v>37020</v>
      </c>
      <c r="V32" s="65">
        <f>15422034675</f>
        <v>15422034675</v>
      </c>
      <c r="W32" s="65">
        <f>59813735</f>
        <v>59813735</v>
      </c>
      <c r="X32" s="69">
        <f>19</f>
        <v>19</v>
      </c>
    </row>
    <row r="33" spans="1:24">
      <c r="A33" s="60" t="s">
        <v>916</v>
      </c>
      <c r="B33" s="60" t="s">
        <v>138</v>
      </c>
      <c r="C33" s="60" t="s">
        <v>139</v>
      </c>
      <c r="D33" s="60" t="s">
        <v>140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714</f>
        <v>714</v>
      </c>
      <c r="L33" s="67" t="s">
        <v>833</v>
      </c>
      <c r="M33" s="66">
        <f>714</f>
        <v>714</v>
      </c>
      <c r="N33" s="67" t="s">
        <v>833</v>
      </c>
      <c r="O33" s="66">
        <f>521</f>
        <v>521</v>
      </c>
      <c r="P33" s="67" t="s">
        <v>50</v>
      </c>
      <c r="Q33" s="66">
        <f>537</f>
        <v>537</v>
      </c>
      <c r="R33" s="67" t="s">
        <v>50</v>
      </c>
      <c r="S33" s="68">
        <f>588.53</f>
        <v>588.53</v>
      </c>
      <c r="T33" s="65">
        <f>1236109532</f>
        <v>1236109532</v>
      </c>
      <c r="U33" s="65">
        <f>1658975</f>
        <v>1658975</v>
      </c>
      <c r="V33" s="65">
        <f>734570442145</f>
        <v>734570442145</v>
      </c>
      <c r="W33" s="65">
        <f>1001898916</f>
        <v>1001898916</v>
      </c>
      <c r="X33" s="69">
        <f>19</f>
        <v>19</v>
      </c>
    </row>
    <row r="34" spans="1:24">
      <c r="A34" s="60" t="s">
        <v>916</v>
      </c>
      <c r="B34" s="60" t="s">
        <v>141</v>
      </c>
      <c r="C34" s="60" t="s">
        <v>142</v>
      </c>
      <c r="D34" s="60" t="s">
        <v>143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19170</f>
        <v>19170</v>
      </c>
      <c r="L34" s="67" t="s">
        <v>833</v>
      </c>
      <c r="M34" s="66">
        <f>25750</f>
        <v>25750</v>
      </c>
      <c r="N34" s="67" t="s">
        <v>50</v>
      </c>
      <c r="O34" s="66">
        <f>19170</f>
        <v>19170</v>
      </c>
      <c r="P34" s="67" t="s">
        <v>833</v>
      </c>
      <c r="Q34" s="66">
        <f>24940</f>
        <v>24940</v>
      </c>
      <c r="R34" s="67" t="s">
        <v>50</v>
      </c>
      <c r="S34" s="68">
        <f>23093.68</f>
        <v>23093.68</v>
      </c>
      <c r="T34" s="65">
        <f>394458</f>
        <v>394458</v>
      </c>
      <c r="U34" s="65" t="str">
        <f>"－"</f>
        <v>－</v>
      </c>
      <c r="V34" s="65">
        <f>8977448880</f>
        <v>8977448880</v>
      </c>
      <c r="W34" s="65" t="str">
        <f>"－"</f>
        <v>－</v>
      </c>
      <c r="X34" s="69">
        <f>19</f>
        <v>19</v>
      </c>
    </row>
    <row r="35" spans="1:24">
      <c r="A35" s="60" t="s">
        <v>916</v>
      </c>
      <c r="B35" s="60" t="s">
        <v>144</v>
      </c>
      <c r="C35" s="60" t="s">
        <v>145</v>
      </c>
      <c r="D35" s="60" t="s">
        <v>146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1738</f>
        <v>1738</v>
      </c>
      <c r="L35" s="67" t="s">
        <v>833</v>
      </c>
      <c r="M35" s="66">
        <f>1738</f>
        <v>1738</v>
      </c>
      <c r="N35" s="67" t="s">
        <v>833</v>
      </c>
      <c r="O35" s="66">
        <f>1267</f>
        <v>1267</v>
      </c>
      <c r="P35" s="67" t="s">
        <v>50</v>
      </c>
      <c r="Q35" s="66">
        <f>1308</f>
        <v>1308</v>
      </c>
      <c r="R35" s="67" t="s">
        <v>50</v>
      </c>
      <c r="S35" s="68">
        <f>1431.63</f>
        <v>1431.63</v>
      </c>
      <c r="T35" s="65">
        <f>116468210</f>
        <v>116468210</v>
      </c>
      <c r="U35" s="65">
        <f>41380</f>
        <v>41380</v>
      </c>
      <c r="V35" s="65">
        <f>165832551500</f>
        <v>165832551500</v>
      </c>
      <c r="W35" s="65">
        <f>59855990</f>
        <v>59855990</v>
      </c>
      <c r="X35" s="69">
        <f>19</f>
        <v>19</v>
      </c>
    </row>
    <row r="36" spans="1:24">
      <c r="A36" s="60" t="s">
        <v>916</v>
      </c>
      <c r="B36" s="60" t="s">
        <v>147</v>
      </c>
      <c r="C36" s="60" t="s">
        <v>148</v>
      </c>
      <c r="D36" s="60" t="s">
        <v>149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14650</f>
        <v>14650</v>
      </c>
      <c r="L36" s="67" t="s">
        <v>833</v>
      </c>
      <c r="M36" s="66">
        <f>16670</f>
        <v>16670</v>
      </c>
      <c r="N36" s="67" t="s">
        <v>50</v>
      </c>
      <c r="O36" s="66">
        <f>14650</f>
        <v>14650</v>
      </c>
      <c r="P36" s="67" t="s">
        <v>833</v>
      </c>
      <c r="Q36" s="66">
        <f>16380</f>
        <v>16380</v>
      </c>
      <c r="R36" s="67" t="s">
        <v>50</v>
      </c>
      <c r="S36" s="68">
        <f>15848.95</f>
        <v>15848.95</v>
      </c>
      <c r="T36" s="65">
        <f>70318</f>
        <v>70318</v>
      </c>
      <c r="U36" s="65">
        <f>14000</f>
        <v>14000</v>
      </c>
      <c r="V36" s="65">
        <f>1120530280</f>
        <v>1120530280</v>
      </c>
      <c r="W36" s="65">
        <f>223958000</f>
        <v>223958000</v>
      </c>
      <c r="X36" s="69">
        <f>19</f>
        <v>19</v>
      </c>
    </row>
    <row r="37" spans="1:24">
      <c r="A37" s="60" t="s">
        <v>916</v>
      </c>
      <c r="B37" s="60" t="s">
        <v>151</v>
      </c>
      <c r="C37" s="60" t="s">
        <v>152</v>
      </c>
      <c r="D37" s="60" t="s">
        <v>153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15720</f>
        <v>15720</v>
      </c>
      <c r="L37" s="67" t="s">
        <v>833</v>
      </c>
      <c r="M37" s="66">
        <f>21220</f>
        <v>21220</v>
      </c>
      <c r="N37" s="67" t="s">
        <v>50</v>
      </c>
      <c r="O37" s="66">
        <f>15720</f>
        <v>15720</v>
      </c>
      <c r="P37" s="67" t="s">
        <v>833</v>
      </c>
      <c r="Q37" s="66">
        <f>20590</f>
        <v>20590</v>
      </c>
      <c r="R37" s="67" t="s">
        <v>50</v>
      </c>
      <c r="S37" s="68">
        <f>19001.05</f>
        <v>19001.05</v>
      </c>
      <c r="T37" s="65">
        <f>1004660</f>
        <v>1004660</v>
      </c>
      <c r="U37" s="65" t="str">
        <f>"－"</f>
        <v>－</v>
      </c>
      <c r="V37" s="65">
        <f>18863929910</f>
        <v>18863929910</v>
      </c>
      <c r="W37" s="65" t="str">
        <f>"－"</f>
        <v>－</v>
      </c>
      <c r="X37" s="69">
        <f>19</f>
        <v>19</v>
      </c>
    </row>
    <row r="38" spans="1:24">
      <c r="A38" s="60" t="s">
        <v>916</v>
      </c>
      <c r="B38" s="60" t="s">
        <v>154</v>
      </c>
      <c r="C38" s="60" t="s">
        <v>155</v>
      </c>
      <c r="D38" s="60" t="s">
        <v>156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1860</f>
        <v>1860</v>
      </c>
      <c r="L38" s="67" t="s">
        <v>833</v>
      </c>
      <c r="M38" s="66">
        <f>1860</f>
        <v>1860</v>
      </c>
      <c r="N38" s="67" t="s">
        <v>833</v>
      </c>
      <c r="O38" s="66">
        <f>1358</f>
        <v>1358</v>
      </c>
      <c r="P38" s="67" t="s">
        <v>50</v>
      </c>
      <c r="Q38" s="66">
        <f>1400</f>
        <v>1400</v>
      </c>
      <c r="R38" s="67" t="s">
        <v>50</v>
      </c>
      <c r="S38" s="68">
        <f>1534.16</f>
        <v>1534.16</v>
      </c>
      <c r="T38" s="65">
        <f>13226269</f>
        <v>13226269</v>
      </c>
      <c r="U38" s="65">
        <f>30732</f>
        <v>30732</v>
      </c>
      <c r="V38" s="65">
        <f>20478228304</f>
        <v>20478228304</v>
      </c>
      <c r="W38" s="65">
        <f>43767613</f>
        <v>43767613</v>
      </c>
      <c r="X38" s="69">
        <f>19</f>
        <v>19</v>
      </c>
    </row>
    <row r="39" spans="1:24">
      <c r="A39" s="60" t="s">
        <v>916</v>
      </c>
      <c r="B39" s="60" t="s">
        <v>157</v>
      </c>
      <c r="C39" s="60" t="s">
        <v>158</v>
      </c>
      <c r="D39" s="60" t="s">
        <v>159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12400</f>
        <v>12400</v>
      </c>
      <c r="L39" s="67" t="s">
        <v>833</v>
      </c>
      <c r="M39" s="66">
        <f>15700</f>
        <v>15700</v>
      </c>
      <c r="N39" s="67" t="s">
        <v>91</v>
      </c>
      <c r="O39" s="66">
        <f>12400</f>
        <v>12400</v>
      </c>
      <c r="P39" s="67" t="s">
        <v>833</v>
      </c>
      <c r="Q39" s="66">
        <f>14990</f>
        <v>14990</v>
      </c>
      <c r="R39" s="67" t="s">
        <v>50</v>
      </c>
      <c r="S39" s="68">
        <f>14370</f>
        <v>14370</v>
      </c>
      <c r="T39" s="65">
        <f>441067</f>
        <v>441067</v>
      </c>
      <c r="U39" s="65">
        <f>500</f>
        <v>500</v>
      </c>
      <c r="V39" s="65">
        <f>6319891430</f>
        <v>6319891430</v>
      </c>
      <c r="W39" s="65">
        <f>7808200</f>
        <v>7808200</v>
      </c>
      <c r="X39" s="69">
        <f>19</f>
        <v>19</v>
      </c>
    </row>
    <row r="40" spans="1:24">
      <c r="A40" s="60" t="s">
        <v>916</v>
      </c>
      <c r="B40" s="60" t="s">
        <v>160</v>
      </c>
      <c r="C40" s="60" t="s">
        <v>161</v>
      </c>
      <c r="D40" s="60" t="s">
        <v>162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2704</f>
        <v>2704</v>
      </c>
      <c r="L40" s="67" t="s">
        <v>833</v>
      </c>
      <c r="M40" s="66">
        <f>2704</f>
        <v>2704</v>
      </c>
      <c r="N40" s="67" t="s">
        <v>833</v>
      </c>
      <c r="O40" s="66">
        <f>2111</f>
        <v>2111</v>
      </c>
      <c r="P40" s="67" t="s">
        <v>91</v>
      </c>
      <c r="Q40" s="66">
        <f>2212</f>
        <v>2212</v>
      </c>
      <c r="R40" s="67" t="s">
        <v>50</v>
      </c>
      <c r="S40" s="68">
        <f>2322.11</f>
        <v>2322.11</v>
      </c>
      <c r="T40" s="65">
        <f>1566963</f>
        <v>1566963</v>
      </c>
      <c r="U40" s="65">
        <f>5794</f>
        <v>5794</v>
      </c>
      <c r="V40" s="65">
        <f>3641261491</f>
        <v>3641261491</v>
      </c>
      <c r="W40" s="65">
        <f>13605311</f>
        <v>13605311</v>
      </c>
      <c r="X40" s="69">
        <f>19</f>
        <v>19</v>
      </c>
    </row>
    <row r="41" spans="1:24">
      <c r="A41" s="60" t="s">
        <v>916</v>
      </c>
      <c r="B41" s="60" t="s">
        <v>163</v>
      </c>
      <c r="C41" s="60" t="s">
        <v>164</v>
      </c>
      <c r="D41" s="60" t="s">
        <v>165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23230</f>
        <v>23230</v>
      </c>
      <c r="L41" s="67" t="s">
        <v>833</v>
      </c>
      <c r="M41" s="66">
        <f>27030</f>
        <v>27030</v>
      </c>
      <c r="N41" s="67" t="s">
        <v>50</v>
      </c>
      <c r="O41" s="66">
        <f>23230</f>
        <v>23230</v>
      </c>
      <c r="P41" s="67" t="s">
        <v>833</v>
      </c>
      <c r="Q41" s="66">
        <f>26630</f>
        <v>26630</v>
      </c>
      <c r="R41" s="67" t="s">
        <v>50</v>
      </c>
      <c r="S41" s="68">
        <f>25547.89</f>
        <v>25547.89</v>
      </c>
      <c r="T41" s="65">
        <f>217972</f>
        <v>217972</v>
      </c>
      <c r="U41" s="65">
        <f>149201</f>
        <v>149201</v>
      </c>
      <c r="V41" s="65">
        <f>5631643647</f>
        <v>5631643647</v>
      </c>
      <c r="W41" s="65">
        <f>3910339417</f>
        <v>3910339417</v>
      </c>
      <c r="X41" s="69">
        <f>19</f>
        <v>19</v>
      </c>
    </row>
    <row r="42" spans="1:24">
      <c r="A42" s="60" t="s">
        <v>916</v>
      </c>
      <c r="B42" s="60" t="s">
        <v>166</v>
      </c>
      <c r="C42" s="60" t="s">
        <v>167</v>
      </c>
      <c r="D42" s="60" t="s">
        <v>168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3660</f>
        <v>3660</v>
      </c>
      <c r="L42" s="67" t="s">
        <v>833</v>
      </c>
      <c r="M42" s="66">
        <f>4525</f>
        <v>4525</v>
      </c>
      <c r="N42" s="67" t="s">
        <v>815</v>
      </c>
      <c r="O42" s="66">
        <f>3660</f>
        <v>3660</v>
      </c>
      <c r="P42" s="67" t="s">
        <v>833</v>
      </c>
      <c r="Q42" s="66">
        <f>4380</f>
        <v>4380</v>
      </c>
      <c r="R42" s="67" t="s">
        <v>50</v>
      </c>
      <c r="S42" s="68">
        <f>4211.05</f>
        <v>4211.05</v>
      </c>
      <c r="T42" s="65">
        <f>11345</f>
        <v>11345</v>
      </c>
      <c r="U42" s="65">
        <f>1</f>
        <v>1</v>
      </c>
      <c r="V42" s="65">
        <f>47651935</f>
        <v>47651935</v>
      </c>
      <c r="W42" s="65">
        <f>3950</f>
        <v>3950</v>
      </c>
      <c r="X42" s="69">
        <f>19</f>
        <v>19</v>
      </c>
    </row>
    <row r="43" spans="1:24">
      <c r="A43" s="60" t="s">
        <v>916</v>
      </c>
      <c r="B43" s="60" t="s">
        <v>169</v>
      </c>
      <c r="C43" s="60" t="s">
        <v>170</v>
      </c>
      <c r="D43" s="60" t="s">
        <v>171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6890</f>
        <v>6890</v>
      </c>
      <c r="L43" s="67" t="s">
        <v>833</v>
      </c>
      <c r="M43" s="66">
        <f>8200</f>
        <v>8200</v>
      </c>
      <c r="N43" s="67" t="s">
        <v>72</v>
      </c>
      <c r="O43" s="66">
        <f>6890</f>
        <v>6890</v>
      </c>
      <c r="P43" s="67" t="s">
        <v>833</v>
      </c>
      <c r="Q43" s="66">
        <f>8180</f>
        <v>8180</v>
      </c>
      <c r="R43" s="67" t="s">
        <v>50</v>
      </c>
      <c r="S43" s="68">
        <f>7797.37</f>
        <v>7797.37</v>
      </c>
      <c r="T43" s="65">
        <f>3672</f>
        <v>3672</v>
      </c>
      <c r="U43" s="65" t="str">
        <f t="shared" ref="U43:U48" si="0">"－"</f>
        <v>－</v>
      </c>
      <c r="V43" s="65">
        <f>28824130</f>
        <v>28824130</v>
      </c>
      <c r="W43" s="65" t="str">
        <f t="shared" ref="W43:W48" si="1">"－"</f>
        <v>－</v>
      </c>
      <c r="X43" s="69">
        <f>19</f>
        <v>19</v>
      </c>
    </row>
    <row r="44" spans="1:24">
      <c r="A44" s="60" t="s">
        <v>916</v>
      </c>
      <c r="B44" s="60" t="s">
        <v>172</v>
      </c>
      <c r="C44" s="60" t="s">
        <v>173</v>
      </c>
      <c r="D44" s="60" t="s">
        <v>174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12610</f>
        <v>12610</v>
      </c>
      <c r="L44" s="67" t="s">
        <v>833</v>
      </c>
      <c r="M44" s="66">
        <f>15700</f>
        <v>15700</v>
      </c>
      <c r="N44" s="67" t="s">
        <v>61</v>
      </c>
      <c r="O44" s="66">
        <f>12610</f>
        <v>12610</v>
      </c>
      <c r="P44" s="67" t="s">
        <v>833</v>
      </c>
      <c r="Q44" s="66">
        <f>15500</f>
        <v>15500</v>
      </c>
      <c r="R44" s="67" t="s">
        <v>816</v>
      </c>
      <c r="S44" s="68">
        <f>14849.29</f>
        <v>14849.29</v>
      </c>
      <c r="T44" s="65">
        <f>236</f>
        <v>236</v>
      </c>
      <c r="U44" s="65" t="str">
        <f t="shared" si="0"/>
        <v>－</v>
      </c>
      <c r="V44" s="65">
        <f>3509100</f>
        <v>3509100</v>
      </c>
      <c r="W44" s="65" t="str">
        <f t="shared" si="1"/>
        <v>－</v>
      </c>
      <c r="X44" s="69">
        <f>14</f>
        <v>14</v>
      </c>
    </row>
    <row r="45" spans="1:24">
      <c r="A45" s="60" t="s">
        <v>916</v>
      </c>
      <c r="B45" s="60" t="s">
        <v>176</v>
      </c>
      <c r="C45" s="60" t="s">
        <v>177</v>
      </c>
      <c r="D45" s="60" t="s">
        <v>178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10700</f>
        <v>10700</v>
      </c>
      <c r="L45" s="67" t="s">
        <v>833</v>
      </c>
      <c r="M45" s="66">
        <f>12980</f>
        <v>12980</v>
      </c>
      <c r="N45" s="67" t="s">
        <v>91</v>
      </c>
      <c r="O45" s="66">
        <f>10700</f>
        <v>10700</v>
      </c>
      <c r="P45" s="67" t="s">
        <v>833</v>
      </c>
      <c r="Q45" s="66">
        <f>12790</f>
        <v>12790</v>
      </c>
      <c r="R45" s="67" t="s">
        <v>50</v>
      </c>
      <c r="S45" s="68">
        <f>12070</f>
        <v>12070</v>
      </c>
      <c r="T45" s="65">
        <f>259</f>
        <v>259</v>
      </c>
      <c r="U45" s="65" t="str">
        <f t="shared" si="0"/>
        <v>－</v>
      </c>
      <c r="V45" s="65">
        <f>3168610</f>
        <v>3168610</v>
      </c>
      <c r="W45" s="65" t="str">
        <f t="shared" si="1"/>
        <v>－</v>
      </c>
      <c r="X45" s="69">
        <f>16</f>
        <v>16</v>
      </c>
    </row>
    <row r="46" spans="1:24">
      <c r="A46" s="60" t="s">
        <v>916</v>
      </c>
      <c r="B46" s="60" t="s">
        <v>179</v>
      </c>
      <c r="C46" s="60" t="s">
        <v>180</v>
      </c>
      <c r="D46" s="60" t="s">
        <v>181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7270</f>
        <v>7270</v>
      </c>
      <c r="L46" s="67" t="s">
        <v>833</v>
      </c>
      <c r="M46" s="66">
        <f>8860</f>
        <v>8860</v>
      </c>
      <c r="N46" s="67" t="s">
        <v>815</v>
      </c>
      <c r="O46" s="66">
        <f>7250</f>
        <v>7250</v>
      </c>
      <c r="P46" s="67" t="s">
        <v>833</v>
      </c>
      <c r="Q46" s="66">
        <f>8370</f>
        <v>8370</v>
      </c>
      <c r="R46" s="67" t="s">
        <v>50</v>
      </c>
      <c r="S46" s="68">
        <f>8158.42</f>
        <v>8158.42</v>
      </c>
      <c r="T46" s="65">
        <f>11222</f>
        <v>11222</v>
      </c>
      <c r="U46" s="65" t="str">
        <f t="shared" si="0"/>
        <v>－</v>
      </c>
      <c r="V46" s="65">
        <f>93815030</f>
        <v>93815030</v>
      </c>
      <c r="W46" s="65" t="str">
        <f t="shared" si="1"/>
        <v>－</v>
      </c>
      <c r="X46" s="69">
        <f>19</f>
        <v>19</v>
      </c>
    </row>
    <row r="47" spans="1:24">
      <c r="A47" s="60" t="s">
        <v>916</v>
      </c>
      <c r="B47" s="60" t="s">
        <v>182</v>
      </c>
      <c r="C47" s="60" t="s">
        <v>183</v>
      </c>
      <c r="D47" s="60" t="s">
        <v>184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4230</f>
        <v>4230</v>
      </c>
      <c r="L47" s="67" t="s">
        <v>833</v>
      </c>
      <c r="M47" s="66">
        <f>4635</f>
        <v>4635</v>
      </c>
      <c r="N47" s="67" t="s">
        <v>50</v>
      </c>
      <c r="O47" s="66">
        <f>4200</f>
        <v>4200</v>
      </c>
      <c r="P47" s="67" t="s">
        <v>833</v>
      </c>
      <c r="Q47" s="66">
        <f>4625</f>
        <v>4625</v>
      </c>
      <c r="R47" s="67" t="s">
        <v>50</v>
      </c>
      <c r="S47" s="68">
        <f>4469.74</f>
        <v>4469.74</v>
      </c>
      <c r="T47" s="65">
        <f>2559</f>
        <v>2559</v>
      </c>
      <c r="U47" s="65" t="str">
        <f t="shared" si="0"/>
        <v>－</v>
      </c>
      <c r="V47" s="65">
        <f>11580360</f>
        <v>11580360</v>
      </c>
      <c r="W47" s="65" t="str">
        <f t="shared" si="1"/>
        <v>－</v>
      </c>
      <c r="X47" s="69">
        <f>19</f>
        <v>19</v>
      </c>
    </row>
    <row r="48" spans="1:24">
      <c r="A48" s="60" t="s">
        <v>916</v>
      </c>
      <c r="B48" s="60" t="s">
        <v>185</v>
      </c>
      <c r="C48" s="60" t="s">
        <v>186</v>
      </c>
      <c r="D48" s="60" t="s">
        <v>187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2109</f>
        <v>2109</v>
      </c>
      <c r="L48" s="67" t="s">
        <v>833</v>
      </c>
      <c r="M48" s="66">
        <f>2324</f>
        <v>2324</v>
      </c>
      <c r="N48" s="67" t="s">
        <v>834</v>
      </c>
      <c r="O48" s="66">
        <f>2109</f>
        <v>2109</v>
      </c>
      <c r="P48" s="67" t="s">
        <v>833</v>
      </c>
      <c r="Q48" s="66">
        <f>2309</f>
        <v>2309</v>
      </c>
      <c r="R48" s="67" t="s">
        <v>50</v>
      </c>
      <c r="S48" s="68">
        <f>2275.68</f>
        <v>2275.6799999999998</v>
      </c>
      <c r="T48" s="65">
        <f>2158</f>
        <v>2158</v>
      </c>
      <c r="U48" s="65" t="str">
        <f t="shared" si="0"/>
        <v>－</v>
      </c>
      <c r="V48" s="65">
        <f>4893406</f>
        <v>4893406</v>
      </c>
      <c r="W48" s="65" t="str">
        <f t="shared" si="1"/>
        <v>－</v>
      </c>
      <c r="X48" s="69">
        <f>19</f>
        <v>19</v>
      </c>
    </row>
    <row r="49" spans="1:24">
      <c r="A49" s="60" t="s">
        <v>916</v>
      </c>
      <c r="B49" s="60" t="s">
        <v>188</v>
      </c>
      <c r="C49" s="60" t="s">
        <v>189</v>
      </c>
      <c r="D49" s="60" t="s">
        <v>190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1888</f>
        <v>1888</v>
      </c>
      <c r="L49" s="67" t="s">
        <v>833</v>
      </c>
      <c r="M49" s="66">
        <f>2340</f>
        <v>2340</v>
      </c>
      <c r="N49" s="67" t="s">
        <v>821</v>
      </c>
      <c r="O49" s="66">
        <f>1888</f>
        <v>1888</v>
      </c>
      <c r="P49" s="67" t="s">
        <v>833</v>
      </c>
      <c r="Q49" s="66">
        <f>2215</f>
        <v>2215</v>
      </c>
      <c r="R49" s="67" t="s">
        <v>50</v>
      </c>
      <c r="S49" s="68">
        <f>2174.89</f>
        <v>2174.89</v>
      </c>
      <c r="T49" s="65">
        <f>19965</f>
        <v>19965</v>
      </c>
      <c r="U49" s="65">
        <f>1</f>
        <v>1</v>
      </c>
      <c r="V49" s="65">
        <f>44621712</f>
        <v>44621712</v>
      </c>
      <c r="W49" s="65">
        <f>1981</f>
        <v>1981</v>
      </c>
      <c r="X49" s="69">
        <f>19</f>
        <v>19</v>
      </c>
    </row>
    <row r="50" spans="1:24">
      <c r="A50" s="60" t="s">
        <v>916</v>
      </c>
      <c r="B50" s="60" t="s">
        <v>191</v>
      </c>
      <c r="C50" s="60" t="s">
        <v>192</v>
      </c>
      <c r="D50" s="60" t="s">
        <v>193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34600</f>
        <v>34600</v>
      </c>
      <c r="L50" s="67" t="s">
        <v>833</v>
      </c>
      <c r="M50" s="66">
        <f>37900</f>
        <v>37900</v>
      </c>
      <c r="N50" s="67" t="s">
        <v>61</v>
      </c>
      <c r="O50" s="66">
        <f>34350</f>
        <v>34350</v>
      </c>
      <c r="P50" s="67" t="s">
        <v>833</v>
      </c>
      <c r="Q50" s="66">
        <f>36850</f>
        <v>36850</v>
      </c>
      <c r="R50" s="67" t="s">
        <v>50</v>
      </c>
      <c r="S50" s="68">
        <f>36484.21</f>
        <v>36484.21</v>
      </c>
      <c r="T50" s="65">
        <f>923</f>
        <v>923</v>
      </c>
      <c r="U50" s="65" t="str">
        <f>"－"</f>
        <v>－</v>
      </c>
      <c r="V50" s="65">
        <f>33715850</f>
        <v>33715850</v>
      </c>
      <c r="W50" s="65" t="str">
        <f>"－"</f>
        <v>－</v>
      </c>
      <c r="X50" s="69">
        <f>19</f>
        <v>19</v>
      </c>
    </row>
    <row r="51" spans="1:24">
      <c r="A51" s="60" t="s">
        <v>916</v>
      </c>
      <c r="B51" s="60" t="s">
        <v>194</v>
      </c>
      <c r="C51" s="60" t="s">
        <v>195</v>
      </c>
      <c r="D51" s="60" t="s">
        <v>196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23830</f>
        <v>23830</v>
      </c>
      <c r="L51" s="67" t="s">
        <v>833</v>
      </c>
      <c r="M51" s="66">
        <f>27140</f>
        <v>27140</v>
      </c>
      <c r="N51" s="67" t="s">
        <v>175</v>
      </c>
      <c r="O51" s="66">
        <f>23830</f>
        <v>23830</v>
      </c>
      <c r="P51" s="67" t="s">
        <v>833</v>
      </c>
      <c r="Q51" s="66">
        <f>26950</f>
        <v>26950</v>
      </c>
      <c r="R51" s="67" t="s">
        <v>821</v>
      </c>
      <c r="S51" s="68">
        <f>26251.54</f>
        <v>26251.54</v>
      </c>
      <c r="T51" s="65">
        <f>224</f>
        <v>224</v>
      </c>
      <c r="U51" s="65">
        <f>1</f>
        <v>1</v>
      </c>
      <c r="V51" s="65">
        <f>5828080</f>
        <v>5828080</v>
      </c>
      <c r="W51" s="65">
        <f>25310</f>
        <v>25310</v>
      </c>
      <c r="X51" s="69">
        <f>13</f>
        <v>13</v>
      </c>
    </row>
    <row r="52" spans="1:24">
      <c r="A52" s="60" t="s">
        <v>916</v>
      </c>
      <c r="B52" s="60" t="s">
        <v>197</v>
      </c>
      <c r="C52" s="60" t="s">
        <v>198</v>
      </c>
      <c r="D52" s="60" t="s">
        <v>199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23240</f>
        <v>23240</v>
      </c>
      <c r="L52" s="67" t="s">
        <v>833</v>
      </c>
      <c r="M52" s="66">
        <f>27050</f>
        <v>27050</v>
      </c>
      <c r="N52" s="67" t="s">
        <v>50</v>
      </c>
      <c r="O52" s="66">
        <f>23240</f>
        <v>23240</v>
      </c>
      <c r="P52" s="67" t="s">
        <v>833</v>
      </c>
      <c r="Q52" s="66">
        <f>26860</f>
        <v>26860</v>
      </c>
      <c r="R52" s="67" t="s">
        <v>50</v>
      </c>
      <c r="S52" s="68">
        <f>25534.74</f>
        <v>25534.74</v>
      </c>
      <c r="T52" s="65">
        <f>5307</f>
        <v>5307</v>
      </c>
      <c r="U52" s="65">
        <f>1</f>
        <v>1</v>
      </c>
      <c r="V52" s="65">
        <f>133959780</f>
        <v>133959780</v>
      </c>
      <c r="W52" s="65">
        <f>26080</f>
        <v>26080</v>
      </c>
      <c r="X52" s="69">
        <f>19</f>
        <v>19</v>
      </c>
    </row>
    <row r="53" spans="1:24">
      <c r="A53" s="60" t="s">
        <v>916</v>
      </c>
      <c r="B53" s="60" t="s">
        <v>200</v>
      </c>
      <c r="C53" s="60" t="s">
        <v>201</v>
      </c>
      <c r="D53" s="60" t="s">
        <v>202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1673</f>
        <v>1673</v>
      </c>
      <c r="L53" s="67" t="s">
        <v>833</v>
      </c>
      <c r="M53" s="66">
        <f>1774</f>
        <v>1774</v>
      </c>
      <c r="N53" s="67" t="s">
        <v>834</v>
      </c>
      <c r="O53" s="66">
        <f>1664</f>
        <v>1664</v>
      </c>
      <c r="P53" s="67" t="s">
        <v>833</v>
      </c>
      <c r="Q53" s="66">
        <f>1716</f>
        <v>1716</v>
      </c>
      <c r="R53" s="67" t="s">
        <v>50</v>
      </c>
      <c r="S53" s="68">
        <f>1723.84</f>
        <v>1723.84</v>
      </c>
      <c r="T53" s="65">
        <f>227100</f>
        <v>227100</v>
      </c>
      <c r="U53" s="65">
        <f>100000</f>
        <v>100000</v>
      </c>
      <c r="V53" s="65">
        <f>394177830</f>
        <v>394177830</v>
      </c>
      <c r="W53" s="65">
        <f>173818400</f>
        <v>173818400</v>
      </c>
      <c r="X53" s="69">
        <f>19</f>
        <v>19</v>
      </c>
    </row>
    <row r="54" spans="1:24">
      <c r="A54" s="60" t="s">
        <v>916</v>
      </c>
      <c r="B54" s="60" t="s">
        <v>203</v>
      </c>
      <c r="C54" s="60" t="s">
        <v>204</v>
      </c>
      <c r="D54" s="60" t="s">
        <v>205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1297</f>
        <v>1297</v>
      </c>
      <c r="L54" s="67" t="s">
        <v>833</v>
      </c>
      <c r="M54" s="66">
        <f>1437</f>
        <v>1437</v>
      </c>
      <c r="N54" s="67" t="s">
        <v>816</v>
      </c>
      <c r="O54" s="66">
        <f>1297</f>
        <v>1297</v>
      </c>
      <c r="P54" s="67" t="s">
        <v>833</v>
      </c>
      <c r="Q54" s="66">
        <f>1385</f>
        <v>1385</v>
      </c>
      <c r="R54" s="67" t="s">
        <v>50</v>
      </c>
      <c r="S54" s="68">
        <f>1384.58</f>
        <v>1384.58</v>
      </c>
      <c r="T54" s="65">
        <f>114410</f>
        <v>114410</v>
      </c>
      <c r="U54" s="65" t="str">
        <f>"－"</f>
        <v>－</v>
      </c>
      <c r="V54" s="65">
        <f>158696470</f>
        <v>158696470</v>
      </c>
      <c r="W54" s="65" t="str">
        <f>"－"</f>
        <v>－</v>
      </c>
      <c r="X54" s="69">
        <f>19</f>
        <v>19</v>
      </c>
    </row>
    <row r="55" spans="1:24">
      <c r="A55" s="60" t="s">
        <v>916</v>
      </c>
      <c r="B55" s="60" t="s">
        <v>206</v>
      </c>
      <c r="C55" s="60" t="s">
        <v>207</v>
      </c>
      <c r="D55" s="60" t="s">
        <v>208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5660</f>
        <v>5660</v>
      </c>
      <c r="L55" s="67" t="s">
        <v>833</v>
      </c>
      <c r="M55" s="66">
        <f>5660</f>
        <v>5660</v>
      </c>
      <c r="N55" s="67" t="s">
        <v>833</v>
      </c>
      <c r="O55" s="66">
        <f>4845</f>
        <v>4845</v>
      </c>
      <c r="P55" s="67" t="s">
        <v>50</v>
      </c>
      <c r="Q55" s="66">
        <f>4920</f>
        <v>4920</v>
      </c>
      <c r="R55" s="67" t="s">
        <v>50</v>
      </c>
      <c r="S55" s="68">
        <f>5140.79</f>
        <v>5140.79</v>
      </c>
      <c r="T55" s="65">
        <f>416671</f>
        <v>416671</v>
      </c>
      <c r="U55" s="65">
        <f>38201</f>
        <v>38201</v>
      </c>
      <c r="V55" s="65">
        <f>2134236791</f>
        <v>2134236791</v>
      </c>
      <c r="W55" s="65">
        <f>200561656</f>
        <v>200561656</v>
      </c>
      <c r="X55" s="69">
        <f>19</f>
        <v>19</v>
      </c>
    </row>
    <row r="56" spans="1:24">
      <c r="A56" s="60" t="s">
        <v>916</v>
      </c>
      <c r="B56" s="60" t="s">
        <v>209</v>
      </c>
      <c r="C56" s="60" t="s">
        <v>210</v>
      </c>
      <c r="D56" s="60" t="s">
        <v>211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6750</f>
        <v>6750</v>
      </c>
      <c r="L56" s="67" t="s">
        <v>833</v>
      </c>
      <c r="M56" s="66">
        <f>6750</f>
        <v>6750</v>
      </c>
      <c r="N56" s="67" t="s">
        <v>833</v>
      </c>
      <c r="O56" s="66">
        <f>5970</f>
        <v>5970</v>
      </c>
      <c r="P56" s="67" t="s">
        <v>816</v>
      </c>
      <c r="Q56" s="66">
        <f>6090</f>
        <v>6090</v>
      </c>
      <c r="R56" s="67" t="s">
        <v>50</v>
      </c>
      <c r="S56" s="68">
        <f>6255.26</f>
        <v>6255.26</v>
      </c>
      <c r="T56" s="65">
        <f>322148</f>
        <v>322148</v>
      </c>
      <c r="U56" s="65">
        <f>51</f>
        <v>51</v>
      </c>
      <c r="V56" s="65">
        <f>1991470180</f>
        <v>1991470180</v>
      </c>
      <c r="W56" s="65">
        <f>308220</f>
        <v>308220</v>
      </c>
      <c r="X56" s="69">
        <f>19</f>
        <v>19</v>
      </c>
    </row>
    <row r="57" spans="1:24">
      <c r="A57" s="60" t="s">
        <v>916</v>
      </c>
      <c r="B57" s="60" t="s">
        <v>212</v>
      </c>
      <c r="C57" s="60" t="s">
        <v>213</v>
      </c>
      <c r="D57" s="60" t="s">
        <v>214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11940</f>
        <v>11940</v>
      </c>
      <c r="L57" s="67" t="s">
        <v>833</v>
      </c>
      <c r="M57" s="66">
        <f>16090</f>
        <v>16090</v>
      </c>
      <c r="N57" s="67" t="s">
        <v>50</v>
      </c>
      <c r="O57" s="66">
        <f>11930</f>
        <v>11930</v>
      </c>
      <c r="P57" s="67" t="s">
        <v>833</v>
      </c>
      <c r="Q57" s="66">
        <f>15590</f>
        <v>15590</v>
      </c>
      <c r="R57" s="67" t="s">
        <v>50</v>
      </c>
      <c r="S57" s="68">
        <f>14407.89</f>
        <v>14407.89</v>
      </c>
      <c r="T57" s="65">
        <f>6515408</f>
        <v>6515408</v>
      </c>
      <c r="U57" s="65">
        <f>13</f>
        <v>13</v>
      </c>
      <c r="V57" s="65">
        <f>93256799570</f>
        <v>93256799570</v>
      </c>
      <c r="W57" s="65">
        <f>172360</f>
        <v>172360</v>
      </c>
      <c r="X57" s="69">
        <f>19</f>
        <v>19</v>
      </c>
    </row>
    <row r="58" spans="1:24">
      <c r="A58" s="60" t="s">
        <v>916</v>
      </c>
      <c r="B58" s="60" t="s">
        <v>215</v>
      </c>
      <c r="C58" s="60" t="s">
        <v>216</v>
      </c>
      <c r="D58" s="60" t="s">
        <v>217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2840</f>
        <v>2840</v>
      </c>
      <c r="L58" s="67" t="s">
        <v>833</v>
      </c>
      <c r="M58" s="66">
        <f>2840</f>
        <v>2840</v>
      </c>
      <c r="N58" s="67" t="s">
        <v>833</v>
      </c>
      <c r="O58" s="66">
        <f>2072</f>
        <v>2072</v>
      </c>
      <c r="P58" s="67" t="s">
        <v>50</v>
      </c>
      <c r="Q58" s="66">
        <f>2137</f>
        <v>2137</v>
      </c>
      <c r="R58" s="67" t="s">
        <v>50</v>
      </c>
      <c r="S58" s="68">
        <f>2341.95</f>
        <v>2341.9499999999998</v>
      </c>
      <c r="T58" s="65">
        <f>44184362</f>
        <v>44184362</v>
      </c>
      <c r="U58" s="65">
        <f>2750</f>
        <v>2750</v>
      </c>
      <c r="V58" s="65">
        <f>104480924845</f>
        <v>104480924845</v>
      </c>
      <c r="W58" s="65">
        <f>6042380</f>
        <v>6042380</v>
      </c>
      <c r="X58" s="69">
        <f>19</f>
        <v>19</v>
      </c>
    </row>
    <row r="59" spans="1:24">
      <c r="A59" s="60" t="s">
        <v>916</v>
      </c>
      <c r="B59" s="60" t="s">
        <v>218</v>
      </c>
      <c r="C59" s="60" t="s">
        <v>219</v>
      </c>
      <c r="D59" s="60" t="s">
        <v>220</v>
      </c>
      <c r="E59" s="61" t="s">
        <v>46</v>
      </c>
      <c r="F59" s="62" t="s">
        <v>46</v>
      </c>
      <c r="G59" s="63" t="s">
        <v>46</v>
      </c>
      <c r="H59" s="64"/>
      <c r="I59" s="64" t="s">
        <v>47</v>
      </c>
      <c r="J59" s="65">
        <v>1</v>
      </c>
      <c r="K59" s="66">
        <f>20510</f>
        <v>20510</v>
      </c>
      <c r="L59" s="67" t="s">
        <v>833</v>
      </c>
      <c r="M59" s="66">
        <f>23610</f>
        <v>23610</v>
      </c>
      <c r="N59" s="67" t="s">
        <v>50</v>
      </c>
      <c r="O59" s="66">
        <f>20500</f>
        <v>20500</v>
      </c>
      <c r="P59" s="67" t="s">
        <v>48</v>
      </c>
      <c r="Q59" s="66">
        <f>23610</f>
        <v>23610</v>
      </c>
      <c r="R59" s="67" t="s">
        <v>50</v>
      </c>
      <c r="S59" s="68">
        <f>21944.12</f>
        <v>21944.12</v>
      </c>
      <c r="T59" s="65">
        <f>321</f>
        <v>321</v>
      </c>
      <c r="U59" s="65" t="str">
        <f>"－"</f>
        <v>－</v>
      </c>
      <c r="V59" s="65">
        <f>7156510</f>
        <v>7156510</v>
      </c>
      <c r="W59" s="65" t="str">
        <f>"－"</f>
        <v>－</v>
      </c>
      <c r="X59" s="69">
        <f>17</f>
        <v>17</v>
      </c>
    </row>
    <row r="60" spans="1:24">
      <c r="A60" s="60" t="s">
        <v>916</v>
      </c>
      <c r="B60" s="60" t="s">
        <v>221</v>
      </c>
      <c r="C60" s="60" t="s">
        <v>222</v>
      </c>
      <c r="D60" s="60" t="s">
        <v>223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9830</f>
        <v>9830</v>
      </c>
      <c r="L60" s="67" t="s">
        <v>833</v>
      </c>
      <c r="M60" s="66">
        <f>12700</f>
        <v>12700</v>
      </c>
      <c r="N60" s="67" t="s">
        <v>91</v>
      </c>
      <c r="O60" s="66">
        <f>9830</f>
        <v>9830</v>
      </c>
      <c r="P60" s="67" t="s">
        <v>833</v>
      </c>
      <c r="Q60" s="66">
        <f>12200</f>
        <v>12200</v>
      </c>
      <c r="R60" s="67" t="s">
        <v>50</v>
      </c>
      <c r="S60" s="68">
        <f>11548.42</f>
        <v>11548.42</v>
      </c>
      <c r="T60" s="65">
        <f>10492</f>
        <v>10492</v>
      </c>
      <c r="U60" s="65">
        <f>2</f>
        <v>2</v>
      </c>
      <c r="V60" s="65">
        <f>121857600</f>
        <v>121857600</v>
      </c>
      <c r="W60" s="65">
        <f>24200</f>
        <v>24200</v>
      </c>
      <c r="X60" s="69">
        <f>19</f>
        <v>19</v>
      </c>
    </row>
    <row r="61" spans="1:24">
      <c r="A61" s="60" t="s">
        <v>916</v>
      </c>
      <c r="B61" s="60" t="s">
        <v>224</v>
      </c>
      <c r="C61" s="60" t="s">
        <v>225</v>
      </c>
      <c r="D61" s="60" t="s">
        <v>226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6440</f>
        <v>6440</v>
      </c>
      <c r="L61" s="67" t="s">
        <v>818</v>
      </c>
      <c r="M61" s="66">
        <f>6440</f>
        <v>6440</v>
      </c>
      <c r="N61" s="67" t="s">
        <v>818</v>
      </c>
      <c r="O61" s="66">
        <f>5800</f>
        <v>5800</v>
      </c>
      <c r="P61" s="67" t="s">
        <v>91</v>
      </c>
      <c r="Q61" s="66">
        <f>5870</f>
        <v>5870</v>
      </c>
      <c r="R61" s="67" t="s">
        <v>50</v>
      </c>
      <c r="S61" s="68">
        <f>6067.78</f>
        <v>6067.78</v>
      </c>
      <c r="T61" s="65">
        <f>1301</f>
        <v>1301</v>
      </c>
      <c r="U61" s="65">
        <f>1</f>
        <v>1</v>
      </c>
      <c r="V61" s="65">
        <f>7836700</f>
        <v>7836700</v>
      </c>
      <c r="W61" s="65">
        <f>6030</f>
        <v>6030</v>
      </c>
      <c r="X61" s="69">
        <f>18</f>
        <v>18</v>
      </c>
    </row>
    <row r="62" spans="1:24">
      <c r="A62" s="60" t="s">
        <v>916</v>
      </c>
      <c r="B62" s="60" t="s">
        <v>227</v>
      </c>
      <c r="C62" s="60" t="s">
        <v>228</v>
      </c>
      <c r="D62" s="60" t="s">
        <v>229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3535</f>
        <v>3535</v>
      </c>
      <c r="L62" s="67" t="s">
        <v>833</v>
      </c>
      <c r="M62" s="66">
        <f>3535</f>
        <v>3535</v>
      </c>
      <c r="N62" s="67" t="s">
        <v>833</v>
      </c>
      <c r="O62" s="66">
        <f>2700</f>
        <v>2700</v>
      </c>
      <c r="P62" s="67" t="s">
        <v>91</v>
      </c>
      <c r="Q62" s="66">
        <f>2791</f>
        <v>2791</v>
      </c>
      <c r="R62" s="67" t="s">
        <v>50</v>
      </c>
      <c r="S62" s="68">
        <f>2995.21</f>
        <v>2995.21</v>
      </c>
      <c r="T62" s="65">
        <f>27830</f>
        <v>27830</v>
      </c>
      <c r="U62" s="65" t="str">
        <f>"－"</f>
        <v>－</v>
      </c>
      <c r="V62" s="65">
        <f>83178297</f>
        <v>83178297</v>
      </c>
      <c r="W62" s="65" t="str">
        <f>"－"</f>
        <v>－</v>
      </c>
      <c r="X62" s="69">
        <f>19</f>
        <v>19</v>
      </c>
    </row>
    <row r="63" spans="1:24">
      <c r="A63" s="60" t="s">
        <v>916</v>
      </c>
      <c r="B63" s="60" t="s">
        <v>230</v>
      </c>
      <c r="C63" s="60" t="s">
        <v>231</v>
      </c>
      <c r="D63" s="60" t="s">
        <v>232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9520</f>
        <v>9520</v>
      </c>
      <c r="L63" s="67" t="s">
        <v>833</v>
      </c>
      <c r="M63" s="66">
        <f>12250</f>
        <v>12250</v>
      </c>
      <c r="N63" s="67" t="s">
        <v>50</v>
      </c>
      <c r="O63" s="66">
        <f>9460</f>
        <v>9460</v>
      </c>
      <c r="P63" s="67" t="s">
        <v>833</v>
      </c>
      <c r="Q63" s="66">
        <f>11750</f>
        <v>11750</v>
      </c>
      <c r="R63" s="67" t="s">
        <v>50</v>
      </c>
      <c r="S63" s="68">
        <f>11051.05</f>
        <v>11051.05</v>
      </c>
      <c r="T63" s="65">
        <f>19370</f>
        <v>19370</v>
      </c>
      <c r="U63" s="65">
        <f>10</f>
        <v>10</v>
      </c>
      <c r="V63" s="65">
        <f>215676200</f>
        <v>215676200</v>
      </c>
      <c r="W63" s="65">
        <f>117500</f>
        <v>117500</v>
      </c>
      <c r="X63" s="69">
        <f>19</f>
        <v>19</v>
      </c>
    </row>
    <row r="64" spans="1:24">
      <c r="A64" s="60" t="s">
        <v>916</v>
      </c>
      <c r="B64" s="60" t="s">
        <v>233</v>
      </c>
      <c r="C64" s="60" t="s">
        <v>234</v>
      </c>
      <c r="D64" s="60" t="s">
        <v>235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6520</f>
        <v>6520</v>
      </c>
      <c r="L64" s="67" t="s">
        <v>818</v>
      </c>
      <c r="M64" s="66">
        <f>6520</f>
        <v>6520</v>
      </c>
      <c r="N64" s="67" t="s">
        <v>818</v>
      </c>
      <c r="O64" s="66">
        <f>5640</f>
        <v>5640</v>
      </c>
      <c r="P64" s="67" t="s">
        <v>91</v>
      </c>
      <c r="Q64" s="66">
        <f>5730</f>
        <v>5730</v>
      </c>
      <c r="R64" s="67" t="s">
        <v>50</v>
      </c>
      <c r="S64" s="68">
        <f>5945</f>
        <v>5945</v>
      </c>
      <c r="T64" s="65">
        <f>3020</f>
        <v>3020</v>
      </c>
      <c r="U64" s="65" t="str">
        <f>"－"</f>
        <v>－</v>
      </c>
      <c r="V64" s="65">
        <f>17707300</f>
        <v>17707300</v>
      </c>
      <c r="W64" s="65" t="str">
        <f>"－"</f>
        <v>－</v>
      </c>
      <c r="X64" s="69">
        <f>14</f>
        <v>14</v>
      </c>
    </row>
    <row r="65" spans="1:24">
      <c r="A65" s="60" t="s">
        <v>916</v>
      </c>
      <c r="B65" s="60" t="s">
        <v>236</v>
      </c>
      <c r="C65" s="60" t="s">
        <v>237</v>
      </c>
      <c r="D65" s="60" t="s">
        <v>238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3495</f>
        <v>3495</v>
      </c>
      <c r="L65" s="67" t="s">
        <v>833</v>
      </c>
      <c r="M65" s="66">
        <f>3495</f>
        <v>3495</v>
      </c>
      <c r="N65" s="67" t="s">
        <v>833</v>
      </c>
      <c r="O65" s="66">
        <f>2718</f>
        <v>2718</v>
      </c>
      <c r="P65" s="67" t="s">
        <v>91</v>
      </c>
      <c r="Q65" s="66">
        <f>2810</f>
        <v>2810</v>
      </c>
      <c r="R65" s="67" t="s">
        <v>50</v>
      </c>
      <c r="S65" s="68">
        <f>3005.21</f>
        <v>3005.21</v>
      </c>
      <c r="T65" s="65">
        <f>73880</f>
        <v>73880</v>
      </c>
      <c r="U65" s="65">
        <f>10</f>
        <v>10</v>
      </c>
      <c r="V65" s="65">
        <f>219244740</f>
        <v>219244740</v>
      </c>
      <c r="W65" s="65">
        <f>29940</f>
        <v>29940</v>
      </c>
      <c r="X65" s="69">
        <f>19</f>
        <v>19</v>
      </c>
    </row>
    <row r="66" spans="1:24">
      <c r="A66" s="60" t="s">
        <v>916</v>
      </c>
      <c r="B66" s="60" t="s">
        <v>239</v>
      </c>
      <c r="C66" s="60" t="s">
        <v>240</v>
      </c>
      <c r="D66" s="60" t="s">
        <v>241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f>19640</f>
        <v>19640</v>
      </c>
      <c r="L66" s="67" t="s">
        <v>833</v>
      </c>
      <c r="M66" s="66">
        <f>23300</f>
        <v>23300</v>
      </c>
      <c r="N66" s="67" t="s">
        <v>50</v>
      </c>
      <c r="O66" s="66">
        <f>19640</f>
        <v>19640</v>
      </c>
      <c r="P66" s="67" t="s">
        <v>833</v>
      </c>
      <c r="Q66" s="66">
        <f>22680</f>
        <v>22680</v>
      </c>
      <c r="R66" s="67" t="s">
        <v>50</v>
      </c>
      <c r="S66" s="68">
        <f>22046.32</f>
        <v>22046.32</v>
      </c>
      <c r="T66" s="65">
        <f>10463</f>
        <v>10463</v>
      </c>
      <c r="U66" s="65">
        <f>1</f>
        <v>1</v>
      </c>
      <c r="V66" s="65">
        <f>232798710</f>
        <v>232798710</v>
      </c>
      <c r="W66" s="65">
        <f>23100</f>
        <v>23100</v>
      </c>
      <c r="X66" s="69">
        <f>19</f>
        <v>19</v>
      </c>
    </row>
    <row r="67" spans="1:24">
      <c r="A67" s="60" t="s">
        <v>916</v>
      </c>
      <c r="B67" s="60" t="s">
        <v>242</v>
      </c>
      <c r="C67" s="60" t="s">
        <v>243</v>
      </c>
      <c r="D67" s="60" t="s">
        <v>244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4270</f>
        <v>4270</v>
      </c>
      <c r="L67" s="67" t="s">
        <v>833</v>
      </c>
      <c r="M67" s="66">
        <f>4270</f>
        <v>4270</v>
      </c>
      <c r="N67" s="67" t="s">
        <v>833</v>
      </c>
      <c r="O67" s="66">
        <f>3710</f>
        <v>3710</v>
      </c>
      <c r="P67" s="67" t="s">
        <v>91</v>
      </c>
      <c r="Q67" s="66">
        <f>3785</f>
        <v>3785</v>
      </c>
      <c r="R67" s="67" t="s">
        <v>50</v>
      </c>
      <c r="S67" s="68">
        <f>3933.68</f>
        <v>3933.68</v>
      </c>
      <c r="T67" s="65">
        <f>2670</f>
        <v>2670</v>
      </c>
      <c r="U67" s="65" t="str">
        <f>"－"</f>
        <v>－</v>
      </c>
      <c r="V67" s="65">
        <f>10363030</f>
        <v>10363030</v>
      </c>
      <c r="W67" s="65" t="str">
        <f>"－"</f>
        <v>－</v>
      </c>
      <c r="X67" s="69">
        <f>19</f>
        <v>19</v>
      </c>
    </row>
    <row r="68" spans="1:24">
      <c r="A68" s="60" t="s">
        <v>916</v>
      </c>
      <c r="B68" s="60" t="s">
        <v>246</v>
      </c>
      <c r="C68" s="60" t="s">
        <v>247</v>
      </c>
      <c r="D68" s="60" t="s">
        <v>248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f>1367</f>
        <v>1367</v>
      </c>
      <c r="L68" s="67" t="s">
        <v>833</v>
      </c>
      <c r="M68" s="66">
        <f>1425</f>
        <v>1425</v>
      </c>
      <c r="N68" s="67" t="s">
        <v>833</v>
      </c>
      <c r="O68" s="66">
        <f>1080</f>
        <v>1080</v>
      </c>
      <c r="P68" s="67" t="s">
        <v>91</v>
      </c>
      <c r="Q68" s="66">
        <f>1115</f>
        <v>1115</v>
      </c>
      <c r="R68" s="67" t="s">
        <v>50</v>
      </c>
      <c r="S68" s="68">
        <f>1196.79</f>
        <v>1196.79</v>
      </c>
      <c r="T68" s="65">
        <f>103011</f>
        <v>103011</v>
      </c>
      <c r="U68" s="65">
        <f>1</f>
        <v>1</v>
      </c>
      <c r="V68" s="65">
        <f>122079674</f>
        <v>122079674</v>
      </c>
      <c r="W68" s="65">
        <f>1339</f>
        <v>1339</v>
      </c>
      <c r="X68" s="69">
        <f>19</f>
        <v>19</v>
      </c>
    </row>
    <row r="69" spans="1:24">
      <c r="A69" s="60" t="s">
        <v>916</v>
      </c>
      <c r="B69" s="60" t="s">
        <v>249</v>
      </c>
      <c r="C69" s="60" t="s">
        <v>250</v>
      </c>
      <c r="D69" s="60" t="s">
        <v>251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10</v>
      </c>
      <c r="K69" s="66">
        <f>1620</f>
        <v>1620</v>
      </c>
      <c r="L69" s="67" t="s">
        <v>833</v>
      </c>
      <c r="M69" s="66">
        <f>1820</f>
        <v>1820</v>
      </c>
      <c r="N69" s="67" t="s">
        <v>816</v>
      </c>
      <c r="O69" s="66">
        <f>1620</f>
        <v>1620</v>
      </c>
      <c r="P69" s="67" t="s">
        <v>833</v>
      </c>
      <c r="Q69" s="66">
        <f>1779</f>
        <v>1779</v>
      </c>
      <c r="R69" s="67" t="s">
        <v>50</v>
      </c>
      <c r="S69" s="68">
        <f>1743.16</f>
        <v>1743.16</v>
      </c>
      <c r="T69" s="65">
        <f>740450</f>
        <v>740450</v>
      </c>
      <c r="U69" s="65" t="str">
        <f>"－"</f>
        <v>－</v>
      </c>
      <c r="V69" s="65">
        <f>1286401470</f>
        <v>1286401470</v>
      </c>
      <c r="W69" s="65" t="str">
        <f>"－"</f>
        <v>－</v>
      </c>
      <c r="X69" s="69">
        <f>19</f>
        <v>19</v>
      </c>
    </row>
    <row r="70" spans="1:24">
      <c r="A70" s="60" t="s">
        <v>916</v>
      </c>
      <c r="B70" s="60" t="s">
        <v>252</v>
      </c>
      <c r="C70" s="60" t="s">
        <v>253</v>
      </c>
      <c r="D70" s="60" t="s">
        <v>254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14540</f>
        <v>14540</v>
      </c>
      <c r="L70" s="67" t="s">
        <v>833</v>
      </c>
      <c r="M70" s="66">
        <f>16770</f>
        <v>16770</v>
      </c>
      <c r="N70" s="67" t="s">
        <v>50</v>
      </c>
      <c r="O70" s="66">
        <f>14540</f>
        <v>14540</v>
      </c>
      <c r="P70" s="67" t="s">
        <v>833</v>
      </c>
      <c r="Q70" s="66">
        <f>16170</f>
        <v>16170</v>
      </c>
      <c r="R70" s="67" t="s">
        <v>50</v>
      </c>
      <c r="S70" s="68">
        <f>15744.21</f>
        <v>15744.21</v>
      </c>
      <c r="T70" s="65">
        <f>120629</f>
        <v>120629</v>
      </c>
      <c r="U70" s="65" t="str">
        <f>"－"</f>
        <v>－</v>
      </c>
      <c r="V70" s="65">
        <f>1897363970</f>
        <v>1897363970</v>
      </c>
      <c r="W70" s="65" t="str">
        <f>"－"</f>
        <v>－</v>
      </c>
      <c r="X70" s="69">
        <f>19</f>
        <v>19</v>
      </c>
    </row>
    <row r="71" spans="1:24">
      <c r="A71" s="60" t="s">
        <v>916</v>
      </c>
      <c r="B71" s="60" t="s">
        <v>255</v>
      </c>
      <c r="C71" s="60" t="s">
        <v>256</v>
      </c>
      <c r="D71" s="60" t="s">
        <v>257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1631</f>
        <v>1631</v>
      </c>
      <c r="L71" s="67" t="s">
        <v>833</v>
      </c>
      <c r="M71" s="66">
        <f>1836</f>
        <v>1836</v>
      </c>
      <c r="N71" s="67" t="s">
        <v>91</v>
      </c>
      <c r="O71" s="66">
        <f>1631</f>
        <v>1631</v>
      </c>
      <c r="P71" s="67" t="s">
        <v>833</v>
      </c>
      <c r="Q71" s="66">
        <f>1793</f>
        <v>1793</v>
      </c>
      <c r="R71" s="67" t="s">
        <v>50</v>
      </c>
      <c r="S71" s="68">
        <f>1755.42</f>
        <v>1755.42</v>
      </c>
      <c r="T71" s="65">
        <f>4168244</f>
        <v>4168244</v>
      </c>
      <c r="U71" s="65">
        <f>519391</f>
        <v>519391</v>
      </c>
      <c r="V71" s="65">
        <f>7294993269</f>
        <v>7294993269</v>
      </c>
      <c r="W71" s="65">
        <f>920776179</f>
        <v>920776179</v>
      </c>
      <c r="X71" s="69">
        <f>19</f>
        <v>19</v>
      </c>
    </row>
    <row r="72" spans="1:24">
      <c r="A72" s="60" t="s">
        <v>916</v>
      </c>
      <c r="B72" s="60" t="s">
        <v>258</v>
      </c>
      <c r="C72" s="60" t="s">
        <v>259</v>
      </c>
      <c r="D72" s="60" t="s">
        <v>260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1695</f>
        <v>1695</v>
      </c>
      <c r="L72" s="67" t="s">
        <v>833</v>
      </c>
      <c r="M72" s="66">
        <f>1783</f>
        <v>1783</v>
      </c>
      <c r="N72" s="67" t="s">
        <v>834</v>
      </c>
      <c r="O72" s="66">
        <f>1684</f>
        <v>1684</v>
      </c>
      <c r="P72" s="67" t="s">
        <v>833</v>
      </c>
      <c r="Q72" s="66">
        <f>1731</f>
        <v>1731</v>
      </c>
      <c r="R72" s="67" t="s">
        <v>50</v>
      </c>
      <c r="S72" s="68">
        <f>1733.89</f>
        <v>1733.89</v>
      </c>
      <c r="T72" s="65">
        <f>3275772</f>
        <v>3275772</v>
      </c>
      <c r="U72" s="65">
        <f>1930503</f>
        <v>1930503</v>
      </c>
      <c r="V72" s="65">
        <f>5704540250</f>
        <v>5704540250</v>
      </c>
      <c r="W72" s="65">
        <f>3373301605</f>
        <v>3373301605</v>
      </c>
      <c r="X72" s="69">
        <f>19</f>
        <v>19</v>
      </c>
    </row>
    <row r="73" spans="1:24">
      <c r="A73" s="60" t="s">
        <v>916</v>
      </c>
      <c r="B73" s="60" t="s">
        <v>261</v>
      </c>
      <c r="C73" s="60" t="s">
        <v>262</v>
      </c>
      <c r="D73" s="60" t="s">
        <v>263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1672</f>
        <v>1672</v>
      </c>
      <c r="L73" s="67" t="s">
        <v>833</v>
      </c>
      <c r="M73" s="66">
        <f>1845</f>
        <v>1845</v>
      </c>
      <c r="N73" s="67" t="s">
        <v>816</v>
      </c>
      <c r="O73" s="66">
        <f>1665</f>
        <v>1665</v>
      </c>
      <c r="P73" s="67" t="s">
        <v>833</v>
      </c>
      <c r="Q73" s="66">
        <f>1803</f>
        <v>1803</v>
      </c>
      <c r="R73" s="67" t="s">
        <v>50</v>
      </c>
      <c r="S73" s="68">
        <f>1783.63</f>
        <v>1783.63</v>
      </c>
      <c r="T73" s="65">
        <f>489702</f>
        <v>489702</v>
      </c>
      <c r="U73" s="65">
        <f>447780</f>
        <v>447780</v>
      </c>
      <c r="V73" s="65">
        <f>882381226</f>
        <v>882381226</v>
      </c>
      <c r="W73" s="65">
        <f>808354044</f>
        <v>808354044</v>
      </c>
      <c r="X73" s="69">
        <f>19</f>
        <v>19</v>
      </c>
    </row>
    <row r="74" spans="1:24">
      <c r="A74" s="60" t="s">
        <v>916</v>
      </c>
      <c r="B74" s="60" t="s">
        <v>264</v>
      </c>
      <c r="C74" s="60" t="s">
        <v>265</v>
      </c>
      <c r="D74" s="60" t="s">
        <v>266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1712</f>
        <v>1712</v>
      </c>
      <c r="L74" s="67" t="s">
        <v>833</v>
      </c>
      <c r="M74" s="66">
        <f>1942</f>
        <v>1942</v>
      </c>
      <c r="N74" s="67" t="s">
        <v>816</v>
      </c>
      <c r="O74" s="66">
        <f>1712</f>
        <v>1712</v>
      </c>
      <c r="P74" s="67" t="s">
        <v>833</v>
      </c>
      <c r="Q74" s="66">
        <f>1865</f>
        <v>1865</v>
      </c>
      <c r="R74" s="67" t="s">
        <v>50</v>
      </c>
      <c r="S74" s="68">
        <f>1851.63</f>
        <v>1851.63</v>
      </c>
      <c r="T74" s="65">
        <f>332139</f>
        <v>332139</v>
      </c>
      <c r="U74" s="65">
        <f>82000</f>
        <v>82000</v>
      </c>
      <c r="V74" s="65">
        <f>613946539</f>
        <v>613946539</v>
      </c>
      <c r="W74" s="65">
        <f>151136660</f>
        <v>151136660</v>
      </c>
      <c r="X74" s="69">
        <f>19</f>
        <v>19</v>
      </c>
    </row>
    <row r="75" spans="1:24">
      <c r="A75" s="60" t="s">
        <v>916</v>
      </c>
      <c r="B75" s="60" t="s">
        <v>267</v>
      </c>
      <c r="C75" s="60" t="s">
        <v>268</v>
      </c>
      <c r="D75" s="60" t="s">
        <v>269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19350</f>
        <v>19350</v>
      </c>
      <c r="L75" s="67" t="s">
        <v>833</v>
      </c>
      <c r="M75" s="66">
        <f>21750</f>
        <v>21750</v>
      </c>
      <c r="N75" s="67" t="s">
        <v>816</v>
      </c>
      <c r="O75" s="66">
        <f>19350</f>
        <v>19350</v>
      </c>
      <c r="P75" s="67" t="s">
        <v>833</v>
      </c>
      <c r="Q75" s="66">
        <f>21450</f>
        <v>21450</v>
      </c>
      <c r="R75" s="67" t="s">
        <v>816</v>
      </c>
      <c r="S75" s="68">
        <f>20808.33</f>
        <v>20808.330000000002</v>
      </c>
      <c r="T75" s="65">
        <f>2199</f>
        <v>2199</v>
      </c>
      <c r="U75" s="65" t="str">
        <f>"－"</f>
        <v>－</v>
      </c>
      <c r="V75" s="65">
        <f>46141110</f>
        <v>46141110</v>
      </c>
      <c r="W75" s="65" t="str">
        <f>"－"</f>
        <v>－</v>
      </c>
      <c r="X75" s="69">
        <f>12</f>
        <v>12</v>
      </c>
    </row>
    <row r="76" spans="1:24">
      <c r="A76" s="60" t="s">
        <v>916</v>
      </c>
      <c r="B76" s="60" t="s">
        <v>270</v>
      </c>
      <c r="C76" s="60" t="s">
        <v>271</v>
      </c>
      <c r="D76" s="60" t="s">
        <v>272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16310</f>
        <v>16310</v>
      </c>
      <c r="L76" s="67" t="s">
        <v>818</v>
      </c>
      <c r="M76" s="66">
        <f>18000</f>
        <v>18000</v>
      </c>
      <c r="N76" s="67" t="s">
        <v>816</v>
      </c>
      <c r="O76" s="66">
        <f>16310</f>
        <v>16310</v>
      </c>
      <c r="P76" s="67" t="s">
        <v>818</v>
      </c>
      <c r="Q76" s="66">
        <f>17890</f>
        <v>17890</v>
      </c>
      <c r="R76" s="67" t="s">
        <v>50</v>
      </c>
      <c r="S76" s="68">
        <f>17223.85</f>
        <v>17223.849999999999</v>
      </c>
      <c r="T76" s="65">
        <f>138</f>
        <v>138</v>
      </c>
      <c r="U76" s="65" t="str">
        <f>"－"</f>
        <v>－</v>
      </c>
      <c r="V76" s="65">
        <f>2377810</f>
        <v>2377810</v>
      </c>
      <c r="W76" s="65" t="str">
        <f>"－"</f>
        <v>－</v>
      </c>
      <c r="X76" s="69">
        <f>13</f>
        <v>13</v>
      </c>
    </row>
    <row r="77" spans="1:24">
      <c r="A77" s="60" t="s">
        <v>916</v>
      </c>
      <c r="B77" s="60" t="s">
        <v>273</v>
      </c>
      <c r="C77" s="60" t="s">
        <v>274</v>
      </c>
      <c r="D77" s="60" t="s">
        <v>275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1579</f>
        <v>1579</v>
      </c>
      <c r="L77" s="67" t="s">
        <v>833</v>
      </c>
      <c r="M77" s="66">
        <f>1794</f>
        <v>1794</v>
      </c>
      <c r="N77" s="67" t="s">
        <v>91</v>
      </c>
      <c r="O77" s="66">
        <f>1579</f>
        <v>1579</v>
      </c>
      <c r="P77" s="67" t="s">
        <v>833</v>
      </c>
      <c r="Q77" s="66">
        <f>1773</f>
        <v>1773</v>
      </c>
      <c r="R77" s="67" t="s">
        <v>50</v>
      </c>
      <c r="S77" s="68">
        <f>1714.37</f>
        <v>1714.37</v>
      </c>
      <c r="T77" s="65">
        <f>2005</f>
        <v>2005</v>
      </c>
      <c r="U77" s="65">
        <f>2</f>
        <v>2</v>
      </c>
      <c r="V77" s="65">
        <f>3420845</f>
        <v>3420845</v>
      </c>
      <c r="W77" s="65">
        <f>3408</f>
        <v>3408</v>
      </c>
      <c r="X77" s="69">
        <f>19</f>
        <v>19</v>
      </c>
    </row>
    <row r="78" spans="1:24">
      <c r="A78" s="60" t="s">
        <v>916</v>
      </c>
      <c r="B78" s="60" t="s">
        <v>276</v>
      </c>
      <c r="C78" s="60" t="s">
        <v>277</v>
      </c>
      <c r="D78" s="60" t="s">
        <v>278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2479</f>
        <v>2479</v>
      </c>
      <c r="L78" s="67" t="s">
        <v>833</v>
      </c>
      <c r="M78" s="66">
        <f>2495</f>
        <v>2495</v>
      </c>
      <c r="N78" s="67" t="s">
        <v>817</v>
      </c>
      <c r="O78" s="66">
        <f>2453</f>
        <v>2453</v>
      </c>
      <c r="P78" s="67" t="s">
        <v>834</v>
      </c>
      <c r="Q78" s="66">
        <f>2479</f>
        <v>2479</v>
      </c>
      <c r="R78" s="67" t="s">
        <v>50</v>
      </c>
      <c r="S78" s="68">
        <f>2474.47</f>
        <v>2474.4699999999998</v>
      </c>
      <c r="T78" s="65">
        <f>7647072</f>
        <v>7647072</v>
      </c>
      <c r="U78" s="65">
        <f>120802</f>
        <v>120802</v>
      </c>
      <c r="V78" s="65">
        <f>18905763229</f>
        <v>18905763229</v>
      </c>
      <c r="W78" s="65">
        <f>298584492</f>
        <v>298584492</v>
      </c>
      <c r="X78" s="69">
        <f>19</f>
        <v>19</v>
      </c>
    </row>
    <row r="79" spans="1:24">
      <c r="A79" s="60" t="s">
        <v>916</v>
      </c>
      <c r="B79" s="60" t="s">
        <v>279</v>
      </c>
      <c r="C79" s="60" t="s">
        <v>280</v>
      </c>
      <c r="D79" s="60" t="s">
        <v>281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f>1552</f>
        <v>1552</v>
      </c>
      <c r="L79" s="67" t="s">
        <v>833</v>
      </c>
      <c r="M79" s="66">
        <f>1764</f>
        <v>1764</v>
      </c>
      <c r="N79" s="67" t="s">
        <v>816</v>
      </c>
      <c r="O79" s="66">
        <f>1534</f>
        <v>1534</v>
      </c>
      <c r="P79" s="67" t="s">
        <v>818</v>
      </c>
      <c r="Q79" s="66">
        <f>1750</f>
        <v>1750</v>
      </c>
      <c r="R79" s="67" t="s">
        <v>50</v>
      </c>
      <c r="S79" s="68">
        <f>1678.63</f>
        <v>1678.63</v>
      </c>
      <c r="T79" s="65">
        <f>595</f>
        <v>595</v>
      </c>
      <c r="U79" s="65">
        <f>1</f>
        <v>1</v>
      </c>
      <c r="V79" s="65">
        <f>995533</f>
        <v>995533</v>
      </c>
      <c r="W79" s="65">
        <f>1750</f>
        <v>1750</v>
      </c>
      <c r="X79" s="69">
        <f>19</f>
        <v>19</v>
      </c>
    </row>
    <row r="80" spans="1:24">
      <c r="A80" s="60" t="s">
        <v>916</v>
      </c>
      <c r="B80" s="60" t="s">
        <v>282</v>
      </c>
      <c r="C80" s="60" t="s">
        <v>283</v>
      </c>
      <c r="D80" s="60" t="s">
        <v>284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10</v>
      </c>
      <c r="K80" s="66">
        <f>1559</f>
        <v>1559</v>
      </c>
      <c r="L80" s="67" t="s">
        <v>833</v>
      </c>
      <c r="M80" s="66">
        <f>1769</f>
        <v>1769</v>
      </c>
      <c r="N80" s="67" t="s">
        <v>91</v>
      </c>
      <c r="O80" s="66">
        <f>1559</f>
        <v>1559</v>
      </c>
      <c r="P80" s="67" t="s">
        <v>833</v>
      </c>
      <c r="Q80" s="66">
        <f>1744</f>
        <v>1744</v>
      </c>
      <c r="R80" s="67" t="s">
        <v>50</v>
      </c>
      <c r="S80" s="68">
        <f>1692.95</f>
        <v>1692.95</v>
      </c>
      <c r="T80" s="65">
        <f>19570</f>
        <v>19570</v>
      </c>
      <c r="U80" s="65" t="str">
        <f>"－"</f>
        <v>－</v>
      </c>
      <c r="V80" s="65">
        <f>32739430</f>
        <v>32739430</v>
      </c>
      <c r="W80" s="65" t="str">
        <f>"－"</f>
        <v>－</v>
      </c>
      <c r="X80" s="69">
        <f>19</f>
        <v>19</v>
      </c>
    </row>
    <row r="81" spans="1:24">
      <c r="A81" s="60" t="s">
        <v>916</v>
      </c>
      <c r="B81" s="60" t="s">
        <v>285</v>
      </c>
      <c r="C81" s="60" t="s">
        <v>286</v>
      </c>
      <c r="D81" s="60" t="s">
        <v>287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26000</f>
        <v>26000</v>
      </c>
      <c r="L81" s="67" t="s">
        <v>48</v>
      </c>
      <c r="M81" s="66">
        <f>29670</f>
        <v>29670</v>
      </c>
      <c r="N81" s="67" t="s">
        <v>816</v>
      </c>
      <c r="O81" s="66">
        <f>25900</f>
        <v>25900</v>
      </c>
      <c r="P81" s="67" t="s">
        <v>61</v>
      </c>
      <c r="Q81" s="66">
        <f>29650</f>
        <v>29650</v>
      </c>
      <c r="R81" s="67" t="s">
        <v>50</v>
      </c>
      <c r="S81" s="68">
        <f>27926</f>
        <v>27926</v>
      </c>
      <c r="T81" s="65">
        <f>280</f>
        <v>280</v>
      </c>
      <c r="U81" s="65" t="str">
        <f>"－"</f>
        <v>－</v>
      </c>
      <c r="V81" s="65">
        <f>7869690</f>
        <v>7869690</v>
      </c>
      <c r="W81" s="65" t="str">
        <f>"－"</f>
        <v>－</v>
      </c>
      <c r="X81" s="69">
        <f>15</f>
        <v>15</v>
      </c>
    </row>
    <row r="82" spans="1:24">
      <c r="A82" s="60" t="s">
        <v>916</v>
      </c>
      <c r="B82" s="60" t="s">
        <v>288</v>
      </c>
      <c r="C82" s="60" t="s">
        <v>289</v>
      </c>
      <c r="D82" s="60" t="s">
        <v>290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21490</f>
        <v>21490</v>
      </c>
      <c r="L82" s="67" t="s">
        <v>833</v>
      </c>
      <c r="M82" s="66">
        <f>21660</f>
        <v>21660</v>
      </c>
      <c r="N82" s="67" t="s">
        <v>818</v>
      </c>
      <c r="O82" s="66">
        <f>21260</f>
        <v>21260</v>
      </c>
      <c r="P82" s="67" t="s">
        <v>119</v>
      </c>
      <c r="Q82" s="66">
        <f>21380</f>
        <v>21380</v>
      </c>
      <c r="R82" s="67" t="s">
        <v>50</v>
      </c>
      <c r="S82" s="68">
        <f>21442.63</f>
        <v>21442.63</v>
      </c>
      <c r="T82" s="65">
        <f>43353</f>
        <v>43353</v>
      </c>
      <c r="U82" s="65">
        <f>2000</f>
        <v>2000</v>
      </c>
      <c r="V82" s="65">
        <f>930803700</f>
        <v>930803700</v>
      </c>
      <c r="W82" s="65">
        <f>43006040</f>
        <v>43006040</v>
      </c>
      <c r="X82" s="69">
        <f>19</f>
        <v>19</v>
      </c>
    </row>
    <row r="83" spans="1:24">
      <c r="A83" s="60" t="s">
        <v>916</v>
      </c>
      <c r="B83" s="60" t="s">
        <v>291</v>
      </c>
      <c r="C83" s="60" t="s">
        <v>292</v>
      </c>
      <c r="D83" s="60" t="s">
        <v>293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</v>
      </c>
      <c r="K83" s="66">
        <f>19460</f>
        <v>19460</v>
      </c>
      <c r="L83" s="67" t="s">
        <v>833</v>
      </c>
      <c r="M83" s="66">
        <f>19700</f>
        <v>19700</v>
      </c>
      <c r="N83" s="67" t="s">
        <v>815</v>
      </c>
      <c r="O83" s="66">
        <f>19290</f>
        <v>19290</v>
      </c>
      <c r="P83" s="67" t="s">
        <v>834</v>
      </c>
      <c r="Q83" s="66">
        <f>19480</f>
        <v>19480</v>
      </c>
      <c r="R83" s="67" t="s">
        <v>50</v>
      </c>
      <c r="S83" s="68">
        <f>19451.58</f>
        <v>19451.580000000002</v>
      </c>
      <c r="T83" s="65">
        <f>427027</f>
        <v>427027</v>
      </c>
      <c r="U83" s="65">
        <f>2500</f>
        <v>2500</v>
      </c>
      <c r="V83" s="65">
        <f>8291773040</f>
        <v>8291773040</v>
      </c>
      <c r="W83" s="65">
        <f>48467700</f>
        <v>48467700</v>
      </c>
      <c r="X83" s="69">
        <f>19</f>
        <v>19</v>
      </c>
    </row>
    <row r="84" spans="1:24">
      <c r="A84" s="60" t="s">
        <v>916</v>
      </c>
      <c r="B84" s="60" t="s">
        <v>294</v>
      </c>
      <c r="C84" s="60" t="s">
        <v>295</v>
      </c>
      <c r="D84" s="60" t="s">
        <v>296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10</v>
      </c>
      <c r="K84" s="66">
        <f>1696</f>
        <v>1696</v>
      </c>
      <c r="L84" s="67" t="s">
        <v>833</v>
      </c>
      <c r="M84" s="66">
        <f>1793</f>
        <v>1793</v>
      </c>
      <c r="N84" s="67" t="s">
        <v>834</v>
      </c>
      <c r="O84" s="66">
        <f>1678</f>
        <v>1678</v>
      </c>
      <c r="P84" s="67" t="s">
        <v>833</v>
      </c>
      <c r="Q84" s="66">
        <f>1750</f>
        <v>1750</v>
      </c>
      <c r="R84" s="67" t="s">
        <v>50</v>
      </c>
      <c r="S84" s="68">
        <f>1742.05</f>
        <v>1742.05</v>
      </c>
      <c r="T84" s="65">
        <f>794020</f>
        <v>794020</v>
      </c>
      <c r="U84" s="65">
        <f>100050</f>
        <v>100050</v>
      </c>
      <c r="V84" s="65">
        <f>1382768990</f>
        <v>1382768990</v>
      </c>
      <c r="W84" s="65">
        <f>173649380</f>
        <v>173649380</v>
      </c>
      <c r="X84" s="69">
        <f>19</f>
        <v>19</v>
      </c>
    </row>
    <row r="85" spans="1:24">
      <c r="A85" s="60" t="s">
        <v>916</v>
      </c>
      <c r="B85" s="60" t="s">
        <v>297</v>
      </c>
      <c r="C85" s="60" t="s">
        <v>298</v>
      </c>
      <c r="D85" s="60" t="s">
        <v>299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f>27140</f>
        <v>27140</v>
      </c>
      <c r="L85" s="67" t="s">
        <v>833</v>
      </c>
      <c r="M85" s="66">
        <f>30100</f>
        <v>30100</v>
      </c>
      <c r="N85" s="67" t="s">
        <v>816</v>
      </c>
      <c r="O85" s="66">
        <f>27100</f>
        <v>27100</v>
      </c>
      <c r="P85" s="67" t="s">
        <v>833</v>
      </c>
      <c r="Q85" s="66">
        <f>28790</f>
        <v>28790</v>
      </c>
      <c r="R85" s="67" t="s">
        <v>50</v>
      </c>
      <c r="S85" s="68">
        <f>28850.53</f>
        <v>28850.53</v>
      </c>
      <c r="T85" s="65">
        <f>44478</f>
        <v>44478</v>
      </c>
      <c r="U85" s="65" t="str">
        <f>"－"</f>
        <v>－</v>
      </c>
      <c r="V85" s="65">
        <f>1282717240</f>
        <v>1282717240</v>
      </c>
      <c r="W85" s="65" t="str">
        <f>"－"</f>
        <v>－</v>
      </c>
      <c r="X85" s="69">
        <f>19</f>
        <v>19</v>
      </c>
    </row>
    <row r="86" spans="1:24">
      <c r="A86" s="60" t="s">
        <v>916</v>
      </c>
      <c r="B86" s="60" t="s">
        <v>300</v>
      </c>
      <c r="C86" s="60" t="s">
        <v>301</v>
      </c>
      <c r="D86" s="60" t="s">
        <v>302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10</v>
      </c>
      <c r="K86" s="66">
        <f>7850</f>
        <v>7850</v>
      </c>
      <c r="L86" s="67" t="s">
        <v>119</v>
      </c>
      <c r="M86" s="66">
        <f>7890</f>
        <v>7890</v>
      </c>
      <c r="N86" s="67" t="s">
        <v>834</v>
      </c>
      <c r="O86" s="66">
        <f>7620</f>
        <v>7620</v>
      </c>
      <c r="P86" s="67" t="s">
        <v>50</v>
      </c>
      <c r="Q86" s="66">
        <f>7620</f>
        <v>7620</v>
      </c>
      <c r="R86" s="67" t="s">
        <v>50</v>
      </c>
      <c r="S86" s="68">
        <f>7788.57</f>
        <v>7788.57</v>
      </c>
      <c r="T86" s="65">
        <f>340</f>
        <v>340</v>
      </c>
      <c r="U86" s="65" t="str">
        <f>"－"</f>
        <v>－</v>
      </c>
      <c r="V86" s="65">
        <f>2627600</f>
        <v>2627600</v>
      </c>
      <c r="W86" s="65" t="str">
        <f>"－"</f>
        <v>－</v>
      </c>
      <c r="X86" s="69">
        <f>7</f>
        <v>7</v>
      </c>
    </row>
    <row r="87" spans="1:24">
      <c r="A87" s="60" t="s">
        <v>916</v>
      </c>
      <c r="B87" s="60" t="s">
        <v>303</v>
      </c>
      <c r="C87" s="60" t="s">
        <v>304</v>
      </c>
      <c r="D87" s="60" t="s">
        <v>305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13660</f>
        <v>13660</v>
      </c>
      <c r="L87" s="67" t="s">
        <v>833</v>
      </c>
      <c r="M87" s="66">
        <f>14710</f>
        <v>14710</v>
      </c>
      <c r="N87" s="67" t="s">
        <v>91</v>
      </c>
      <c r="O87" s="66">
        <f>13660</f>
        <v>13660</v>
      </c>
      <c r="P87" s="67" t="s">
        <v>833</v>
      </c>
      <c r="Q87" s="66">
        <f>14600</f>
        <v>14600</v>
      </c>
      <c r="R87" s="67" t="s">
        <v>50</v>
      </c>
      <c r="S87" s="68">
        <f>14292.11</f>
        <v>14292.11</v>
      </c>
      <c r="T87" s="65">
        <f>1259</f>
        <v>1259</v>
      </c>
      <c r="U87" s="65" t="str">
        <f>"－"</f>
        <v>－</v>
      </c>
      <c r="V87" s="65">
        <f>18089090</f>
        <v>18089090</v>
      </c>
      <c r="W87" s="65" t="str">
        <f>"－"</f>
        <v>－</v>
      </c>
      <c r="X87" s="69">
        <f>19</f>
        <v>19</v>
      </c>
    </row>
    <row r="88" spans="1:24">
      <c r="A88" s="60" t="s">
        <v>916</v>
      </c>
      <c r="B88" s="60" t="s">
        <v>306</v>
      </c>
      <c r="C88" s="60" t="s">
        <v>307</v>
      </c>
      <c r="D88" s="60" t="s">
        <v>308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13720</f>
        <v>13720</v>
      </c>
      <c r="L88" s="67" t="s">
        <v>833</v>
      </c>
      <c r="M88" s="66">
        <f>14870</f>
        <v>14870</v>
      </c>
      <c r="N88" s="67" t="s">
        <v>91</v>
      </c>
      <c r="O88" s="66">
        <f>13720</f>
        <v>13720</v>
      </c>
      <c r="P88" s="67" t="s">
        <v>833</v>
      </c>
      <c r="Q88" s="66">
        <f>14450</f>
        <v>14450</v>
      </c>
      <c r="R88" s="67" t="s">
        <v>50</v>
      </c>
      <c r="S88" s="68">
        <f>14389.47</f>
        <v>14389.47</v>
      </c>
      <c r="T88" s="65">
        <f>6971</f>
        <v>6971</v>
      </c>
      <c r="U88" s="65">
        <f>1</f>
        <v>1</v>
      </c>
      <c r="V88" s="65">
        <f>100149700</f>
        <v>100149700</v>
      </c>
      <c r="W88" s="65">
        <f>14220</f>
        <v>14220</v>
      </c>
      <c r="X88" s="69">
        <f>19</f>
        <v>19</v>
      </c>
    </row>
    <row r="89" spans="1:24">
      <c r="A89" s="60" t="s">
        <v>916</v>
      </c>
      <c r="B89" s="60" t="s">
        <v>310</v>
      </c>
      <c r="C89" s="60" t="s">
        <v>311</v>
      </c>
      <c r="D89" s="60" t="s">
        <v>312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f>15760</f>
        <v>15760</v>
      </c>
      <c r="L89" s="67" t="s">
        <v>833</v>
      </c>
      <c r="M89" s="66">
        <f>17320</f>
        <v>17320</v>
      </c>
      <c r="N89" s="67" t="s">
        <v>816</v>
      </c>
      <c r="O89" s="66">
        <f>15760</f>
        <v>15760</v>
      </c>
      <c r="P89" s="67" t="s">
        <v>833</v>
      </c>
      <c r="Q89" s="66">
        <f>16680</f>
        <v>16680</v>
      </c>
      <c r="R89" s="67" t="s">
        <v>50</v>
      </c>
      <c r="S89" s="68">
        <f>16708.95</f>
        <v>16708.95</v>
      </c>
      <c r="T89" s="65">
        <f>3124</f>
        <v>3124</v>
      </c>
      <c r="U89" s="65">
        <f>1</f>
        <v>1</v>
      </c>
      <c r="V89" s="65">
        <f>52449350</f>
        <v>52449350</v>
      </c>
      <c r="W89" s="65">
        <f>16850</f>
        <v>16850</v>
      </c>
      <c r="X89" s="69">
        <f>19</f>
        <v>19</v>
      </c>
    </row>
    <row r="90" spans="1:24">
      <c r="A90" s="60" t="s">
        <v>916</v>
      </c>
      <c r="B90" s="60" t="s">
        <v>313</v>
      </c>
      <c r="C90" s="60" t="s">
        <v>314</v>
      </c>
      <c r="D90" s="60" t="s">
        <v>315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10</v>
      </c>
      <c r="K90" s="66">
        <f>9330</f>
        <v>9330</v>
      </c>
      <c r="L90" s="67" t="s">
        <v>833</v>
      </c>
      <c r="M90" s="66">
        <f>9900</f>
        <v>9900</v>
      </c>
      <c r="N90" s="67" t="s">
        <v>819</v>
      </c>
      <c r="O90" s="66">
        <f>9200</f>
        <v>9200</v>
      </c>
      <c r="P90" s="67" t="s">
        <v>833</v>
      </c>
      <c r="Q90" s="66">
        <f>9830</f>
        <v>9830</v>
      </c>
      <c r="R90" s="67" t="s">
        <v>50</v>
      </c>
      <c r="S90" s="68">
        <f>9658.42</f>
        <v>9658.42</v>
      </c>
      <c r="T90" s="65">
        <f>14110</f>
        <v>14110</v>
      </c>
      <c r="U90" s="65" t="str">
        <f>"－"</f>
        <v>－</v>
      </c>
      <c r="V90" s="65">
        <f>134365900</f>
        <v>134365900</v>
      </c>
      <c r="W90" s="65" t="str">
        <f>"－"</f>
        <v>－</v>
      </c>
      <c r="X90" s="69">
        <f>19</f>
        <v>19</v>
      </c>
    </row>
    <row r="91" spans="1:24">
      <c r="A91" s="60" t="s">
        <v>916</v>
      </c>
      <c r="B91" s="60" t="s">
        <v>316</v>
      </c>
      <c r="C91" s="60" t="s">
        <v>317</v>
      </c>
      <c r="D91" s="60" t="s">
        <v>318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2601</f>
        <v>2601</v>
      </c>
      <c r="L91" s="67" t="s">
        <v>833</v>
      </c>
      <c r="M91" s="66">
        <f>2689</f>
        <v>2689</v>
      </c>
      <c r="N91" s="67" t="s">
        <v>49</v>
      </c>
      <c r="O91" s="66">
        <f>2596</f>
        <v>2596</v>
      </c>
      <c r="P91" s="67" t="s">
        <v>833</v>
      </c>
      <c r="Q91" s="66">
        <f>2689</f>
        <v>2689</v>
      </c>
      <c r="R91" s="67" t="s">
        <v>50</v>
      </c>
      <c r="S91" s="68">
        <f>2653.89</f>
        <v>2653.89</v>
      </c>
      <c r="T91" s="65">
        <f>894419</f>
        <v>894419</v>
      </c>
      <c r="U91" s="65">
        <f>250368</f>
        <v>250368</v>
      </c>
      <c r="V91" s="65">
        <f>2379320961</f>
        <v>2379320961</v>
      </c>
      <c r="W91" s="65">
        <f>668356244</f>
        <v>668356244</v>
      </c>
      <c r="X91" s="69">
        <f>19</f>
        <v>19</v>
      </c>
    </row>
    <row r="92" spans="1:24">
      <c r="A92" s="60" t="s">
        <v>916</v>
      </c>
      <c r="B92" s="60" t="s">
        <v>319</v>
      </c>
      <c r="C92" s="60" t="s">
        <v>320</v>
      </c>
      <c r="D92" s="60" t="s">
        <v>321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2251</f>
        <v>2251</v>
      </c>
      <c r="L92" s="67" t="s">
        <v>833</v>
      </c>
      <c r="M92" s="66">
        <f>2340</f>
        <v>2340</v>
      </c>
      <c r="N92" s="67" t="s">
        <v>50</v>
      </c>
      <c r="O92" s="66">
        <f>2251</f>
        <v>2251</v>
      </c>
      <c r="P92" s="67" t="s">
        <v>833</v>
      </c>
      <c r="Q92" s="66">
        <f>2338</f>
        <v>2338</v>
      </c>
      <c r="R92" s="67" t="s">
        <v>50</v>
      </c>
      <c r="S92" s="68">
        <f>2320.68</f>
        <v>2320.6799999999998</v>
      </c>
      <c r="T92" s="65">
        <f>105328</f>
        <v>105328</v>
      </c>
      <c r="U92" s="65">
        <f>1</f>
        <v>1</v>
      </c>
      <c r="V92" s="65">
        <f>243156869</f>
        <v>243156869</v>
      </c>
      <c r="W92" s="65">
        <f>2321</f>
        <v>2321</v>
      </c>
      <c r="X92" s="69">
        <f>19</f>
        <v>19</v>
      </c>
    </row>
    <row r="93" spans="1:24">
      <c r="A93" s="60" t="s">
        <v>916</v>
      </c>
      <c r="B93" s="60" t="s">
        <v>322</v>
      </c>
      <c r="C93" s="60" t="s">
        <v>323</v>
      </c>
      <c r="D93" s="60" t="s">
        <v>324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11890</f>
        <v>11890</v>
      </c>
      <c r="L93" s="67" t="s">
        <v>833</v>
      </c>
      <c r="M93" s="66">
        <f>13550</f>
        <v>13550</v>
      </c>
      <c r="N93" s="67" t="s">
        <v>50</v>
      </c>
      <c r="O93" s="66">
        <f>11850</f>
        <v>11850</v>
      </c>
      <c r="P93" s="67" t="s">
        <v>833</v>
      </c>
      <c r="Q93" s="66">
        <f>13260</f>
        <v>13260</v>
      </c>
      <c r="R93" s="67" t="s">
        <v>50</v>
      </c>
      <c r="S93" s="68">
        <f>12932.11</f>
        <v>12932.11</v>
      </c>
      <c r="T93" s="65">
        <f>3435</f>
        <v>3435</v>
      </c>
      <c r="U93" s="65" t="str">
        <f>"－"</f>
        <v>－</v>
      </c>
      <c r="V93" s="65">
        <f>44497660</f>
        <v>44497660</v>
      </c>
      <c r="W93" s="65" t="str">
        <f>"－"</f>
        <v>－</v>
      </c>
      <c r="X93" s="69">
        <f>19</f>
        <v>19</v>
      </c>
    </row>
    <row r="94" spans="1:24">
      <c r="A94" s="60" t="s">
        <v>916</v>
      </c>
      <c r="B94" s="60" t="s">
        <v>325</v>
      </c>
      <c r="C94" s="60" t="s">
        <v>326</v>
      </c>
      <c r="D94" s="60" t="s">
        <v>327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7700</f>
        <v>7700</v>
      </c>
      <c r="L94" s="67" t="s">
        <v>833</v>
      </c>
      <c r="M94" s="66">
        <f>7970</f>
        <v>7970</v>
      </c>
      <c r="N94" s="67" t="s">
        <v>61</v>
      </c>
      <c r="O94" s="66">
        <f>7630</f>
        <v>7630</v>
      </c>
      <c r="P94" s="67" t="s">
        <v>91</v>
      </c>
      <c r="Q94" s="66">
        <f>7790</f>
        <v>7790</v>
      </c>
      <c r="R94" s="67" t="s">
        <v>50</v>
      </c>
      <c r="S94" s="68">
        <f>7820</f>
        <v>7820</v>
      </c>
      <c r="T94" s="65">
        <f>377</f>
        <v>377</v>
      </c>
      <c r="U94" s="65" t="str">
        <f>"－"</f>
        <v>－</v>
      </c>
      <c r="V94" s="65">
        <f>2947760</f>
        <v>2947760</v>
      </c>
      <c r="W94" s="65" t="str">
        <f>"－"</f>
        <v>－</v>
      </c>
      <c r="X94" s="69">
        <f>18</f>
        <v>18</v>
      </c>
    </row>
    <row r="95" spans="1:24">
      <c r="A95" s="60" t="s">
        <v>916</v>
      </c>
      <c r="B95" s="60" t="s">
        <v>328</v>
      </c>
      <c r="C95" s="60" t="s">
        <v>329</v>
      </c>
      <c r="D95" s="60" t="s">
        <v>330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6040</f>
        <v>6040</v>
      </c>
      <c r="L95" s="67" t="s">
        <v>833</v>
      </c>
      <c r="M95" s="66">
        <f>6260</f>
        <v>6260</v>
      </c>
      <c r="N95" s="67" t="s">
        <v>119</v>
      </c>
      <c r="O95" s="66">
        <f>5650</f>
        <v>5650</v>
      </c>
      <c r="P95" s="67" t="s">
        <v>50</v>
      </c>
      <c r="Q95" s="66">
        <f>5650</f>
        <v>5650</v>
      </c>
      <c r="R95" s="67" t="s">
        <v>50</v>
      </c>
      <c r="S95" s="68">
        <f>6010</f>
        <v>6010</v>
      </c>
      <c r="T95" s="65">
        <f>2916644</f>
        <v>2916644</v>
      </c>
      <c r="U95" s="65">
        <f>48810</f>
        <v>48810</v>
      </c>
      <c r="V95" s="65">
        <f>17499132396</f>
        <v>17499132396</v>
      </c>
      <c r="W95" s="65">
        <f>279057566</f>
        <v>279057566</v>
      </c>
      <c r="X95" s="69">
        <f>19</f>
        <v>19</v>
      </c>
    </row>
    <row r="96" spans="1:24">
      <c r="A96" s="60" t="s">
        <v>916</v>
      </c>
      <c r="B96" s="60" t="s">
        <v>331</v>
      </c>
      <c r="C96" s="60" t="s">
        <v>332</v>
      </c>
      <c r="D96" s="60" t="s">
        <v>333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2681</f>
        <v>2681</v>
      </c>
      <c r="L96" s="67" t="s">
        <v>833</v>
      </c>
      <c r="M96" s="66">
        <f>3090</f>
        <v>3090</v>
      </c>
      <c r="N96" s="67" t="s">
        <v>821</v>
      </c>
      <c r="O96" s="66">
        <f>2669</f>
        <v>2669</v>
      </c>
      <c r="P96" s="67" t="s">
        <v>833</v>
      </c>
      <c r="Q96" s="66">
        <f>2993</f>
        <v>2993</v>
      </c>
      <c r="R96" s="67" t="s">
        <v>50</v>
      </c>
      <c r="S96" s="68">
        <f>2895</f>
        <v>2895</v>
      </c>
      <c r="T96" s="65">
        <f>1426375</f>
        <v>1426375</v>
      </c>
      <c r="U96" s="65" t="str">
        <f>"－"</f>
        <v>－</v>
      </c>
      <c r="V96" s="65">
        <f>4173613916</f>
        <v>4173613916</v>
      </c>
      <c r="W96" s="65" t="str">
        <f>"－"</f>
        <v>－</v>
      </c>
      <c r="X96" s="69">
        <f>19</f>
        <v>19</v>
      </c>
    </row>
    <row r="97" spans="1:24">
      <c r="A97" s="60" t="s">
        <v>916</v>
      </c>
      <c r="B97" s="60" t="s">
        <v>334</v>
      </c>
      <c r="C97" s="60" t="s">
        <v>335</v>
      </c>
      <c r="D97" s="60" t="s">
        <v>336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7300</f>
        <v>7300</v>
      </c>
      <c r="L97" s="67" t="s">
        <v>833</v>
      </c>
      <c r="M97" s="66">
        <f>8110</f>
        <v>8110</v>
      </c>
      <c r="N97" s="67" t="s">
        <v>119</v>
      </c>
      <c r="O97" s="66">
        <f>6740</f>
        <v>6740</v>
      </c>
      <c r="P97" s="67" t="s">
        <v>50</v>
      </c>
      <c r="Q97" s="66">
        <f>6770</f>
        <v>6770</v>
      </c>
      <c r="R97" s="67" t="s">
        <v>50</v>
      </c>
      <c r="S97" s="68">
        <f>7525.26</f>
        <v>7525.26</v>
      </c>
      <c r="T97" s="65">
        <f>395647</f>
        <v>395647</v>
      </c>
      <c r="U97" s="65">
        <f>3</f>
        <v>3</v>
      </c>
      <c r="V97" s="65">
        <f>2953648420</f>
        <v>2953648420</v>
      </c>
      <c r="W97" s="65">
        <f>22520</f>
        <v>22520</v>
      </c>
      <c r="X97" s="69">
        <f>19</f>
        <v>19</v>
      </c>
    </row>
    <row r="98" spans="1:24">
      <c r="A98" s="60" t="s">
        <v>916</v>
      </c>
      <c r="B98" s="60" t="s">
        <v>337</v>
      </c>
      <c r="C98" s="60" t="s">
        <v>338</v>
      </c>
      <c r="D98" s="60" t="s">
        <v>339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66200</f>
        <v>66200</v>
      </c>
      <c r="L98" s="67" t="s">
        <v>833</v>
      </c>
      <c r="M98" s="66">
        <f>73000</f>
        <v>73000</v>
      </c>
      <c r="N98" s="67" t="s">
        <v>61</v>
      </c>
      <c r="O98" s="66">
        <f>66200</f>
        <v>66200</v>
      </c>
      <c r="P98" s="67" t="s">
        <v>833</v>
      </c>
      <c r="Q98" s="66">
        <f>70100</f>
        <v>70100</v>
      </c>
      <c r="R98" s="67" t="s">
        <v>50</v>
      </c>
      <c r="S98" s="68">
        <f>69952.63</f>
        <v>69952.63</v>
      </c>
      <c r="T98" s="65">
        <f>1982</f>
        <v>1982</v>
      </c>
      <c r="U98" s="65" t="str">
        <f>"－"</f>
        <v>－</v>
      </c>
      <c r="V98" s="65">
        <f>138897500</f>
        <v>138897500</v>
      </c>
      <c r="W98" s="65" t="str">
        <f>"－"</f>
        <v>－</v>
      </c>
      <c r="X98" s="69">
        <f>19</f>
        <v>19</v>
      </c>
    </row>
    <row r="99" spans="1:24">
      <c r="A99" s="60" t="s">
        <v>916</v>
      </c>
      <c r="B99" s="60" t="s">
        <v>340</v>
      </c>
      <c r="C99" s="60" t="s">
        <v>341</v>
      </c>
      <c r="D99" s="60" t="s">
        <v>342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</v>
      </c>
      <c r="K99" s="66">
        <f>11680</f>
        <v>11680</v>
      </c>
      <c r="L99" s="67" t="s">
        <v>833</v>
      </c>
      <c r="M99" s="66">
        <f>13010</f>
        <v>13010</v>
      </c>
      <c r="N99" s="67" t="s">
        <v>119</v>
      </c>
      <c r="O99" s="66">
        <f>11660</f>
        <v>11660</v>
      </c>
      <c r="P99" s="67" t="s">
        <v>833</v>
      </c>
      <c r="Q99" s="66">
        <f>12860</f>
        <v>12860</v>
      </c>
      <c r="R99" s="67" t="s">
        <v>50</v>
      </c>
      <c r="S99" s="68">
        <f>12608.95</f>
        <v>12608.95</v>
      </c>
      <c r="T99" s="65">
        <f>2391939</f>
        <v>2391939</v>
      </c>
      <c r="U99" s="65">
        <f>25951</f>
        <v>25951</v>
      </c>
      <c r="V99" s="65">
        <f>30004286583</f>
        <v>30004286583</v>
      </c>
      <c r="W99" s="65">
        <f>331791893</f>
        <v>331791893</v>
      </c>
      <c r="X99" s="69">
        <f>19</f>
        <v>19</v>
      </c>
    </row>
    <row r="100" spans="1:24">
      <c r="A100" s="60" t="s">
        <v>916</v>
      </c>
      <c r="B100" s="60" t="s">
        <v>343</v>
      </c>
      <c r="C100" s="60" t="s">
        <v>344</v>
      </c>
      <c r="D100" s="60" t="s">
        <v>345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</v>
      </c>
      <c r="K100" s="66">
        <f>26870</f>
        <v>26870</v>
      </c>
      <c r="L100" s="67" t="s">
        <v>833</v>
      </c>
      <c r="M100" s="66">
        <f>30750</f>
        <v>30750</v>
      </c>
      <c r="N100" s="67" t="s">
        <v>816</v>
      </c>
      <c r="O100" s="66">
        <f>26830</f>
        <v>26830</v>
      </c>
      <c r="P100" s="67" t="s">
        <v>833</v>
      </c>
      <c r="Q100" s="66">
        <f>30000</f>
        <v>30000</v>
      </c>
      <c r="R100" s="67" t="s">
        <v>50</v>
      </c>
      <c r="S100" s="68">
        <f>29549.47</f>
        <v>29549.47</v>
      </c>
      <c r="T100" s="65">
        <f>518752</f>
        <v>518752</v>
      </c>
      <c r="U100" s="65">
        <f>88313</f>
        <v>88313</v>
      </c>
      <c r="V100" s="65">
        <f>15141374834</f>
        <v>15141374834</v>
      </c>
      <c r="W100" s="65">
        <f>2548834414</f>
        <v>2548834414</v>
      </c>
      <c r="X100" s="69">
        <f>19</f>
        <v>19</v>
      </c>
    </row>
    <row r="101" spans="1:24">
      <c r="A101" s="60" t="s">
        <v>916</v>
      </c>
      <c r="B101" s="60" t="s">
        <v>346</v>
      </c>
      <c r="C101" s="60" t="s">
        <v>347</v>
      </c>
      <c r="D101" s="60" t="s">
        <v>348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3720</f>
        <v>3720</v>
      </c>
      <c r="L101" s="67" t="s">
        <v>833</v>
      </c>
      <c r="M101" s="66">
        <f>4170</f>
        <v>4170</v>
      </c>
      <c r="N101" s="67" t="s">
        <v>816</v>
      </c>
      <c r="O101" s="66">
        <f>3715</f>
        <v>3715</v>
      </c>
      <c r="P101" s="67" t="s">
        <v>833</v>
      </c>
      <c r="Q101" s="66">
        <f>4100</f>
        <v>4100</v>
      </c>
      <c r="R101" s="67" t="s">
        <v>50</v>
      </c>
      <c r="S101" s="68">
        <f>4039.74</f>
        <v>4039.74</v>
      </c>
      <c r="T101" s="65">
        <f>2325060</f>
        <v>2325060</v>
      </c>
      <c r="U101" s="65">
        <f>141630</f>
        <v>141630</v>
      </c>
      <c r="V101" s="65">
        <f>9334380050</f>
        <v>9334380050</v>
      </c>
      <c r="W101" s="65">
        <f>578545900</f>
        <v>578545900</v>
      </c>
      <c r="X101" s="69">
        <f>19</f>
        <v>19</v>
      </c>
    </row>
    <row r="102" spans="1:24">
      <c r="A102" s="60" t="s">
        <v>916</v>
      </c>
      <c r="B102" s="60" t="s">
        <v>349</v>
      </c>
      <c r="C102" s="60" t="s">
        <v>350</v>
      </c>
      <c r="D102" s="60" t="s">
        <v>351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2448</f>
        <v>2448</v>
      </c>
      <c r="L102" s="67" t="s">
        <v>833</v>
      </c>
      <c r="M102" s="66">
        <f>2757</f>
        <v>2757</v>
      </c>
      <c r="N102" s="67" t="s">
        <v>816</v>
      </c>
      <c r="O102" s="66">
        <f>2443</f>
        <v>2443</v>
      </c>
      <c r="P102" s="67" t="s">
        <v>833</v>
      </c>
      <c r="Q102" s="66">
        <f>2724</f>
        <v>2724</v>
      </c>
      <c r="R102" s="67" t="s">
        <v>50</v>
      </c>
      <c r="S102" s="68">
        <f>2666.21</f>
        <v>2666.21</v>
      </c>
      <c r="T102" s="65">
        <f>183690</f>
        <v>183690</v>
      </c>
      <c r="U102" s="65">
        <f>18110</f>
        <v>18110</v>
      </c>
      <c r="V102" s="65">
        <f>492080120</f>
        <v>492080120</v>
      </c>
      <c r="W102" s="65">
        <f>49937940</f>
        <v>49937940</v>
      </c>
      <c r="X102" s="69">
        <f>19</f>
        <v>19</v>
      </c>
    </row>
    <row r="103" spans="1:24">
      <c r="A103" s="60" t="s">
        <v>916</v>
      </c>
      <c r="B103" s="60" t="s">
        <v>352</v>
      </c>
      <c r="C103" s="60" t="s">
        <v>353</v>
      </c>
      <c r="D103" s="60" t="s">
        <v>354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10</v>
      </c>
      <c r="K103" s="66">
        <f>4610</f>
        <v>4610</v>
      </c>
      <c r="L103" s="67" t="s">
        <v>833</v>
      </c>
      <c r="M103" s="66">
        <f>4985</f>
        <v>4985</v>
      </c>
      <c r="N103" s="67" t="s">
        <v>50</v>
      </c>
      <c r="O103" s="66">
        <f>4605</f>
        <v>4605</v>
      </c>
      <c r="P103" s="67" t="s">
        <v>833</v>
      </c>
      <c r="Q103" s="66">
        <f>4970</f>
        <v>4970</v>
      </c>
      <c r="R103" s="67" t="s">
        <v>50</v>
      </c>
      <c r="S103" s="68">
        <f>4792.37</f>
        <v>4792.37</v>
      </c>
      <c r="T103" s="65">
        <f>22270</f>
        <v>22270</v>
      </c>
      <c r="U103" s="65">
        <f>10</f>
        <v>10</v>
      </c>
      <c r="V103" s="65">
        <f>107372000</f>
        <v>107372000</v>
      </c>
      <c r="W103" s="65">
        <f>47850</f>
        <v>47850</v>
      </c>
      <c r="X103" s="69">
        <f>19</f>
        <v>19</v>
      </c>
    </row>
    <row r="104" spans="1:24">
      <c r="A104" s="60" t="s">
        <v>916</v>
      </c>
      <c r="B104" s="60" t="s">
        <v>355</v>
      </c>
      <c r="C104" s="60" t="s">
        <v>356</v>
      </c>
      <c r="D104" s="60" t="s">
        <v>357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f>9030</f>
        <v>9030</v>
      </c>
      <c r="L104" s="67" t="s">
        <v>833</v>
      </c>
      <c r="M104" s="66">
        <f>9060</f>
        <v>9060</v>
      </c>
      <c r="N104" s="67" t="s">
        <v>833</v>
      </c>
      <c r="O104" s="66">
        <f>5800</f>
        <v>5800</v>
      </c>
      <c r="P104" s="67" t="s">
        <v>50</v>
      </c>
      <c r="Q104" s="66">
        <f>5950</f>
        <v>5950</v>
      </c>
      <c r="R104" s="67" t="s">
        <v>50</v>
      </c>
      <c r="S104" s="68">
        <f>6637.89</f>
        <v>6637.89</v>
      </c>
      <c r="T104" s="65">
        <f>8784305</f>
        <v>8784305</v>
      </c>
      <c r="U104" s="65">
        <f>207216</f>
        <v>207216</v>
      </c>
      <c r="V104" s="65">
        <f>62361258685</f>
        <v>62361258685</v>
      </c>
      <c r="W104" s="65">
        <f>1809900805</f>
        <v>1809900805</v>
      </c>
      <c r="X104" s="69">
        <f>19</f>
        <v>19</v>
      </c>
    </row>
    <row r="105" spans="1:24">
      <c r="A105" s="60" t="s">
        <v>916</v>
      </c>
      <c r="B105" s="60" t="s">
        <v>358</v>
      </c>
      <c r="C105" s="60" t="s">
        <v>359</v>
      </c>
      <c r="D105" s="60" t="s">
        <v>360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2151</f>
        <v>2151</v>
      </c>
      <c r="L105" s="67" t="s">
        <v>833</v>
      </c>
      <c r="M105" s="66">
        <f>2418</f>
        <v>2418</v>
      </c>
      <c r="N105" s="67" t="s">
        <v>816</v>
      </c>
      <c r="O105" s="66">
        <f>2139</f>
        <v>2139</v>
      </c>
      <c r="P105" s="67" t="s">
        <v>833</v>
      </c>
      <c r="Q105" s="66">
        <f>2380</f>
        <v>2380</v>
      </c>
      <c r="R105" s="67" t="s">
        <v>50</v>
      </c>
      <c r="S105" s="68">
        <f>2331.47</f>
        <v>2331.4699999999998</v>
      </c>
      <c r="T105" s="65">
        <f>85330</f>
        <v>85330</v>
      </c>
      <c r="U105" s="65">
        <f>20</f>
        <v>20</v>
      </c>
      <c r="V105" s="65">
        <f>199877910</f>
        <v>199877910</v>
      </c>
      <c r="W105" s="65">
        <f>47090</f>
        <v>47090</v>
      </c>
      <c r="X105" s="69">
        <f>19</f>
        <v>19</v>
      </c>
    </row>
    <row r="106" spans="1:24">
      <c r="A106" s="60" t="s">
        <v>916</v>
      </c>
      <c r="B106" s="60" t="s">
        <v>361</v>
      </c>
      <c r="C106" s="60" t="s">
        <v>362</v>
      </c>
      <c r="D106" s="60" t="s">
        <v>363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10</v>
      </c>
      <c r="K106" s="66">
        <f>1289</f>
        <v>1289</v>
      </c>
      <c r="L106" s="67" t="s">
        <v>833</v>
      </c>
      <c r="M106" s="66">
        <f>1500</f>
        <v>1500</v>
      </c>
      <c r="N106" s="67" t="s">
        <v>816</v>
      </c>
      <c r="O106" s="66">
        <f>1288</f>
        <v>1288</v>
      </c>
      <c r="P106" s="67" t="s">
        <v>833</v>
      </c>
      <c r="Q106" s="66">
        <f>1485</f>
        <v>1485</v>
      </c>
      <c r="R106" s="67" t="s">
        <v>50</v>
      </c>
      <c r="S106" s="68">
        <f>1438.53</f>
        <v>1438.53</v>
      </c>
      <c r="T106" s="65">
        <f>226230</f>
        <v>226230</v>
      </c>
      <c r="U106" s="65">
        <f>40</f>
        <v>40</v>
      </c>
      <c r="V106" s="65">
        <f>325042080</f>
        <v>325042080</v>
      </c>
      <c r="W106" s="65">
        <f>58060</f>
        <v>58060</v>
      </c>
      <c r="X106" s="69">
        <f>19</f>
        <v>19</v>
      </c>
    </row>
    <row r="107" spans="1:24">
      <c r="A107" s="60" t="s">
        <v>916</v>
      </c>
      <c r="B107" s="60" t="s">
        <v>364</v>
      </c>
      <c r="C107" s="60" t="s">
        <v>365</v>
      </c>
      <c r="D107" s="60" t="s">
        <v>366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34050</f>
        <v>34050</v>
      </c>
      <c r="L107" s="67" t="s">
        <v>833</v>
      </c>
      <c r="M107" s="66">
        <f>38200</f>
        <v>38200</v>
      </c>
      <c r="N107" s="67" t="s">
        <v>816</v>
      </c>
      <c r="O107" s="66">
        <f>34000</f>
        <v>34000</v>
      </c>
      <c r="P107" s="67" t="s">
        <v>833</v>
      </c>
      <c r="Q107" s="66">
        <f>37550</f>
        <v>37550</v>
      </c>
      <c r="R107" s="67" t="s">
        <v>50</v>
      </c>
      <c r="S107" s="68">
        <f>36992.11</f>
        <v>36992.11</v>
      </c>
      <c r="T107" s="65">
        <f>240069</f>
        <v>240069</v>
      </c>
      <c r="U107" s="65">
        <f>28000</f>
        <v>28000</v>
      </c>
      <c r="V107" s="65">
        <f>8812214150</f>
        <v>8812214150</v>
      </c>
      <c r="W107" s="65">
        <f>1019676000</f>
        <v>1019676000</v>
      </c>
      <c r="X107" s="69">
        <f>19</f>
        <v>19</v>
      </c>
    </row>
    <row r="108" spans="1:24">
      <c r="A108" s="60" t="s">
        <v>916</v>
      </c>
      <c r="B108" s="60" t="s">
        <v>367</v>
      </c>
      <c r="C108" s="60" t="s">
        <v>368</v>
      </c>
      <c r="D108" s="60" t="s">
        <v>369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2634</f>
        <v>2634</v>
      </c>
      <c r="L108" s="67" t="s">
        <v>833</v>
      </c>
      <c r="M108" s="66">
        <f>2900</f>
        <v>2900</v>
      </c>
      <c r="N108" s="67" t="s">
        <v>834</v>
      </c>
      <c r="O108" s="66">
        <f>2616</f>
        <v>2616</v>
      </c>
      <c r="P108" s="67" t="s">
        <v>817</v>
      </c>
      <c r="Q108" s="66">
        <f>2830</f>
        <v>2830</v>
      </c>
      <c r="R108" s="67" t="s">
        <v>50</v>
      </c>
      <c r="S108" s="68">
        <f>2767.53</f>
        <v>2767.53</v>
      </c>
      <c r="T108" s="65">
        <f>21677</f>
        <v>21677</v>
      </c>
      <c r="U108" s="65">
        <f>3</f>
        <v>3</v>
      </c>
      <c r="V108" s="65">
        <f>59348325</f>
        <v>59348325</v>
      </c>
      <c r="W108" s="65">
        <f>8356</f>
        <v>8356</v>
      </c>
      <c r="X108" s="69">
        <f>19</f>
        <v>19</v>
      </c>
    </row>
    <row r="109" spans="1:24">
      <c r="A109" s="60" t="s">
        <v>916</v>
      </c>
      <c r="B109" s="60" t="s">
        <v>370</v>
      </c>
      <c r="C109" s="60" t="s">
        <v>371</v>
      </c>
      <c r="D109" s="60" t="s">
        <v>372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3645</f>
        <v>3645</v>
      </c>
      <c r="L109" s="67" t="s">
        <v>833</v>
      </c>
      <c r="M109" s="66">
        <f>4030</f>
        <v>4030</v>
      </c>
      <c r="N109" s="67" t="s">
        <v>91</v>
      </c>
      <c r="O109" s="66">
        <f>3595</f>
        <v>3595</v>
      </c>
      <c r="P109" s="67" t="s">
        <v>833</v>
      </c>
      <c r="Q109" s="66">
        <f>4020</f>
        <v>4020</v>
      </c>
      <c r="R109" s="67" t="s">
        <v>50</v>
      </c>
      <c r="S109" s="68">
        <f>3874.74</f>
        <v>3874.74</v>
      </c>
      <c r="T109" s="65">
        <f>4768</f>
        <v>4768</v>
      </c>
      <c r="U109" s="65">
        <f>2</f>
        <v>2</v>
      </c>
      <c r="V109" s="65">
        <f>18576405</f>
        <v>18576405</v>
      </c>
      <c r="W109" s="65">
        <f>7560</f>
        <v>7560</v>
      </c>
      <c r="X109" s="69">
        <f>19</f>
        <v>19</v>
      </c>
    </row>
    <row r="110" spans="1:24">
      <c r="A110" s="60" t="s">
        <v>916</v>
      </c>
      <c r="B110" s="60" t="s">
        <v>373</v>
      </c>
      <c r="C110" s="60" t="s">
        <v>374</v>
      </c>
      <c r="D110" s="60" t="s">
        <v>375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3305</f>
        <v>3305</v>
      </c>
      <c r="L110" s="67" t="s">
        <v>833</v>
      </c>
      <c r="M110" s="66">
        <f>3815</f>
        <v>3815</v>
      </c>
      <c r="N110" s="67" t="s">
        <v>119</v>
      </c>
      <c r="O110" s="66">
        <f>3235</f>
        <v>3235</v>
      </c>
      <c r="P110" s="67" t="s">
        <v>833</v>
      </c>
      <c r="Q110" s="66">
        <f>3690</f>
        <v>3690</v>
      </c>
      <c r="R110" s="67" t="s">
        <v>50</v>
      </c>
      <c r="S110" s="68">
        <f>3565.79</f>
        <v>3565.79</v>
      </c>
      <c r="T110" s="65">
        <f>715948</f>
        <v>715948</v>
      </c>
      <c r="U110" s="65">
        <f>6</f>
        <v>6</v>
      </c>
      <c r="V110" s="65">
        <f>2545476540</f>
        <v>2545476540</v>
      </c>
      <c r="W110" s="65">
        <f>21615</f>
        <v>21615</v>
      </c>
      <c r="X110" s="69">
        <f>19</f>
        <v>19</v>
      </c>
    </row>
    <row r="111" spans="1:24">
      <c r="A111" s="60" t="s">
        <v>916</v>
      </c>
      <c r="B111" s="60" t="s">
        <v>376</v>
      </c>
      <c r="C111" s="60" t="s">
        <v>845</v>
      </c>
      <c r="D111" s="60" t="s">
        <v>378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f>42900</f>
        <v>42900</v>
      </c>
      <c r="L111" s="67" t="s">
        <v>833</v>
      </c>
      <c r="M111" s="66">
        <f>44350</f>
        <v>44350</v>
      </c>
      <c r="N111" s="67" t="s">
        <v>61</v>
      </c>
      <c r="O111" s="66">
        <f>42800</f>
        <v>42800</v>
      </c>
      <c r="P111" s="67" t="s">
        <v>833</v>
      </c>
      <c r="Q111" s="66">
        <f>44050</f>
        <v>44050</v>
      </c>
      <c r="R111" s="67" t="s">
        <v>50</v>
      </c>
      <c r="S111" s="68">
        <f>43850</f>
        <v>43850</v>
      </c>
      <c r="T111" s="65">
        <f>13638</f>
        <v>13638</v>
      </c>
      <c r="U111" s="65">
        <f>3</f>
        <v>3</v>
      </c>
      <c r="V111" s="65">
        <f>597419450</f>
        <v>597419450</v>
      </c>
      <c r="W111" s="65">
        <f>132150</f>
        <v>132150</v>
      </c>
      <c r="X111" s="69">
        <f>19</f>
        <v>19</v>
      </c>
    </row>
    <row r="112" spans="1:24">
      <c r="A112" s="60" t="s">
        <v>916</v>
      </c>
      <c r="B112" s="60" t="s">
        <v>379</v>
      </c>
      <c r="C112" s="60" t="s">
        <v>380</v>
      </c>
      <c r="D112" s="60" t="s">
        <v>381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f>1157</f>
        <v>1157</v>
      </c>
      <c r="L112" s="67" t="s">
        <v>119</v>
      </c>
      <c r="M112" s="66">
        <f>1243</f>
        <v>1243</v>
      </c>
      <c r="N112" s="67" t="s">
        <v>816</v>
      </c>
      <c r="O112" s="66">
        <f>1132</f>
        <v>1132</v>
      </c>
      <c r="P112" s="67" t="s">
        <v>49</v>
      </c>
      <c r="Q112" s="66">
        <f>1240</f>
        <v>1240</v>
      </c>
      <c r="R112" s="67" t="s">
        <v>816</v>
      </c>
      <c r="S112" s="68">
        <f>1178.5</f>
        <v>1178.5</v>
      </c>
      <c r="T112" s="65">
        <f>170</f>
        <v>170</v>
      </c>
      <c r="U112" s="65" t="str">
        <f>"－"</f>
        <v>－</v>
      </c>
      <c r="V112" s="65">
        <f>203720</f>
        <v>203720</v>
      </c>
      <c r="W112" s="65" t="str">
        <f>"－"</f>
        <v>－</v>
      </c>
      <c r="X112" s="69">
        <f>4</f>
        <v>4</v>
      </c>
    </row>
    <row r="113" spans="1:24">
      <c r="A113" s="60" t="s">
        <v>916</v>
      </c>
      <c r="B113" s="60" t="s">
        <v>382</v>
      </c>
      <c r="C113" s="60" t="s">
        <v>383</v>
      </c>
      <c r="D113" s="60" t="s">
        <v>384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15990</f>
        <v>15990</v>
      </c>
      <c r="L113" s="67" t="s">
        <v>833</v>
      </c>
      <c r="M113" s="66">
        <f>20210</f>
        <v>20210</v>
      </c>
      <c r="N113" s="67" t="s">
        <v>91</v>
      </c>
      <c r="O113" s="66">
        <f>15960</f>
        <v>15960</v>
      </c>
      <c r="P113" s="67" t="s">
        <v>833</v>
      </c>
      <c r="Q113" s="66">
        <f>19270</f>
        <v>19270</v>
      </c>
      <c r="R113" s="67" t="s">
        <v>50</v>
      </c>
      <c r="S113" s="68">
        <f>18498.95</f>
        <v>18498.95</v>
      </c>
      <c r="T113" s="65">
        <f>3179460</f>
        <v>3179460</v>
      </c>
      <c r="U113" s="65">
        <f>6310</f>
        <v>6310</v>
      </c>
      <c r="V113" s="65">
        <f>58349932688</f>
        <v>58349932688</v>
      </c>
      <c r="W113" s="65">
        <f>120750088</f>
        <v>120750088</v>
      </c>
      <c r="X113" s="69">
        <f>19</f>
        <v>19</v>
      </c>
    </row>
    <row r="114" spans="1:24">
      <c r="A114" s="60" t="s">
        <v>916</v>
      </c>
      <c r="B114" s="60" t="s">
        <v>385</v>
      </c>
      <c r="C114" s="60" t="s">
        <v>386</v>
      </c>
      <c r="D114" s="60" t="s">
        <v>387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f>2825</f>
        <v>2825</v>
      </c>
      <c r="L114" s="67" t="s">
        <v>833</v>
      </c>
      <c r="M114" s="66">
        <f>2825</f>
        <v>2825</v>
      </c>
      <c r="N114" s="67" t="s">
        <v>833</v>
      </c>
      <c r="O114" s="66">
        <f>2499</f>
        <v>2499</v>
      </c>
      <c r="P114" s="67" t="s">
        <v>91</v>
      </c>
      <c r="Q114" s="66">
        <f>2558</f>
        <v>2558</v>
      </c>
      <c r="R114" s="67" t="s">
        <v>50</v>
      </c>
      <c r="S114" s="68">
        <f>2620.53</f>
        <v>2620.5300000000002</v>
      </c>
      <c r="T114" s="65">
        <f>893390</f>
        <v>893390</v>
      </c>
      <c r="U114" s="65">
        <f>7660</f>
        <v>7660</v>
      </c>
      <c r="V114" s="65">
        <f>2336866297</f>
        <v>2336866297</v>
      </c>
      <c r="W114" s="65">
        <f>19917667</f>
        <v>19917667</v>
      </c>
      <c r="X114" s="69">
        <f>19</f>
        <v>19</v>
      </c>
    </row>
    <row r="115" spans="1:24">
      <c r="A115" s="60" t="s">
        <v>916</v>
      </c>
      <c r="B115" s="60" t="s">
        <v>388</v>
      </c>
      <c r="C115" s="60" t="s">
        <v>389</v>
      </c>
      <c r="D115" s="60" t="s">
        <v>390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20480</f>
        <v>20480</v>
      </c>
      <c r="L115" s="67" t="s">
        <v>833</v>
      </c>
      <c r="M115" s="66">
        <f>27640</f>
        <v>27640</v>
      </c>
      <c r="N115" s="67" t="s">
        <v>50</v>
      </c>
      <c r="O115" s="66">
        <f>20480</f>
        <v>20480</v>
      </c>
      <c r="P115" s="67" t="s">
        <v>833</v>
      </c>
      <c r="Q115" s="66">
        <f>26830</f>
        <v>26830</v>
      </c>
      <c r="R115" s="67" t="s">
        <v>50</v>
      </c>
      <c r="S115" s="68">
        <f>24755.79</f>
        <v>24755.79</v>
      </c>
      <c r="T115" s="65">
        <f>138758160</f>
        <v>138758160</v>
      </c>
      <c r="U115" s="65">
        <f>530524</f>
        <v>530524</v>
      </c>
      <c r="V115" s="65">
        <f>3396226295720</f>
        <v>3396226295720</v>
      </c>
      <c r="W115" s="65">
        <f>11836047490</f>
        <v>11836047490</v>
      </c>
      <c r="X115" s="69">
        <f>19</f>
        <v>19</v>
      </c>
    </row>
    <row r="116" spans="1:24">
      <c r="A116" s="60" t="s">
        <v>916</v>
      </c>
      <c r="B116" s="60" t="s">
        <v>391</v>
      </c>
      <c r="C116" s="60" t="s">
        <v>392</v>
      </c>
      <c r="D116" s="60" t="s">
        <v>393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</v>
      </c>
      <c r="K116" s="66">
        <f>1314</f>
        <v>1314</v>
      </c>
      <c r="L116" s="67" t="s">
        <v>833</v>
      </c>
      <c r="M116" s="66">
        <f>1314</f>
        <v>1314</v>
      </c>
      <c r="N116" s="67" t="s">
        <v>833</v>
      </c>
      <c r="O116" s="66">
        <f>1124</f>
        <v>1124</v>
      </c>
      <c r="P116" s="67" t="s">
        <v>50</v>
      </c>
      <c r="Q116" s="66">
        <f>1141</f>
        <v>1141</v>
      </c>
      <c r="R116" s="67" t="s">
        <v>50</v>
      </c>
      <c r="S116" s="68">
        <f>1192.95</f>
        <v>1192.95</v>
      </c>
      <c r="T116" s="65">
        <f>22625148</f>
        <v>22625148</v>
      </c>
      <c r="U116" s="65">
        <f>2260779</f>
        <v>2260779</v>
      </c>
      <c r="V116" s="65">
        <f>27114604588</f>
        <v>27114604588</v>
      </c>
      <c r="W116" s="65">
        <f>2697828115</f>
        <v>2697828115</v>
      </c>
      <c r="X116" s="69">
        <f>19</f>
        <v>19</v>
      </c>
    </row>
    <row r="117" spans="1:24">
      <c r="A117" s="60" t="s">
        <v>916</v>
      </c>
      <c r="B117" s="60" t="s">
        <v>394</v>
      </c>
      <c r="C117" s="60" t="s">
        <v>395</v>
      </c>
      <c r="D117" s="60" t="s">
        <v>396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9230</f>
        <v>9230</v>
      </c>
      <c r="L117" s="67" t="s">
        <v>833</v>
      </c>
      <c r="M117" s="66">
        <f>11090</f>
        <v>11090</v>
      </c>
      <c r="N117" s="67" t="s">
        <v>50</v>
      </c>
      <c r="O117" s="66">
        <f>9180</f>
        <v>9180</v>
      </c>
      <c r="P117" s="67" t="s">
        <v>833</v>
      </c>
      <c r="Q117" s="66">
        <f>10750</f>
        <v>10750</v>
      </c>
      <c r="R117" s="67" t="s">
        <v>50</v>
      </c>
      <c r="S117" s="68">
        <f>10435.26</f>
        <v>10435.26</v>
      </c>
      <c r="T117" s="65">
        <f>17670</f>
        <v>17670</v>
      </c>
      <c r="U117" s="65" t="str">
        <f>"－"</f>
        <v>－</v>
      </c>
      <c r="V117" s="65">
        <f>185067200</f>
        <v>185067200</v>
      </c>
      <c r="W117" s="65" t="str">
        <f>"－"</f>
        <v>－</v>
      </c>
      <c r="X117" s="69">
        <f>19</f>
        <v>19</v>
      </c>
    </row>
    <row r="118" spans="1:24">
      <c r="A118" s="60" t="s">
        <v>916</v>
      </c>
      <c r="B118" s="60" t="s">
        <v>397</v>
      </c>
      <c r="C118" s="60" t="s">
        <v>398</v>
      </c>
      <c r="D118" s="60" t="s">
        <v>399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f>7210</f>
        <v>7210</v>
      </c>
      <c r="L118" s="67" t="s">
        <v>833</v>
      </c>
      <c r="M118" s="66">
        <f>7310</f>
        <v>7310</v>
      </c>
      <c r="N118" s="67" t="s">
        <v>833</v>
      </c>
      <c r="O118" s="66">
        <f>6380</f>
        <v>6380</v>
      </c>
      <c r="P118" s="67" t="s">
        <v>119</v>
      </c>
      <c r="Q118" s="66">
        <f>6530</f>
        <v>6530</v>
      </c>
      <c r="R118" s="67" t="s">
        <v>50</v>
      </c>
      <c r="S118" s="68">
        <f>6746.11</f>
        <v>6746.11</v>
      </c>
      <c r="T118" s="65">
        <f>6190</f>
        <v>6190</v>
      </c>
      <c r="U118" s="65" t="str">
        <f>"－"</f>
        <v>－</v>
      </c>
      <c r="V118" s="65">
        <f>41768200</f>
        <v>41768200</v>
      </c>
      <c r="W118" s="65" t="str">
        <f>"－"</f>
        <v>－</v>
      </c>
      <c r="X118" s="69">
        <f>18</f>
        <v>18</v>
      </c>
    </row>
    <row r="119" spans="1:24">
      <c r="A119" s="60" t="s">
        <v>916</v>
      </c>
      <c r="B119" s="60" t="s">
        <v>400</v>
      </c>
      <c r="C119" s="60" t="s">
        <v>401</v>
      </c>
      <c r="D119" s="60" t="s">
        <v>402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1485</f>
        <v>1485</v>
      </c>
      <c r="L119" s="67" t="s">
        <v>119</v>
      </c>
      <c r="M119" s="66">
        <f>1599</f>
        <v>1599</v>
      </c>
      <c r="N119" s="67" t="s">
        <v>821</v>
      </c>
      <c r="O119" s="66">
        <f>1472</f>
        <v>1472</v>
      </c>
      <c r="P119" s="67" t="s">
        <v>79</v>
      </c>
      <c r="Q119" s="66">
        <f>1599</f>
        <v>1599</v>
      </c>
      <c r="R119" s="67" t="s">
        <v>821</v>
      </c>
      <c r="S119" s="68">
        <f>1517.14</f>
        <v>1517.14</v>
      </c>
      <c r="T119" s="65">
        <f>1310</f>
        <v>1310</v>
      </c>
      <c r="U119" s="65" t="str">
        <f>"－"</f>
        <v>－</v>
      </c>
      <c r="V119" s="65">
        <f>2051290</f>
        <v>2051290</v>
      </c>
      <c r="W119" s="65" t="str">
        <f>"－"</f>
        <v>－</v>
      </c>
      <c r="X119" s="69">
        <f>7</f>
        <v>7</v>
      </c>
    </row>
    <row r="120" spans="1:24">
      <c r="A120" s="60" t="s">
        <v>916</v>
      </c>
      <c r="B120" s="60" t="s">
        <v>403</v>
      </c>
      <c r="C120" s="60" t="s">
        <v>404</v>
      </c>
      <c r="D120" s="60" t="s">
        <v>405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f>694</f>
        <v>694</v>
      </c>
      <c r="L120" s="67" t="s">
        <v>833</v>
      </c>
      <c r="M120" s="66">
        <f>800</f>
        <v>800</v>
      </c>
      <c r="N120" s="67" t="s">
        <v>50</v>
      </c>
      <c r="O120" s="66">
        <f>674</f>
        <v>674</v>
      </c>
      <c r="P120" s="67" t="s">
        <v>833</v>
      </c>
      <c r="Q120" s="66">
        <f>763</f>
        <v>763</v>
      </c>
      <c r="R120" s="67" t="s">
        <v>50</v>
      </c>
      <c r="S120" s="68">
        <f>730.89</f>
        <v>730.89</v>
      </c>
      <c r="T120" s="65">
        <f>120220</f>
        <v>120220</v>
      </c>
      <c r="U120" s="65">
        <f>90000</f>
        <v>90000</v>
      </c>
      <c r="V120" s="65">
        <f>93906676</f>
        <v>93906676</v>
      </c>
      <c r="W120" s="65">
        <f>71609616</f>
        <v>71609616</v>
      </c>
      <c r="X120" s="69">
        <f>19</f>
        <v>19</v>
      </c>
    </row>
    <row r="121" spans="1:24">
      <c r="A121" s="60" t="s">
        <v>916</v>
      </c>
      <c r="B121" s="60" t="s">
        <v>406</v>
      </c>
      <c r="C121" s="60" t="s">
        <v>407</v>
      </c>
      <c r="D121" s="60" t="s">
        <v>408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10</v>
      </c>
      <c r="K121" s="66">
        <f>723</f>
        <v>723</v>
      </c>
      <c r="L121" s="67" t="s">
        <v>48</v>
      </c>
      <c r="M121" s="66">
        <f>770</f>
        <v>770</v>
      </c>
      <c r="N121" s="67" t="s">
        <v>91</v>
      </c>
      <c r="O121" s="66">
        <f>723</f>
        <v>723</v>
      </c>
      <c r="P121" s="67" t="s">
        <v>48</v>
      </c>
      <c r="Q121" s="66">
        <f>756</f>
        <v>756</v>
      </c>
      <c r="R121" s="67" t="s">
        <v>50</v>
      </c>
      <c r="S121" s="68">
        <f>745.93</f>
        <v>745.93</v>
      </c>
      <c r="T121" s="65">
        <f>12980</f>
        <v>12980</v>
      </c>
      <c r="U121" s="65">
        <f>10</f>
        <v>10</v>
      </c>
      <c r="V121" s="65">
        <f>9659300</f>
        <v>9659300</v>
      </c>
      <c r="W121" s="65">
        <f>7550</f>
        <v>7550</v>
      </c>
      <c r="X121" s="69">
        <f>14</f>
        <v>14</v>
      </c>
    </row>
    <row r="122" spans="1:24">
      <c r="A122" s="60" t="s">
        <v>916</v>
      </c>
      <c r="B122" s="60" t="s">
        <v>409</v>
      </c>
      <c r="C122" s="60" t="s">
        <v>410</v>
      </c>
      <c r="D122" s="60" t="s">
        <v>411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</v>
      </c>
      <c r="K122" s="66">
        <f>17790</f>
        <v>17790</v>
      </c>
      <c r="L122" s="67" t="s">
        <v>833</v>
      </c>
      <c r="M122" s="66">
        <f>19940</f>
        <v>19940</v>
      </c>
      <c r="N122" s="67" t="s">
        <v>816</v>
      </c>
      <c r="O122" s="66">
        <f>17790</f>
        <v>17790</v>
      </c>
      <c r="P122" s="67" t="s">
        <v>833</v>
      </c>
      <c r="Q122" s="66">
        <f>19130</f>
        <v>19130</v>
      </c>
      <c r="R122" s="67" t="s">
        <v>50</v>
      </c>
      <c r="S122" s="68">
        <f>19041.05</f>
        <v>19041.05</v>
      </c>
      <c r="T122" s="65">
        <f>83761</f>
        <v>83761</v>
      </c>
      <c r="U122" s="65">
        <f>7</f>
        <v>7</v>
      </c>
      <c r="V122" s="65">
        <f>1607236390</f>
        <v>1607236390</v>
      </c>
      <c r="W122" s="65">
        <f>135020</f>
        <v>135020</v>
      </c>
      <c r="X122" s="69">
        <f>19</f>
        <v>19</v>
      </c>
    </row>
    <row r="123" spans="1:24">
      <c r="A123" s="60" t="s">
        <v>916</v>
      </c>
      <c r="B123" s="60" t="s">
        <v>412</v>
      </c>
      <c r="C123" s="60" t="s">
        <v>413</v>
      </c>
      <c r="D123" s="60" t="s">
        <v>414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f>1849</f>
        <v>1849</v>
      </c>
      <c r="L123" s="67" t="s">
        <v>833</v>
      </c>
      <c r="M123" s="66">
        <f>2152</f>
        <v>2152</v>
      </c>
      <c r="N123" s="67" t="s">
        <v>50</v>
      </c>
      <c r="O123" s="66">
        <f>1849</f>
        <v>1849</v>
      </c>
      <c r="P123" s="67" t="s">
        <v>833</v>
      </c>
      <c r="Q123" s="66">
        <f>2123</f>
        <v>2123</v>
      </c>
      <c r="R123" s="67" t="s">
        <v>50</v>
      </c>
      <c r="S123" s="68">
        <f>2032.11</f>
        <v>2032.11</v>
      </c>
      <c r="T123" s="65">
        <f>93126</f>
        <v>93126</v>
      </c>
      <c r="U123" s="65">
        <f>3</f>
        <v>3</v>
      </c>
      <c r="V123" s="65">
        <f>183088489</f>
        <v>183088489</v>
      </c>
      <c r="W123" s="65">
        <f>6267</f>
        <v>6267</v>
      </c>
      <c r="X123" s="69">
        <f>19</f>
        <v>19</v>
      </c>
    </row>
    <row r="124" spans="1:24">
      <c r="A124" s="60" t="s">
        <v>916</v>
      </c>
      <c r="B124" s="60" t="s">
        <v>415</v>
      </c>
      <c r="C124" s="60" t="s">
        <v>416</v>
      </c>
      <c r="D124" s="60" t="s">
        <v>417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f>21830</f>
        <v>21830</v>
      </c>
      <c r="L124" s="67" t="s">
        <v>833</v>
      </c>
      <c r="M124" s="66">
        <f>29420</f>
        <v>29420</v>
      </c>
      <c r="N124" s="67" t="s">
        <v>50</v>
      </c>
      <c r="O124" s="66">
        <f>21820</f>
        <v>21820</v>
      </c>
      <c r="P124" s="67" t="s">
        <v>833</v>
      </c>
      <c r="Q124" s="66">
        <f>28550</f>
        <v>28550</v>
      </c>
      <c r="R124" s="67" t="s">
        <v>50</v>
      </c>
      <c r="S124" s="68">
        <f>26365.26</f>
        <v>26365.26</v>
      </c>
      <c r="T124" s="65">
        <f>12081950</f>
        <v>12081950</v>
      </c>
      <c r="U124" s="65">
        <f>24730</f>
        <v>24730</v>
      </c>
      <c r="V124" s="65">
        <f>314783797900</f>
        <v>314783797900</v>
      </c>
      <c r="W124" s="65">
        <f>607038100</f>
        <v>607038100</v>
      </c>
      <c r="X124" s="69">
        <f>19</f>
        <v>19</v>
      </c>
    </row>
    <row r="125" spans="1:24">
      <c r="A125" s="60" t="s">
        <v>916</v>
      </c>
      <c r="B125" s="60" t="s">
        <v>418</v>
      </c>
      <c r="C125" s="60" t="s">
        <v>419</v>
      </c>
      <c r="D125" s="60" t="s">
        <v>420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3500</f>
        <v>3500</v>
      </c>
      <c r="L125" s="67" t="s">
        <v>833</v>
      </c>
      <c r="M125" s="66">
        <f>3500</f>
        <v>3500</v>
      </c>
      <c r="N125" s="67" t="s">
        <v>833</v>
      </c>
      <c r="O125" s="66">
        <f>2997</f>
        <v>2997</v>
      </c>
      <c r="P125" s="67" t="s">
        <v>50</v>
      </c>
      <c r="Q125" s="66">
        <f>3040</f>
        <v>3040</v>
      </c>
      <c r="R125" s="67" t="s">
        <v>50</v>
      </c>
      <c r="S125" s="68">
        <f>3178.95</f>
        <v>3178.95</v>
      </c>
      <c r="T125" s="65">
        <f>1254550</f>
        <v>1254550</v>
      </c>
      <c r="U125" s="65">
        <f>10</f>
        <v>10</v>
      </c>
      <c r="V125" s="65">
        <f>3990411110</f>
        <v>3990411110</v>
      </c>
      <c r="W125" s="65">
        <f>30300</f>
        <v>30300</v>
      </c>
      <c r="X125" s="69">
        <f>19</f>
        <v>19</v>
      </c>
    </row>
    <row r="126" spans="1:24">
      <c r="A126" s="60" t="s">
        <v>916</v>
      </c>
      <c r="B126" s="60" t="s">
        <v>421</v>
      </c>
      <c r="C126" s="60" t="s">
        <v>422</v>
      </c>
      <c r="D126" s="60" t="s">
        <v>423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f>760</f>
        <v>760</v>
      </c>
      <c r="L126" s="67" t="s">
        <v>833</v>
      </c>
      <c r="M126" s="66">
        <f>850</f>
        <v>850</v>
      </c>
      <c r="N126" s="67" t="s">
        <v>816</v>
      </c>
      <c r="O126" s="66">
        <f>680</f>
        <v>680</v>
      </c>
      <c r="P126" s="67" t="s">
        <v>833</v>
      </c>
      <c r="Q126" s="66">
        <f>842</f>
        <v>842</v>
      </c>
      <c r="R126" s="67" t="s">
        <v>50</v>
      </c>
      <c r="S126" s="68">
        <f>788.12</f>
        <v>788.12</v>
      </c>
      <c r="T126" s="65">
        <f>4940</f>
        <v>4940</v>
      </c>
      <c r="U126" s="65" t="str">
        <f>"－"</f>
        <v>－</v>
      </c>
      <c r="V126" s="65">
        <f>3849970</f>
        <v>3849970</v>
      </c>
      <c r="W126" s="65" t="str">
        <f>"－"</f>
        <v>－</v>
      </c>
      <c r="X126" s="69">
        <f>17</f>
        <v>17</v>
      </c>
    </row>
    <row r="127" spans="1:24">
      <c r="A127" s="60" t="s">
        <v>916</v>
      </c>
      <c r="B127" s="60" t="s">
        <v>424</v>
      </c>
      <c r="C127" s="60" t="s">
        <v>425</v>
      </c>
      <c r="D127" s="60" t="s">
        <v>841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f>1276</f>
        <v>1276</v>
      </c>
      <c r="L127" s="67" t="s">
        <v>833</v>
      </c>
      <c r="M127" s="66">
        <f>1519</f>
        <v>1519</v>
      </c>
      <c r="N127" s="67" t="s">
        <v>816</v>
      </c>
      <c r="O127" s="66">
        <f>1276</f>
        <v>1276</v>
      </c>
      <c r="P127" s="67" t="s">
        <v>833</v>
      </c>
      <c r="Q127" s="66">
        <f>1396</f>
        <v>1396</v>
      </c>
      <c r="R127" s="67" t="s">
        <v>50</v>
      </c>
      <c r="S127" s="68">
        <f>1359.44</f>
        <v>1359.44</v>
      </c>
      <c r="T127" s="65">
        <f>3000</f>
        <v>3000</v>
      </c>
      <c r="U127" s="65" t="str">
        <f>"－"</f>
        <v>－</v>
      </c>
      <c r="V127" s="65">
        <f>4230450</f>
        <v>4230450</v>
      </c>
      <c r="W127" s="65" t="str">
        <f>"－"</f>
        <v>－</v>
      </c>
      <c r="X127" s="69">
        <f>18</f>
        <v>18</v>
      </c>
    </row>
    <row r="128" spans="1:24">
      <c r="A128" s="60" t="s">
        <v>916</v>
      </c>
      <c r="B128" s="60" t="s">
        <v>427</v>
      </c>
      <c r="C128" s="60" t="s">
        <v>428</v>
      </c>
      <c r="D128" s="60" t="s">
        <v>429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f>1438</f>
        <v>1438</v>
      </c>
      <c r="L128" s="67" t="s">
        <v>833</v>
      </c>
      <c r="M128" s="66">
        <f>1599</f>
        <v>1599</v>
      </c>
      <c r="N128" s="67" t="s">
        <v>50</v>
      </c>
      <c r="O128" s="66">
        <f>1425</f>
        <v>1425</v>
      </c>
      <c r="P128" s="67" t="s">
        <v>818</v>
      </c>
      <c r="Q128" s="66">
        <f>1598</f>
        <v>1598</v>
      </c>
      <c r="R128" s="67" t="s">
        <v>50</v>
      </c>
      <c r="S128" s="68">
        <f>1528.35</f>
        <v>1528.35</v>
      </c>
      <c r="T128" s="65">
        <f>2121</f>
        <v>2121</v>
      </c>
      <c r="U128" s="65" t="str">
        <f>"－"</f>
        <v>－</v>
      </c>
      <c r="V128" s="65">
        <f>3235271</f>
        <v>3235271</v>
      </c>
      <c r="W128" s="65" t="str">
        <f>"－"</f>
        <v>－</v>
      </c>
      <c r="X128" s="69">
        <f>17</f>
        <v>17</v>
      </c>
    </row>
    <row r="129" spans="1:24">
      <c r="A129" s="60" t="s">
        <v>916</v>
      </c>
      <c r="B129" s="60" t="s">
        <v>430</v>
      </c>
      <c r="C129" s="60" t="s">
        <v>431</v>
      </c>
      <c r="D129" s="60" t="s">
        <v>432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14380</f>
        <v>14380</v>
      </c>
      <c r="L129" s="67" t="s">
        <v>833</v>
      </c>
      <c r="M129" s="66">
        <f>16330</f>
        <v>16330</v>
      </c>
      <c r="N129" s="67" t="s">
        <v>91</v>
      </c>
      <c r="O129" s="66">
        <f>14370</f>
        <v>14370</v>
      </c>
      <c r="P129" s="67" t="s">
        <v>833</v>
      </c>
      <c r="Q129" s="66">
        <f>16000</f>
        <v>16000</v>
      </c>
      <c r="R129" s="67" t="s">
        <v>50</v>
      </c>
      <c r="S129" s="68">
        <f>15547.89</f>
        <v>15547.89</v>
      </c>
      <c r="T129" s="65">
        <f>425007</f>
        <v>425007</v>
      </c>
      <c r="U129" s="65">
        <f>40002</f>
        <v>40002</v>
      </c>
      <c r="V129" s="65">
        <f>6585330430</f>
        <v>6585330430</v>
      </c>
      <c r="W129" s="65">
        <f>616897690</f>
        <v>616897690</v>
      </c>
      <c r="X129" s="69">
        <f>19</f>
        <v>19</v>
      </c>
    </row>
    <row r="130" spans="1:24">
      <c r="A130" s="60" t="s">
        <v>916</v>
      </c>
      <c r="B130" s="60" t="s">
        <v>433</v>
      </c>
      <c r="C130" s="60" t="s">
        <v>434</v>
      </c>
      <c r="D130" s="60" t="s">
        <v>435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</v>
      </c>
      <c r="K130" s="66">
        <f>1323</f>
        <v>1323</v>
      </c>
      <c r="L130" s="67" t="s">
        <v>833</v>
      </c>
      <c r="M130" s="66">
        <f>1501</f>
        <v>1501</v>
      </c>
      <c r="N130" s="67" t="s">
        <v>91</v>
      </c>
      <c r="O130" s="66">
        <f>1323</f>
        <v>1323</v>
      </c>
      <c r="P130" s="67" t="s">
        <v>833</v>
      </c>
      <c r="Q130" s="66">
        <f>1470</f>
        <v>1470</v>
      </c>
      <c r="R130" s="67" t="s">
        <v>50</v>
      </c>
      <c r="S130" s="68">
        <f>1429.37</f>
        <v>1429.37</v>
      </c>
      <c r="T130" s="65">
        <f>863344</f>
        <v>863344</v>
      </c>
      <c r="U130" s="65">
        <f>55000</f>
        <v>55000</v>
      </c>
      <c r="V130" s="65">
        <f>1216787516</f>
        <v>1216787516</v>
      </c>
      <c r="W130" s="65">
        <f>79079000</f>
        <v>79079000</v>
      </c>
      <c r="X130" s="69">
        <f>19</f>
        <v>19</v>
      </c>
    </row>
    <row r="131" spans="1:24">
      <c r="A131" s="60" t="s">
        <v>916</v>
      </c>
      <c r="B131" s="60" t="s">
        <v>436</v>
      </c>
      <c r="C131" s="60" t="s">
        <v>437</v>
      </c>
      <c r="D131" s="60" t="s">
        <v>438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f>14770</f>
        <v>14770</v>
      </c>
      <c r="L131" s="67" t="s">
        <v>833</v>
      </c>
      <c r="M131" s="66">
        <f>16750</f>
        <v>16750</v>
      </c>
      <c r="N131" s="67" t="s">
        <v>91</v>
      </c>
      <c r="O131" s="66">
        <f>14770</f>
        <v>14770</v>
      </c>
      <c r="P131" s="67" t="s">
        <v>833</v>
      </c>
      <c r="Q131" s="66">
        <f>16440</f>
        <v>16440</v>
      </c>
      <c r="R131" s="67" t="s">
        <v>50</v>
      </c>
      <c r="S131" s="68">
        <f>15963.16</f>
        <v>15963.16</v>
      </c>
      <c r="T131" s="65">
        <f>182173</f>
        <v>182173</v>
      </c>
      <c r="U131" s="65">
        <f>119702</f>
        <v>119702</v>
      </c>
      <c r="V131" s="65">
        <f>2921742245</f>
        <v>2921742245</v>
      </c>
      <c r="W131" s="65">
        <f>1926242725</f>
        <v>1926242725</v>
      </c>
      <c r="X131" s="69">
        <f>19</f>
        <v>19</v>
      </c>
    </row>
    <row r="132" spans="1:24">
      <c r="A132" s="60" t="s">
        <v>916</v>
      </c>
      <c r="B132" s="60" t="s">
        <v>439</v>
      </c>
      <c r="C132" s="60" t="s">
        <v>440</v>
      </c>
      <c r="D132" s="60" t="s">
        <v>441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f>1694</f>
        <v>1694</v>
      </c>
      <c r="L132" s="67" t="s">
        <v>833</v>
      </c>
      <c r="M132" s="66">
        <f>1765</f>
        <v>1765</v>
      </c>
      <c r="N132" s="67" t="s">
        <v>834</v>
      </c>
      <c r="O132" s="66">
        <f>1655</f>
        <v>1655</v>
      </c>
      <c r="P132" s="67" t="s">
        <v>833</v>
      </c>
      <c r="Q132" s="66">
        <f>1718</f>
        <v>1718</v>
      </c>
      <c r="R132" s="67" t="s">
        <v>50</v>
      </c>
      <c r="S132" s="68">
        <f>1715.21</f>
        <v>1715.21</v>
      </c>
      <c r="T132" s="65">
        <f>985570</f>
        <v>985570</v>
      </c>
      <c r="U132" s="65">
        <f>303000</f>
        <v>303000</v>
      </c>
      <c r="V132" s="65">
        <f>1687684050</f>
        <v>1687684050</v>
      </c>
      <c r="W132" s="65">
        <f>519796800</f>
        <v>519796800</v>
      </c>
      <c r="X132" s="69">
        <f>19</f>
        <v>19</v>
      </c>
    </row>
    <row r="133" spans="1:24">
      <c r="A133" s="60" t="s">
        <v>916</v>
      </c>
      <c r="B133" s="60" t="s">
        <v>442</v>
      </c>
      <c r="C133" s="60" t="s">
        <v>443</v>
      </c>
      <c r="D133" s="60" t="s">
        <v>444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10</v>
      </c>
      <c r="K133" s="66">
        <f>1450</f>
        <v>1450</v>
      </c>
      <c r="L133" s="67" t="s">
        <v>817</v>
      </c>
      <c r="M133" s="66">
        <f>1589</f>
        <v>1589</v>
      </c>
      <c r="N133" s="67" t="s">
        <v>91</v>
      </c>
      <c r="O133" s="66">
        <f>1450</f>
        <v>1450</v>
      </c>
      <c r="P133" s="67" t="s">
        <v>817</v>
      </c>
      <c r="Q133" s="66">
        <f>1588</f>
        <v>1588</v>
      </c>
      <c r="R133" s="67" t="s">
        <v>91</v>
      </c>
      <c r="S133" s="68">
        <f>1535</f>
        <v>1535</v>
      </c>
      <c r="T133" s="65">
        <f>530</f>
        <v>530</v>
      </c>
      <c r="U133" s="65" t="str">
        <f>"－"</f>
        <v>－</v>
      </c>
      <c r="V133" s="65">
        <f>834140</f>
        <v>834140</v>
      </c>
      <c r="W133" s="65" t="str">
        <f>"－"</f>
        <v>－</v>
      </c>
      <c r="X133" s="69">
        <f>4</f>
        <v>4</v>
      </c>
    </row>
    <row r="134" spans="1:24">
      <c r="A134" s="60" t="s">
        <v>916</v>
      </c>
      <c r="B134" s="60" t="s">
        <v>445</v>
      </c>
      <c r="C134" s="60" t="s">
        <v>446</v>
      </c>
      <c r="D134" s="60" t="s">
        <v>447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10</v>
      </c>
      <c r="K134" s="66">
        <f>1668</f>
        <v>1668</v>
      </c>
      <c r="L134" s="67" t="s">
        <v>833</v>
      </c>
      <c r="M134" s="66">
        <f>1781</f>
        <v>1781</v>
      </c>
      <c r="N134" s="67" t="s">
        <v>834</v>
      </c>
      <c r="O134" s="66">
        <f>1668</f>
        <v>1668</v>
      </c>
      <c r="P134" s="67" t="s">
        <v>833</v>
      </c>
      <c r="Q134" s="66">
        <f>1730</f>
        <v>1730</v>
      </c>
      <c r="R134" s="67" t="s">
        <v>50</v>
      </c>
      <c r="S134" s="68">
        <f>1729.95</f>
        <v>1729.95</v>
      </c>
      <c r="T134" s="65">
        <f>591390</f>
        <v>591390</v>
      </c>
      <c r="U134" s="65">
        <f>170010</f>
        <v>170010</v>
      </c>
      <c r="V134" s="65">
        <f>1023625190</f>
        <v>1023625190</v>
      </c>
      <c r="W134" s="65">
        <f>294065130</f>
        <v>294065130</v>
      </c>
      <c r="X134" s="69">
        <f>19</f>
        <v>19</v>
      </c>
    </row>
    <row r="135" spans="1:24">
      <c r="A135" s="60" t="s">
        <v>916</v>
      </c>
      <c r="B135" s="60" t="s">
        <v>448</v>
      </c>
      <c r="C135" s="60" t="s">
        <v>449</v>
      </c>
      <c r="D135" s="60" t="s">
        <v>450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</v>
      </c>
      <c r="K135" s="66">
        <f>15660</f>
        <v>15660</v>
      </c>
      <c r="L135" s="67" t="s">
        <v>833</v>
      </c>
      <c r="M135" s="66">
        <f>17130</f>
        <v>17130</v>
      </c>
      <c r="N135" s="67" t="s">
        <v>175</v>
      </c>
      <c r="O135" s="66">
        <f>15660</f>
        <v>15660</v>
      </c>
      <c r="P135" s="67" t="s">
        <v>833</v>
      </c>
      <c r="Q135" s="66">
        <f>17130</f>
        <v>17130</v>
      </c>
      <c r="R135" s="67" t="s">
        <v>175</v>
      </c>
      <c r="S135" s="68">
        <f>16435.71</f>
        <v>16435.71</v>
      </c>
      <c r="T135" s="65">
        <f>29</f>
        <v>29</v>
      </c>
      <c r="U135" s="65" t="str">
        <f>"－"</f>
        <v>－</v>
      </c>
      <c r="V135" s="65">
        <f>467330</f>
        <v>467330</v>
      </c>
      <c r="W135" s="65" t="str">
        <f>"－"</f>
        <v>－</v>
      </c>
      <c r="X135" s="69">
        <f>7</f>
        <v>7</v>
      </c>
    </row>
    <row r="136" spans="1:24">
      <c r="A136" s="60" t="s">
        <v>916</v>
      </c>
      <c r="B136" s="60" t="s">
        <v>451</v>
      </c>
      <c r="C136" s="60" t="s">
        <v>452</v>
      </c>
      <c r="D136" s="60" t="s">
        <v>453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14740</f>
        <v>14740</v>
      </c>
      <c r="L136" s="67" t="s">
        <v>833</v>
      </c>
      <c r="M136" s="66">
        <f>16600</f>
        <v>16600</v>
      </c>
      <c r="N136" s="67" t="s">
        <v>91</v>
      </c>
      <c r="O136" s="66">
        <f>14740</f>
        <v>14740</v>
      </c>
      <c r="P136" s="67" t="s">
        <v>833</v>
      </c>
      <c r="Q136" s="66">
        <f>16240</f>
        <v>16240</v>
      </c>
      <c r="R136" s="67" t="s">
        <v>50</v>
      </c>
      <c r="S136" s="68">
        <f>15810</f>
        <v>15810</v>
      </c>
      <c r="T136" s="65">
        <f>48161</f>
        <v>48161</v>
      </c>
      <c r="U136" s="65">
        <f>17000</f>
        <v>17000</v>
      </c>
      <c r="V136" s="65">
        <f>763957530</f>
        <v>763957530</v>
      </c>
      <c r="W136" s="65">
        <f>269790000</f>
        <v>269790000</v>
      </c>
      <c r="X136" s="69">
        <f>18</f>
        <v>18</v>
      </c>
    </row>
    <row r="137" spans="1:24">
      <c r="A137" s="60" t="s">
        <v>916</v>
      </c>
      <c r="B137" s="60" t="s">
        <v>457</v>
      </c>
      <c r="C137" s="60" t="s">
        <v>885</v>
      </c>
      <c r="D137" s="60" t="s">
        <v>886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100</v>
      </c>
      <c r="K137" s="66">
        <f>117</f>
        <v>117</v>
      </c>
      <c r="L137" s="67" t="s">
        <v>833</v>
      </c>
      <c r="M137" s="66">
        <f>133</f>
        <v>133</v>
      </c>
      <c r="N137" s="67" t="s">
        <v>79</v>
      </c>
      <c r="O137" s="66">
        <f>117</f>
        <v>117</v>
      </c>
      <c r="P137" s="67" t="s">
        <v>833</v>
      </c>
      <c r="Q137" s="66">
        <f>125</f>
        <v>125</v>
      </c>
      <c r="R137" s="67" t="s">
        <v>50</v>
      </c>
      <c r="S137" s="68">
        <f>126.26</f>
        <v>126.26</v>
      </c>
      <c r="T137" s="65">
        <f>89422200</f>
        <v>89422200</v>
      </c>
      <c r="U137" s="65">
        <f>2859200</f>
        <v>2859200</v>
      </c>
      <c r="V137" s="65">
        <f>11367551500</f>
        <v>11367551500</v>
      </c>
      <c r="W137" s="65">
        <f>369169900</f>
        <v>369169900</v>
      </c>
      <c r="X137" s="69">
        <f>19</f>
        <v>19</v>
      </c>
    </row>
    <row r="138" spans="1:24">
      <c r="A138" s="60" t="s">
        <v>916</v>
      </c>
      <c r="B138" s="60" t="s">
        <v>460</v>
      </c>
      <c r="C138" s="60" t="s">
        <v>461</v>
      </c>
      <c r="D138" s="60" t="s">
        <v>462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</v>
      </c>
      <c r="K138" s="66">
        <f>25550</f>
        <v>25550</v>
      </c>
      <c r="L138" s="67" t="s">
        <v>818</v>
      </c>
      <c r="M138" s="66">
        <f>27540</f>
        <v>27540</v>
      </c>
      <c r="N138" s="67" t="s">
        <v>175</v>
      </c>
      <c r="O138" s="66">
        <f>25410</f>
        <v>25410</v>
      </c>
      <c r="P138" s="67" t="s">
        <v>817</v>
      </c>
      <c r="Q138" s="66">
        <f>26300</f>
        <v>26300</v>
      </c>
      <c r="R138" s="67" t="s">
        <v>50</v>
      </c>
      <c r="S138" s="68">
        <f>26695.63</f>
        <v>26695.63</v>
      </c>
      <c r="T138" s="65">
        <f>561</f>
        <v>561</v>
      </c>
      <c r="U138" s="65" t="str">
        <f>"－"</f>
        <v>－</v>
      </c>
      <c r="V138" s="65">
        <f>14951430</f>
        <v>14951430</v>
      </c>
      <c r="W138" s="65" t="str">
        <f>"－"</f>
        <v>－</v>
      </c>
      <c r="X138" s="69">
        <f>16</f>
        <v>16</v>
      </c>
    </row>
    <row r="139" spans="1:24">
      <c r="A139" s="60" t="s">
        <v>916</v>
      </c>
      <c r="B139" s="60" t="s">
        <v>463</v>
      </c>
      <c r="C139" s="60" t="s">
        <v>464</v>
      </c>
      <c r="D139" s="60" t="s">
        <v>465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7270</f>
        <v>7270</v>
      </c>
      <c r="L139" s="67" t="s">
        <v>833</v>
      </c>
      <c r="M139" s="66">
        <f>8190</f>
        <v>8190</v>
      </c>
      <c r="N139" s="67" t="s">
        <v>816</v>
      </c>
      <c r="O139" s="66">
        <f>7250</f>
        <v>7250</v>
      </c>
      <c r="P139" s="67" t="s">
        <v>833</v>
      </c>
      <c r="Q139" s="66">
        <f>7720</f>
        <v>7720</v>
      </c>
      <c r="R139" s="67" t="s">
        <v>50</v>
      </c>
      <c r="S139" s="68">
        <f>7735.26</f>
        <v>7735.26</v>
      </c>
      <c r="T139" s="65">
        <f>24746</f>
        <v>24746</v>
      </c>
      <c r="U139" s="65">
        <f>1</f>
        <v>1</v>
      </c>
      <c r="V139" s="65">
        <f>192916790</f>
        <v>192916790</v>
      </c>
      <c r="W139" s="65">
        <f>8010</f>
        <v>8010</v>
      </c>
      <c r="X139" s="69">
        <f>19</f>
        <v>19</v>
      </c>
    </row>
    <row r="140" spans="1:24">
      <c r="A140" s="60" t="s">
        <v>916</v>
      </c>
      <c r="B140" s="60" t="s">
        <v>466</v>
      </c>
      <c r="C140" s="60" t="s">
        <v>467</v>
      </c>
      <c r="D140" s="60" t="s">
        <v>468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18080</f>
        <v>18080</v>
      </c>
      <c r="L140" s="67" t="s">
        <v>833</v>
      </c>
      <c r="M140" s="66">
        <f>20580</f>
        <v>20580</v>
      </c>
      <c r="N140" s="67" t="s">
        <v>816</v>
      </c>
      <c r="O140" s="66">
        <f>18080</f>
        <v>18080</v>
      </c>
      <c r="P140" s="67" t="s">
        <v>833</v>
      </c>
      <c r="Q140" s="66">
        <f>19780</f>
        <v>19780</v>
      </c>
      <c r="R140" s="67" t="s">
        <v>50</v>
      </c>
      <c r="S140" s="68">
        <f>19421.11</f>
        <v>19421.11</v>
      </c>
      <c r="T140" s="65">
        <f>1320</f>
        <v>1320</v>
      </c>
      <c r="U140" s="65">
        <f>1</f>
        <v>1</v>
      </c>
      <c r="V140" s="65">
        <f>25998160</f>
        <v>25998160</v>
      </c>
      <c r="W140" s="65">
        <f>19620</f>
        <v>19620</v>
      </c>
      <c r="X140" s="69">
        <f>18</f>
        <v>18</v>
      </c>
    </row>
    <row r="141" spans="1:24">
      <c r="A141" s="60" t="s">
        <v>916</v>
      </c>
      <c r="B141" s="60" t="s">
        <v>469</v>
      </c>
      <c r="C141" s="60" t="s">
        <v>470</v>
      </c>
      <c r="D141" s="60" t="s">
        <v>471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23500</f>
        <v>23500</v>
      </c>
      <c r="L141" s="67" t="s">
        <v>833</v>
      </c>
      <c r="M141" s="66">
        <f>27100</f>
        <v>27100</v>
      </c>
      <c r="N141" s="67" t="s">
        <v>50</v>
      </c>
      <c r="O141" s="66">
        <f>23340</f>
        <v>23340</v>
      </c>
      <c r="P141" s="67" t="s">
        <v>833</v>
      </c>
      <c r="Q141" s="66">
        <f>26000</f>
        <v>26000</v>
      </c>
      <c r="R141" s="67" t="s">
        <v>50</v>
      </c>
      <c r="S141" s="68">
        <f>25115.26</f>
        <v>25115.26</v>
      </c>
      <c r="T141" s="65">
        <f>1269</f>
        <v>1269</v>
      </c>
      <c r="U141" s="65" t="str">
        <f>"－"</f>
        <v>－</v>
      </c>
      <c r="V141" s="65">
        <f>31953630</f>
        <v>31953630</v>
      </c>
      <c r="W141" s="65" t="str">
        <f>"－"</f>
        <v>－</v>
      </c>
      <c r="X141" s="69">
        <f>19</f>
        <v>19</v>
      </c>
    </row>
    <row r="142" spans="1:24">
      <c r="A142" s="60" t="s">
        <v>916</v>
      </c>
      <c r="B142" s="60" t="s">
        <v>472</v>
      </c>
      <c r="C142" s="60" t="s">
        <v>473</v>
      </c>
      <c r="D142" s="60" t="s">
        <v>474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21990</f>
        <v>21990</v>
      </c>
      <c r="L142" s="67" t="s">
        <v>833</v>
      </c>
      <c r="M142" s="66">
        <f>25430</f>
        <v>25430</v>
      </c>
      <c r="N142" s="67" t="s">
        <v>50</v>
      </c>
      <c r="O142" s="66">
        <f>21960</f>
        <v>21960</v>
      </c>
      <c r="P142" s="67" t="s">
        <v>833</v>
      </c>
      <c r="Q142" s="66">
        <f>24840</f>
        <v>24840</v>
      </c>
      <c r="R142" s="67" t="s">
        <v>50</v>
      </c>
      <c r="S142" s="68">
        <f>24191.05</f>
        <v>24191.05</v>
      </c>
      <c r="T142" s="65">
        <f>7709</f>
        <v>7709</v>
      </c>
      <c r="U142" s="65">
        <f>1</f>
        <v>1</v>
      </c>
      <c r="V142" s="65">
        <f>185894210</f>
        <v>185894210</v>
      </c>
      <c r="W142" s="65">
        <f>24360</f>
        <v>24360</v>
      </c>
      <c r="X142" s="69">
        <f>19</f>
        <v>19</v>
      </c>
    </row>
    <row r="143" spans="1:24">
      <c r="A143" s="60" t="s">
        <v>916</v>
      </c>
      <c r="B143" s="60" t="s">
        <v>475</v>
      </c>
      <c r="C143" s="60" t="s">
        <v>476</v>
      </c>
      <c r="D143" s="60" t="s">
        <v>477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17190</f>
        <v>17190</v>
      </c>
      <c r="L143" s="67" t="s">
        <v>833</v>
      </c>
      <c r="M143" s="66">
        <f>19650</f>
        <v>19650</v>
      </c>
      <c r="N143" s="67" t="s">
        <v>816</v>
      </c>
      <c r="O143" s="66">
        <f>17190</f>
        <v>17190</v>
      </c>
      <c r="P143" s="67" t="s">
        <v>833</v>
      </c>
      <c r="Q143" s="66">
        <f>18540</f>
        <v>18540</v>
      </c>
      <c r="R143" s="67" t="s">
        <v>50</v>
      </c>
      <c r="S143" s="68">
        <f>18596.84</f>
        <v>18596.84</v>
      </c>
      <c r="T143" s="65">
        <f>6409</f>
        <v>6409</v>
      </c>
      <c r="U143" s="65" t="str">
        <f>"－"</f>
        <v>－</v>
      </c>
      <c r="V143" s="65">
        <f>118762810</f>
        <v>118762810</v>
      </c>
      <c r="W143" s="65" t="str">
        <f>"－"</f>
        <v>－</v>
      </c>
      <c r="X143" s="69">
        <f>19</f>
        <v>19</v>
      </c>
    </row>
    <row r="144" spans="1:24">
      <c r="A144" s="60" t="s">
        <v>916</v>
      </c>
      <c r="B144" s="60" t="s">
        <v>478</v>
      </c>
      <c r="C144" s="60" t="s">
        <v>479</v>
      </c>
      <c r="D144" s="60" t="s">
        <v>480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10590</f>
        <v>10590</v>
      </c>
      <c r="L144" s="67" t="s">
        <v>833</v>
      </c>
      <c r="M144" s="66">
        <f>12620</f>
        <v>12620</v>
      </c>
      <c r="N144" s="67" t="s">
        <v>816</v>
      </c>
      <c r="O144" s="66">
        <f>10590</f>
        <v>10590</v>
      </c>
      <c r="P144" s="67" t="s">
        <v>833</v>
      </c>
      <c r="Q144" s="66">
        <f>12080</f>
        <v>12080</v>
      </c>
      <c r="R144" s="67" t="s">
        <v>50</v>
      </c>
      <c r="S144" s="68">
        <f>11710.53</f>
        <v>11710.53</v>
      </c>
      <c r="T144" s="65">
        <f>5841</f>
        <v>5841</v>
      </c>
      <c r="U144" s="65">
        <f>2</f>
        <v>2</v>
      </c>
      <c r="V144" s="65">
        <f>70007560</f>
        <v>70007560</v>
      </c>
      <c r="W144" s="65">
        <f>24410</f>
        <v>24410</v>
      </c>
      <c r="X144" s="69">
        <f>19</f>
        <v>19</v>
      </c>
    </row>
    <row r="145" spans="1:24">
      <c r="A145" s="60" t="s">
        <v>916</v>
      </c>
      <c r="B145" s="60" t="s">
        <v>481</v>
      </c>
      <c r="C145" s="60" t="s">
        <v>482</v>
      </c>
      <c r="D145" s="60" t="s">
        <v>483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34150</f>
        <v>34150</v>
      </c>
      <c r="L145" s="67" t="s">
        <v>818</v>
      </c>
      <c r="M145" s="66">
        <f>38650</f>
        <v>38650</v>
      </c>
      <c r="N145" s="67" t="s">
        <v>50</v>
      </c>
      <c r="O145" s="66">
        <f>34150</f>
        <v>34150</v>
      </c>
      <c r="P145" s="67" t="s">
        <v>818</v>
      </c>
      <c r="Q145" s="66">
        <f>37850</f>
        <v>37850</v>
      </c>
      <c r="R145" s="67" t="s">
        <v>50</v>
      </c>
      <c r="S145" s="68">
        <f>36890</f>
        <v>36890</v>
      </c>
      <c r="T145" s="65">
        <f>506</f>
        <v>506</v>
      </c>
      <c r="U145" s="65" t="str">
        <f>"－"</f>
        <v>－</v>
      </c>
      <c r="V145" s="65">
        <f>18841900</f>
        <v>18841900</v>
      </c>
      <c r="W145" s="65" t="str">
        <f>"－"</f>
        <v>－</v>
      </c>
      <c r="X145" s="69">
        <f>15</f>
        <v>15</v>
      </c>
    </row>
    <row r="146" spans="1:24">
      <c r="A146" s="60" t="s">
        <v>916</v>
      </c>
      <c r="B146" s="60" t="s">
        <v>484</v>
      </c>
      <c r="C146" s="60" t="s">
        <v>485</v>
      </c>
      <c r="D146" s="60" t="s">
        <v>486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21880</f>
        <v>21880</v>
      </c>
      <c r="L146" s="67" t="s">
        <v>833</v>
      </c>
      <c r="M146" s="66">
        <f>25560</f>
        <v>25560</v>
      </c>
      <c r="N146" s="67" t="s">
        <v>91</v>
      </c>
      <c r="O146" s="66">
        <f>21880</f>
        <v>21880</v>
      </c>
      <c r="P146" s="67" t="s">
        <v>833</v>
      </c>
      <c r="Q146" s="66">
        <f>25220</f>
        <v>25220</v>
      </c>
      <c r="R146" s="67" t="s">
        <v>50</v>
      </c>
      <c r="S146" s="68">
        <f>23755.26</f>
        <v>23755.26</v>
      </c>
      <c r="T146" s="65">
        <f>2137</f>
        <v>2137</v>
      </c>
      <c r="U146" s="65">
        <f>2</f>
        <v>2</v>
      </c>
      <c r="V146" s="65">
        <f>51241430</f>
        <v>51241430</v>
      </c>
      <c r="W146" s="65">
        <f>46130</f>
        <v>46130</v>
      </c>
      <c r="X146" s="69">
        <f>19</f>
        <v>19</v>
      </c>
    </row>
    <row r="147" spans="1:24">
      <c r="A147" s="60" t="s">
        <v>916</v>
      </c>
      <c r="B147" s="60" t="s">
        <v>487</v>
      </c>
      <c r="C147" s="60" t="s">
        <v>488</v>
      </c>
      <c r="D147" s="60" t="s">
        <v>489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25700</f>
        <v>25700</v>
      </c>
      <c r="L147" s="67" t="s">
        <v>833</v>
      </c>
      <c r="M147" s="66">
        <f>28520</f>
        <v>28520</v>
      </c>
      <c r="N147" s="67" t="s">
        <v>50</v>
      </c>
      <c r="O147" s="66">
        <f>25700</f>
        <v>25700</v>
      </c>
      <c r="P147" s="67" t="s">
        <v>833</v>
      </c>
      <c r="Q147" s="66">
        <f>28240</f>
        <v>28240</v>
      </c>
      <c r="R147" s="67" t="s">
        <v>50</v>
      </c>
      <c r="S147" s="68">
        <f>27167.89</f>
        <v>27167.89</v>
      </c>
      <c r="T147" s="65">
        <f>4936</f>
        <v>4936</v>
      </c>
      <c r="U147" s="65">
        <f>2</f>
        <v>2</v>
      </c>
      <c r="V147" s="65">
        <f>133084430</f>
        <v>133084430</v>
      </c>
      <c r="W147" s="65">
        <f>53780</f>
        <v>53780</v>
      </c>
      <c r="X147" s="69">
        <f>19</f>
        <v>19</v>
      </c>
    </row>
    <row r="148" spans="1:24">
      <c r="A148" s="60" t="s">
        <v>916</v>
      </c>
      <c r="B148" s="60" t="s">
        <v>490</v>
      </c>
      <c r="C148" s="60" t="s">
        <v>491</v>
      </c>
      <c r="D148" s="60" t="s">
        <v>492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5860</f>
        <v>5860</v>
      </c>
      <c r="L148" s="67" t="s">
        <v>833</v>
      </c>
      <c r="M148" s="66">
        <f>6450</f>
        <v>6450</v>
      </c>
      <c r="N148" s="67" t="s">
        <v>175</v>
      </c>
      <c r="O148" s="66">
        <f>5860</f>
        <v>5860</v>
      </c>
      <c r="P148" s="67" t="s">
        <v>833</v>
      </c>
      <c r="Q148" s="66">
        <f>6060</f>
        <v>6060</v>
      </c>
      <c r="R148" s="67" t="s">
        <v>50</v>
      </c>
      <c r="S148" s="68">
        <f>6203.68</f>
        <v>6203.68</v>
      </c>
      <c r="T148" s="65">
        <f>7594</f>
        <v>7594</v>
      </c>
      <c r="U148" s="65" t="str">
        <f>"－"</f>
        <v>－</v>
      </c>
      <c r="V148" s="65">
        <f>47065660</f>
        <v>47065660</v>
      </c>
      <c r="W148" s="65" t="str">
        <f>"－"</f>
        <v>－</v>
      </c>
      <c r="X148" s="69">
        <f>19</f>
        <v>19</v>
      </c>
    </row>
    <row r="149" spans="1:24">
      <c r="A149" s="60" t="s">
        <v>916</v>
      </c>
      <c r="B149" s="60" t="s">
        <v>493</v>
      </c>
      <c r="C149" s="60" t="s">
        <v>494</v>
      </c>
      <c r="D149" s="60" t="s">
        <v>495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12530</f>
        <v>12530</v>
      </c>
      <c r="L149" s="67" t="s">
        <v>833</v>
      </c>
      <c r="M149" s="66">
        <f>14680</f>
        <v>14680</v>
      </c>
      <c r="N149" s="67" t="s">
        <v>816</v>
      </c>
      <c r="O149" s="66">
        <f>12530</f>
        <v>12530</v>
      </c>
      <c r="P149" s="67" t="s">
        <v>833</v>
      </c>
      <c r="Q149" s="66">
        <f>13830</f>
        <v>13830</v>
      </c>
      <c r="R149" s="67" t="s">
        <v>50</v>
      </c>
      <c r="S149" s="68">
        <f>13827.89</f>
        <v>13827.89</v>
      </c>
      <c r="T149" s="65">
        <f>14410</f>
        <v>14410</v>
      </c>
      <c r="U149" s="65">
        <f>1</f>
        <v>1</v>
      </c>
      <c r="V149" s="65">
        <f>201379200</f>
        <v>201379200</v>
      </c>
      <c r="W149" s="65">
        <f>12970</f>
        <v>12970</v>
      </c>
      <c r="X149" s="69">
        <f>19</f>
        <v>19</v>
      </c>
    </row>
    <row r="150" spans="1:24">
      <c r="A150" s="60" t="s">
        <v>916</v>
      </c>
      <c r="B150" s="60" t="s">
        <v>496</v>
      </c>
      <c r="C150" s="60" t="s">
        <v>497</v>
      </c>
      <c r="D150" s="60" t="s">
        <v>498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30200</f>
        <v>30200</v>
      </c>
      <c r="L150" s="67" t="s">
        <v>833</v>
      </c>
      <c r="M150" s="66">
        <f>33600</f>
        <v>33600</v>
      </c>
      <c r="N150" s="67" t="s">
        <v>816</v>
      </c>
      <c r="O150" s="66">
        <f>30200</f>
        <v>30200</v>
      </c>
      <c r="P150" s="67" t="s">
        <v>833</v>
      </c>
      <c r="Q150" s="66">
        <f>32350</f>
        <v>32350</v>
      </c>
      <c r="R150" s="67" t="s">
        <v>50</v>
      </c>
      <c r="S150" s="68">
        <f>32347.37</f>
        <v>32347.37</v>
      </c>
      <c r="T150" s="65">
        <f>3219</f>
        <v>3219</v>
      </c>
      <c r="U150" s="65" t="str">
        <f>"－"</f>
        <v>－</v>
      </c>
      <c r="V150" s="65">
        <f>104893200</f>
        <v>104893200</v>
      </c>
      <c r="W150" s="65" t="str">
        <f>"－"</f>
        <v>－</v>
      </c>
      <c r="X150" s="69">
        <f>19</f>
        <v>19</v>
      </c>
    </row>
    <row r="151" spans="1:24">
      <c r="A151" s="60" t="s">
        <v>916</v>
      </c>
      <c r="B151" s="60" t="s">
        <v>499</v>
      </c>
      <c r="C151" s="60" t="s">
        <v>500</v>
      </c>
      <c r="D151" s="60" t="s">
        <v>501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21800</f>
        <v>21800</v>
      </c>
      <c r="L151" s="67" t="s">
        <v>119</v>
      </c>
      <c r="M151" s="66">
        <f>22360</f>
        <v>22360</v>
      </c>
      <c r="N151" s="67" t="s">
        <v>816</v>
      </c>
      <c r="O151" s="66">
        <f>21710</f>
        <v>21710</v>
      </c>
      <c r="P151" s="67" t="s">
        <v>49</v>
      </c>
      <c r="Q151" s="66">
        <f>22270</f>
        <v>22270</v>
      </c>
      <c r="R151" s="67" t="s">
        <v>50</v>
      </c>
      <c r="S151" s="68">
        <f>22027.27</f>
        <v>22027.27</v>
      </c>
      <c r="T151" s="65">
        <f>39</f>
        <v>39</v>
      </c>
      <c r="U151" s="65" t="str">
        <f>"－"</f>
        <v>－</v>
      </c>
      <c r="V151" s="65">
        <f>858600</f>
        <v>858600</v>
      </c>
      <c r="W151" s="65" t="str">
        <f>"－"</f>
        <v>－</v>
      </c>
      <c r="X151" s="69">
        <f>11</f>
        <v>11</v>
      </c>
    </row>
    <row r="152" spans="1:24">
      <c r="A152" s="60" t="s">
        <v>916</v>
      </c>
      <c r="B152" s="60" t="s">
        <v>502</v>
      </c>
      <c r="C152" s="60" t="s">
        <v>503</v>
      </c>
      <c r="D152" s="60" t="s">
        <v>504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6090</f>
        <v>6090</v>
      </c>
      <c r="L152" s="67" t="s">
        <v>833</v>
      </c>
      <c r="M152" s="66">
        <f>6880</f>
        <v>6880</v>
      </c>
      <c r="N152" s="67" t="s">
        <v>816</v>
      </c>
      <c r="O152" s="66">
        <f>6090</f>
        <v>6090</v>
      </c>
      <c r="P152" s="67" t="s">
        <v>833</v>
      </c>
      <c r="Q152" s="66">
        <f>6420</f>
        <v>6420</v>
      </c>
      <c r="R152" s="67" t="s">
        <v>50</v>
      </c>
      <c r="S152" s="68">
        <f>6545.79</f>
        <v>6545.79</v>
      </c>
      <c r="T152" s="65">
        <f>34857</f>
        <v>34857</v>
      </c>
      <c r="U152" s="65">
        <f>2</f>
        <v>2</v>
      </c>
      <c r="V152" s="65">
        <f>231275550</f>
        <v>231275550</v>
      </c>
      <c r="W152" s="65">
        <f>12970</f>
        <v>12970</v>
      </c>
      <c r="X152" s="69">
        <f>19</f>
        <v>19</v>
      </c>
    </row>
    <row r="153" spans="1:24">
      <c r="A153" s="60" t="s">
        <v>916</v>
      </c>
      <c r="B153" s="60" t="s">
        <v>505</v>
      </c>
      <c r="C153" s="60" t="s">
        <v>506</v>
      </c>
      <c r="D153" s="60" t="s">
        <v>507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f>10500</f>
        <v>10500</v>
      </c>
      <c r="L153" s="67" t="s">
        <v>833</v>
      </c>
      <c r="M153" s="66">
        <f>12210</f>
        <v>12210</v>
      </c>
      <c r="N153" s="67" t="s">
        <v>816</v>
      </c>
      <c r="O153" s="66">
        <f>10500</f>
        <v>10500</v>
      </c>
      <c r="P153" s="67" t="s">
        <v>833</v>
      </c>
      <c r="Q153" s="66">
        <f>11700</f>
        <v>11700</v>
      </c>
      <c r="R153" s="67" t="s">
        <v>50</v>
      </c>
      <c r="S153" s="68">
        <f>11576.84</f>
        <v>11576.84</v>
      </c>
      <c r="T153" s="65">
        <f>2797</f>
        <v>2797</v>
      </c>
      <c r="U153" s="65">
        <f>1</f>
        <v>1</v>
      </c>
      <c r="V153" s="65">
        <f>32784920</f>
        <v>32784920</v>
      </c>
      <c r="W153" s="65">
        <f>10850</f>
        <v>10850</v>
      </c>
      <c r="X153" s="69">
        <f>19</f>
        <v>19</v>
      </c>
    </row>
    <row r="154" spans="1:24">
      <c r="A154" s="60" t="s">
        <v>916</v>
      </c>
      <c r="B154" s="60" t="s">
        <v>508</v>
      </c>
      <c r="C154" s="60" t="s">
        <v>509</v>
      </c>
      <c r="D154" s="60" t="s">
        <v>510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f>23020</f>
        <v>23020</v>
      </c>
      <c r="L154" s="67" t="s">
        <v>833</v>
      </c>
      <c r="M154" s="66">
        <f>27780</f>
        <v>27780</v>
      </c>
      <c r="N154" s="67" t="s">
        <v>91</v>
      </c>
      <c r="O154" s="66">
        <f>23020</f>
        <v>23020</v>
      </c>
      <c r="P154" s="67" t="s">
        <v>833</v>
      </c>
      <c r="Q154" s="66">
        <f>26780</f>
        <v>26780</v>
      </c>
      <c r="R154" s="67" t="s">
        <v>50</v>
      </c>
      <c r="S154" s="68">
        <f>25848.95</f>
        <v>25848.95</v>
      </c>
      <c r="T154" s="65">
        <f>2109</f>
        <v>2109</v>
      </c>
      <c r="U154" s="65" t="str">
        <f>"－"</f>
        <v>－</v>
      </c>
      <c r="V154" s="65">
        <f>55413570</f>
        <v>55413570</v>
      </c>
      <c r="W154" s="65" t="str">
        <f>"－"</f>
        <v>－</v>
      </c>
      <c r="X154" s="69">
        <f>19</f>
        <v>19</v>
      </c>
    </row>
    <row r="155" spans="1:24">
      <c r="A155" s="60" t="s">
        <v>916</v>
      </c>
      <c r="B155" s="60" t="s">
        <v>511</v>
      </c>
      <c r="C155" s="60" t="s">
        <v>512</v>
      </c>
      <c r="D155" s="60" t="s">
        <v>513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10</v>
      </c>
      <c r="K155" s="66">
        <f>825</f>
        <v>825</v>
      </c>
      <c r="L155" s="67" t="s">
        <v>833</v>
      </c>
      <c r="M155" s="66">
        <f>919</f>
        <v>919</v>
      </c>
      <c r="N155" s="67" t="s">
        <v>816</v>
      </c>
      <c r="O155" s="66">
        <f>825</f>
        <v>825</v>
      </c>
      <c r="P155" s="67" t="s">
        <v>833</v>
      </c>
      <c r="Q155" s="66">
        <f>874</f>
        <v>874</v>
      </c>
      <c r="R155" s="67" t="s">
        <v>50</v>
      </c>
      <c r="S155" s="68">
        <f>877.47</f>
        <v>877.47</v>
      </c>
      <c r="T155" s="65">
        <f>128630</f>
        <v>128630</v>
      </c>
      <c r="U155" s="65" t="str">
        <f>"－"</f>
        <v>－</v>
      </c>
      <c r="V155" s="65">
        <f>112692300</f>
        <v>112692300</v>
      </c>
      <c r="W155" s="65" t="str">
        <f>"－"</f>
        <v>－</v>
      </c>
      <c r="X155" s="69">
        <f>19</f>
        <v>19</v>
      </c>
    </row>
    <row r="156" spans="1:24">
      <c r="A156" s="60" t="s">
        <v>916</v>
      </c>
      <c r="B156" s="60" t="s">
        <v>514</v>
      </c>
      <c r="C156" s="60" t="s">
        <v>515</v>
      </c>
      <c r="D156" s="60" t="s">
        <v>516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2053</f>
        <v>2053</v>
      </c>
      <c r="L156" s="67" t="s">
        <v>818</v>
      </c>
      <c r="M156" s="66">
        <f>2270</f>
        <v>2270</v>
      </c>
      <c r="N156" s="67" t="s">
        <v>816</v>
      </c>
      <c r="O156" s="66">
        <f>2053</f>
        <v>2053</v>
      </c>
      <c r="P156" s="67" t="s">
        <v>818</v>
      </c>
      <c r="Q156" s="66">
        <f>2258</f>
        <v>2258</v>
      </c>
      <c r="R156" s="67" t="s">
        <v>50</v>
      </c>
      <c r="S156" s="68">
        <f>2182.56</f>
        <v>2182.56</v>
      </c>
      <c r="T156" s="65">
        <f>8970</f>
        <v>8970</v>
      </c>
      <c r="U156" s="65" t="str">
        <f>"－"</f>
        <v>－</v>
      </c>
      <c r="V156" s="65">
        <f>19488250</f>
        <v>19488250</v>
      </c>
      <c r="W156" s="65" t="str">
        <f>"－"</f>
        <v>－</v>
      </c>
      <c r="X156" s="69">
        <f>16</f>
        <v>16</v>
      </c>
    </row>
    <row r="157" spans="1:24">
      <c r="A157" s="60" t="s">
        <v>916</v>
      </c>
      <c r="B157" s="60" t="s">
        <v>517</v>
      </c>
      <c r="C157" s="60" t="s">
        <v>518</v>
      </c>
      <c r="D157" s="60" t="s">
        <v>519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10</v>
      </c>
      <c r="K157" s="66">
        <f>2027</f>
        <v>2027</v>
      </c>
      <c r="L157" s="67" t="s">
        <v>833</v>
      </c>
      <c r="M157" s="66">
        <f>2292</f>
        <v>2292</v>
      </c>
      <c r="N157" s="67" t="s">
        <v>816</v>
      </c>
      <c r="O157" s="66">
        <f>2027</f>
        <v>2027</v>
      </c>
      <c r="P157" s="67" t="s">
        <v>833</v>
      </c>
      <c r="Q157" s="66">
        <f>2270</f>
        <v>2270</v>
      </c>
      <c r="R157" s="67" t="s">
        <v>50</v>
      </c>
      <c r="S157" s="68">
        <f>2196.42</f>
        <v>2196.42</v>
      </c>
      <c r="T157" s="65">
        <f>23290</f>
        <v>23290</v>
      </c>
      <c r="U157" s="65" t="str">
        <f>"－"</f>
        <v>－</v>
      </c>
      <c r="V157" s="65">
        <f>50219630</f>
        <v>50219630</v>
      </c>
      <c r="W157" s="65" t="str">
        <f>"－"</f>
        <v>－</v>
      </c>
      <c r="X157" s="69">
        <f>19</f>
        <v>19</v>
      </c>
    </row>
    <row r="158" spans="1:24">
      <c r="A158" s="60" t="s">
        <v>916</v>
      </c>
      <c r="B158" s="60" t="s">
        <v>520</v>
      </c>
      <c r="C158" s="60" t="s">
        <v>521</v>
      </c>
      <c r="D158" s="60" t="s">
        <v>522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10</v>
      </c>
      <c r="K158" s="66">
        <f>1217</f>
        <v>1217</v>
      </c>
      <c r="L158" s="67" t="s">
        <v>818</v>
      </c>
      <c r="M158" s="66">
        <f>1357</f>
        <v>1357</v>
      </c>
      <c r="N158" s="67" t="s">
        <v>816</v>
      </c>
      <c r="O158" s="66">
        <f>1217</f>
        <v>1217</v>
      </c>
      <c r="P158" s="67" t="s">
        <v>818</v>
      </c>
      <c r="Q158" s="66">
        <f>1344</f>
        <v>1344</v>
      </c>
      <c r="R158" s="67" t="s">
        <v>821</v>
      </c>
      <c r="S158" s="68">
        <f>1294.36</f>
        <v>1294.3599999999999</v>
      </c>
      <c r="T158" s="65">
        <f>8000</f>
        <v>8000</v>
      </c>
      <c r="U158" s="65" t="str">
        <f>"－"</f>
        <v>－</v>
      </c>
      <c r="V158" s="65">
        <f>10437020</f>
        <v>10437020</v>
      </c>
      <c r="W158" s="65" t="str">
        <f>"－"</f>
        <v>－</v>
      </c>
      <c r="X158" s="69">
        <f>11</f>
        <v>11</v>
      </c>
    </row>
    <row r="159" spans="1:24">
      <c r="A159" s="60" t="s">
        <v>916</v>
      </c>
      <c r="B159" s="60" t="s">
        <v>523</v>
      </c>
      <c r="C159" s="60" t="s">
        <v>524</v>
      </c>
      <c r="D159" s="60" t="s">
        <v>525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</v>
      </c>
      <c r="K159" s="66">
        <f>2438</f>
        <v>2438</v>
      </c>
      <c r="L159" s="67" t="s">
        <v>833</v>
      </c>
      <c r="M159" s="66">
        <f>2738</f>
        <v>2738</v>
      </c>
      <c r="N159" s="67" t="s">
        <v>816</v>
      </c>
      <c r="O159" s="66">
        <f>2437</f>
        <v>2437</v>
      </c>
      <c r="P159" s="67" t="s">
        <v>833</v>
      </c>
      <c r="Q159" s="66">
        <f>2689</f>
        <v>2689</v>
      </c>
      <c r="R159" s="67" t="s">
        <v>50</v>
      </c>
      <c r="S159" s="68">
        <f>2652.74</f>
        <v>2652.74</v>
      </c>
      <c r="T159" s="65">
        <f>5494977</f>
        <v>5494977</v>
      </c>
      <c r="U159" s="65">
        <f>689010</f>
        <v>689010</v>
      </c>
      <c r="V159" s="65">
        <f>14434473911</f>
        <v>14434473911</v>
      </c>
      <c r="W159" s="65">
        <f>1795632393</f>
        <v>1795632393</v>
      </c>
      <c r="X159" s="69">
        <f>19</f>
        <v>19</v>
      </c>
    </row>
    <row r="160" spans="1:24">
      <c r="A160" s="60" t="s">
        <v>916</v>
      </c>
      <c r="B160" s="60" t="s">
        <v>526</v>
      </c>
      <c r="C160" s="60" t="s">
        <v>527</v>
      </c>
      <c r="D160" s="60" t="s">
        <v>528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2605</f>
        <v>2605</v>
      </c>
      <c r="L160" s="67" t="s">
        <v>833</v>
      </c>
      <c r="M160" s="66">
        <f>2624</f>
        <v>2624</v>
      </c>
      <c r="N160" s="67" t="s">
        <v>818</v>
      </c>
      <c r="O160" s="66">
        <f>2577</f>
        <v>2577</v>
      </c>
      <c r="P160" s="67" t="s">
        <v>119</v>
      </c>
      <c r="Q160" s="66">
        <f>2592</f>
        <v>2592</v>
      </c>
      <c r="R160" s="67" t="s">
        <v>50</v>
      </c>
      <c r="S160" s="68">
        <f>2600.21</f>
        <v>2600.21</v>
      </c>
      <c r="T160" s="65">
        <f>1273363</f>
        <v>1273363</v>
      </c>
      <c r="U160" s="65">
        <f>787000</f>
        <v>787000</v>
      </c>
      <c r="V160" s="65">
        <f>3315830494</f>
        <v>3315830494</v>
      </c>
      <c r="W160" s="65">
        <f>2045658100</f>
        <v>2045658100</v>
      </c>
      <c r="X160" s="69">
        <f>19</f>
        <v>19</v>
      </c>
    </row>
    <row r="161" spans="1:24">
      <c r="A161" s="60" t="s">
        <v>916</v>
      </c>
      <c r="B161" s="60" t="s">
        <v>529</v>
      </c>
      <c r="C161" s="60" t="s">
        <v>530</v>
      </c>
      <c r="D161" s="60" t="s">
        <v>531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2162</f>
        <v>2162</v>
      </c>
      <c r="L161" s="67" t="s">
        <v>833</v>
      </c>
      <c r="M161" s="66">
        <f>2455</f>
        <v>2455</v>
      </c>
      <c r="N161" s="67" t="s">
        <v>816</v>
      </c>
      <c r="O161" s="66">
        <f>2160</f>
        <v>2160</v>
      </c>
      <c r="P161" s="67" t="s">
        <v>833</v>
      </c>
      <c r="Q161" s="66">
        <f>2417</f>
        <v>2417</v>
      </c>
      <c r="R161" s="67" t="s">
        <v>50</v>
      </c>
      <c r="S161" s="68">
        <f>2367.68</f>
        <v>2367.6799999999998</v>
      </c>
      <c r="T161" s="65">
        <f>64691</f>
        <v>64691</v>
      </c>
      <c r="U161" s="65">
        <f>2</f>
        <v>2</v>
      </c>
      <c r="V161" s="65">
        <f>152669872</f>
        <v>152669872</v>
      </c>
      <c r="W161" s="65">
        <f>4851</f>
        <v>4851</v>
      </c>
      <c r="X161" s="69">
        <f>19</f>
        <v>19</v>
      </c>
    </row>
    <row r="162" spans="1:24">
      <c r="A162" s="60" t="s">
        <v>916</v>
      </c>
      <c r="B162" s="60" t="s">
        <v>532</v>
      </c>
      <c r="C162" s="60" t="s">
        <v>533</v>
      </c>
      <c r="D162" s="60" t="s">
        <v>534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1856</f>
        <v>1856</v>
      </c>
      <c r="L162" s="67" t="s">
        <v>833</v>
      </c>
      <c r="M162" s="66">
        <f>2092</f>
        <v>2092</v>
      </c>
      <c r="N162" s="67" t="s">
        <v>816</v>
      </c>
      <c r="O162" s="66">
        <f>1851</f>
        <v>1851</v>
      </c>
      <c r="P162" s="67" t="s">
        <v>833</v>
      </c>
      <c r="Q162" s="66">
        <f>2041</f>
        <v>2041</v>
      </c>
      <c r="R162" s="67" t="s">
        <v>50</v>
      </c>
      <c r="S162" s="68">
        <f>2008.63</f>
        <v>2008.63</v>
      </c>
      <c r="T162" s="65">
        <f>299969</f>
        <v>299969</v>
      </c>
      <c r="U162" s="65">
        <f>4</f>
        <v>4</v>
      </c>
      <c r="V162" s="65">
        <f>595139247</f>
        <v>595139247</v>
      </c>
      <c r="W162" s="65">
        <f>8221</f>
        <v>8221</v>
      </c>
      <c r="X162" s="69">
        <f>19</f>
        <v>19</v>
      </c>
    </row>
    <row r="163" spans="1:24">
      <c r="A163" s="60" t="s">
        <v>916</v>
      </c>
      <c r="B163" s="60" t="s">
        <v>535</v>
      </c>
      <c r="C163" s="60" t="s">
        <v>536</v>
      </c>
      <c r="D163" s="60" t="s">
        <v>537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1671</f>
        <v>1671</v>
      </c>
      <c r="L163" s="67" t="s">
        <v>833</v>
      </c>
      <c r="M163" s="66">
        <f>1898</f>
        <v>1898</v>
      </c>
      <c r="N163" s="67" t="s">
        <v>79</v>
      </c>
      <c r="O163" s="66">
        <f>1666</f>
        <v>1666</v>
      </c>
      <c r="P163" s="67" t="s">
        <v>833</v>
      </c>
      <c r="Q163" s="66">
        <f>1844</f>
        <v>1844</v>
      </c>
      <c r="R163" s="67" t="s">
        <v>50</v>
      </c>
      <c r="S163" s="68">
        <f>1826.53</f>
        <v>1826.53</v>
      </c>
      <c r="T163" s="65">
        <f>629962</f>
        <v>629962</v>
      </c>
      <c r="U163" s="65">
        <f>1</f>
        <v>1</v>
      </c>
      <c r="V163" s="65">
        <f>1143011489</f>
        <v>1143011489</v>
      </c>
      <c r="W163" s="65">
        <f>1893</f>
        <v>1893</v>
      </c>
      <c r="X163" s="69">
        <f>19</f>
        <v>19</v>
      </c>
    </row>
    <row r="164" spans="1:24">
      <c r="A164" s="60" t="s">
        <v>916</v>
      </c>
      <c r="B164" s="60" t="s">
        <v>538</v>
      </c>
      <c r="C164" s="60" t="s">
        <v>539</v>
      </c>
      <c r="D164" s="60" t="s">
        <v>540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8800</f>
        <v>8800</v>
      </c>
      <c r="L164" s="67" t="s">
        <v>833</v>
      </c>
      <c r="M164" s="66">
        <f>9610</f>
        <v>9610</v>
      </c>
      <c r="N164" s="67" t="s">
        <v>834</v>
      </c>
      <c r="O164" s="66">
        <f>8800</f>
        <v>8800</v>
      </c>
      <c r="P164" s="67" t="s">
        <v>833</v>
      </c>
      <c r="Q164" s="66">
        <f>9360</f>
        <v>9360</v>
      </c>
      <c r="R164" s="67" t="s">
        <v>50</v>
      </c>
      <c r="S164" s="68">
        <f>9266.84</f>
        <v>9266.84</v>
      </c>
      <c r="T164" s="65">
        <f>18302</f>
        <v>18302</v>
      </c>
      <c r="U164" s="65">
        <f>2</f>
        <v>2</v>
      </c>
      <c r="V164" s="65">
        <f>169993420</f>
        <v>169993420</v>
      </c>
      <c r="W164" s="65">
        <f>18770</f>
        <v>18770</v>
      </c>
      <c r="X164" s="69">
        <f>19</f>
        <v>19</v>
      </c>
    </row>
    <row r="165" spans="1:24">
      <c r="A165" s="60" t="s">
        <v>916</v>
      </c>
      <c r="B165" s="60" t="s">
        <v>541</v>
      </c>
      <c r="C165" s="60" t="s">
        <v>542</v>
      </c>
      <c r="D165" s="60" t="s">
        <v>543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100</v>
      </c>
      <c r="K165" s="66">
        <f>114</f>
        <v>114</v>
      </c>
      <c r="L165" s="67" t="s">
        <v>833</v>
      </c>
      <c r="M165" s="66">
        <f>124</f>
        <v>124</v>
      </c>
      <c r="N165" s="67" t="s">
        <v>175</v>
      </c>
      <c r="O165" s="66">
        <f>111</f>
        <v>111</v>
      </c>
      <c r="P165" s="67" t="s">
        <v>833</v>
      </c>
      <c r="Q165" s="66">
        <f>120</f>
        <v>120</v>
      </c>
      <c r="R165" s="67" t="s">
        <v>50</v>
      </c>
      <c r="S165" s="68">
        <f>117.68</f>
        <v>117.68</v>
      </c>
      <c r="T165" s="65">
        <f>29800</f>
        <v>29800</v>
      </c>
      <c r="U165" s="65" t="str">
        <f>"－"</f>
        <v>－</v>
      </c>
      <c r="V165" s="65">
        <f>3526600</f>
        <v>3526600</v>
      </c>
      <c r="W165" s="65" t="str">
        <f>"－"</f>
        <v>－</v>
      </c>
      <c r="X165" s="69">
        <f>19</f>
        <v>19</v>
      </c>
    </row>
    <row r="166" spans="1:24">
      <c r="A166" s="60" t="s">
        <v>916</v>
      </c>
      <c r="B166" s="60" t="s">
        <v>544</v>
      </c>
      <c r="C166" s="60" t="s">
        <v>545</v>
      </c>
      <c r="D166" s="60" t="s">
        <v>546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</v>
      </c>
      <c r="K166" s="66">
        <f>708</f>
        <v>708</v>
      </c>
      <c r="L166" s="67" t="s">
        <v>833</v>
      </c>
      <c r="M166" s="66">
        <f>928</f>
        <v>928</v>
      </c>
      <c r="N166" s="67" t="s">
        <v>821</v>
      </c>
      <c r="O166" s="66">
        <f>707</f>
        <v>707</v>
      </c>
      <c r="P166" s="67" t="s">
        <v>833</v>
      </c>
      <c r="Q166" s="66">
        <f>899</f>
        <v>899</v>
      </c>
      <c r="R166" s="67" t="s">
        <v>50</v>
      </c>
      <c r="S166" s="68">
        <f>838.84</f>
        <v>838.84</v>
      </c>
      <c r="T166" s="65">
        <f>61628706</f>
        <v>61628706</v>
      </c>
      <c r="U166" s="65">
        <f>538882</f>
        <v>538882</v>
      </c>
      <c r="V166" s="65">
        <f>51825258328</f>
        <v>51825258328</v>
      </c>
      <c r="W166" s="65">
        <f>390555489</f>
        <v>390555489</v>
      </c>
      <c r="X166" s="69">
        <f>19</f>
        <v>19</v>
      </c>
    </row>
    <row r="167" spans="1:24">
      <c r="A167" s="60" t="s">
        <v>916</v>
      </c>
      <c r="B167" s="60" t="s">
        <v>737</v>
      </c>
      <c r="C167" s="60" t="s">
        <v>738</v>
      </c>
      <c r="D167" s="60" t="s">
        <v>739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f>18340</f>
        <v>18340</v>
      </c>
      <c r="L167" s="67" t="s">
        <v>833</v>
      </c>
      <c r="M167" s="66">
        <f>19330</f>
        <v>19330</v>
      </c>
      <c r="N167" s="67" t="s">
        <v>119</v>
      </c>
      <c r="O167" s="66">
        <f>17400</f>
        <v>17400</v>
      </c>
      <c r="P167" s="67" t="s">
        <v>50</v>
      </c>
      <c r="Q167" s="66">
        <f>17510</f>
        <v>17510</v>
      </c>
      <c r="R167" s="67" t="s">
        <v>50</v>
      </c>
      <c r="S167" s="68">
        <f>18510.53</f>
        <v>18510.53</v>
      </c>
      <c r="T167" s="65">
        <f>7705</f>
        <v>7705</v>
      </c>
      <c r="U167" s="65" t="str">
        <f>"－"</f>
        <v>－</v>
      </c>
      <c r="V167" s="65">
        <f>141853880</f>
        <v>141853880</v>
      </c>
      <c r="W167" s="65" t="str">
        <f>"－"</f>
        <v>－</v>
      </c>
      <c r="X167" s="69">
        <f>19</f>
        <v>19</v>
      </c>
    </row>
    <row r="168" spans="1:24">
      <c r="A168" s="60" t="s">
        <v>916</v>
      </c>
      <c r="B168" s="60" t="s">
        <v>740</v>
      </c>
      <c r="C168" s="60" t="s">
        <v>741</v>
      </c>
      <c r="D168" s="60" t="s">
        <v>742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10</v>
      </c>
      <c r="K168" s="66">
        <f>2277</f>
        <v>2277</v>
      </c>
      <c r="L168" s="67" t="s">
        <v>833</v>
      </c>
      <c r="M168" s="66">
        <f>2519</f>
        <v>2519</v>
      </c>
      <c r="N168" s="67" t="s">
        <v>119</v>
      </c>
      <c r="O168" s="66">
        <f>2120</f>
        <v>2120</v>
      </c>
      <c r="P168" s="67" t="s">
        <v>50</v>
      </c>
      <c r="Q168" s="66">
        <f>2145</f>
        <v>2145</v>
      </c>
      <c r="R168" s="67" t="s">
        <v>50</v>
      </c>
      <c r="S168" s="68">
        <f>2347.84</f>
        <v>2347.84</v>
      </c>
      <c r="T168" s="65">
        <f>29790</f>
        <v>29790</v>
      </c>
      <c r="U168" s="65" t="str">
        <f>"－"</f>
        <v>－</v>
      </c>
      <c r="V168" s="65">
        <f>68821390</f>
        <v>68821390</v>
      </c>
      <c r="W168" s="65" t="str">
        <f>"－"</f>
        <v>－</v>
      </c>
      <c r="X168" s="69">
        <f>19</f>
        <v>19</v>
      </c>
    </row>
    <row r="169" spans="1:24">
      <c r="A169" s="60" t="s">
        <v>916</v>
      </c>
      <c r="B169" s="60" t="s">
        <v>743</v>
      </c>
      <c r="C169" s="60" t="s">
        <v>744</v>
      </c>
      <c r="D169" s="60" t="s">
        <v>745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</v>
      </c>
      <c r="K169" s="66">
        <f>8250</f>
        <v>8250</v>
      </c>
      <c r="L169" s="67" t="s">
        <v>833</v>
      </c>
      <c r="M169" s="66">
        <f>9600</f>
        <v>9600</v>
      </c>
      <c r="N169" s="67" t="s">
        <v>91</v>
      </c>
      <c r="O169" s="66">
        <f>8200</f>
        <v>8200</v>
      </c>
      <c r="P169" s="67" t="s">
        <v>833</v>
      </c>
      <c r="Q169" s="66">
        <f>9390</f>
        <v>9390</v>
      </c>
      <c r="R169" s="67" t="s">
        <v>50</v>
      </c>
      <c r="S169" s="68">
        <f>9002.11</f>
        <v>9002.11</v>
      </c>
      <c r="T169" s="65">
        <f>16171</f>
        <v>16171</v>
      </c>
      <c r="U169" s="65">
        <f>1</f>
        <v>1</v>
      </c>
      <c r="V169" s="65">
        <f>147544580</f>
        <v>147544580</v>
      </c>
      <c r="W169" s="65">
        <f>8670</f>
        <v>8670</v>
      </c>
      <c r="X169" s="69">
        <f>19</f>
        <v>19</v>
      </c>
    </row>
    <row r="170" spans="1:24">
      <c r="A170" s="60" t="s">
        <v>916</v>
      </c>
      <c r="B170" s="60" t="s">
        <v>746</v>
      </c>
      <c r="C170" s="60" t="s">
        <v>747</v>
      </c>
      <c r="D170" s="60" t="s">
        <v>748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</v>
      </c>
      <c r="K170" s="66">
        <f>22500</f>
        <v>22500</v>
      </c>
      <c r="L170" s="67" t="s">
        <v>818</v>
      </c>
      <c r="M170" s="66">
        <f>24900</f>
        <v>24900</v>
      </c>
      <c r="N170" s="67" t="s">
        <v>820</v>
      </c>
      <c r="O170" s="66">
        <f>22400</f>
        <v>22400</v>
      </c>
      <c r="P170" s="67" t="s">
        <v>818</v>
      </c>
      <c r="Q170" s="66">
        <f>23400</f>
        <v>23400</v>
      </c>
      <c r="R170" s="67" t="s">
        <v>821</v>
      </c>
      <c r="S170" s="68">
        <f>23606.92</f>
        <v>23606.92</v>
      </c>
      <c r="T170" s="65">
        <f>184</f>
        <v>184</v>
      </c>
      <c r="U170" s="65" t="str">
        <f>"－"</f>
        <v>－</v>
      </c>
      <c r="V170" s="65">
        <f>4393580</f>
        <v>4393580</v>
      </c>
      <c r="W170" s="65" t="str">
        <f>"－"</f>
        <v>－</v>
      </c>
      <c r="X170" s="69">
        <f>13</f>
        <v>13</v>
      </c>
    </row>
    <row r="171" spans="1:24">
      <c r="A171" s="60" t="s">
        <v>916</v>
      </c>
      <c r="B171" s="60" t="s">
        <v>749</v>
      </c>
      <c r="C171" s="60" t="s">
        <v>750</v>
      </c>
      <c r="D171" s="60" t="s">
        <v>751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</v>
      </c>
      <c r="K171" s="66">
        <f>15240</f>
        <v>15240</v>
      </c>
      <c r="L171" s="67" t="s">
        <v>833</v>
      </c>
      <c r="M171" s="66">
        <f>17200</f>
        <v>17200</v>
      </c>
      <c r="N171" s="67" t="s">
        <v>834</v>
      </c>
      <c r="O171" s="66">
        <f>15240</f>
        <v>15240</v>
      </c>
      <c r="P171" s="67" t="s">
        <v>833</v>
      </c>
      <c r="Q171" s="66">
        <f>16460</f>
        <v>16460</v>
      </c>
      <c r="R171" s="67" t="s">
        <v>50</v>
      </c>
      <c r="S171" s="68">
        <f>16590</f>
        <v>16590</v>
      </c>
      <c r="T171" s="65">
        <f>12</f>
        <v>12</v>
      </c>
      <c r="U171" s="65" t="str">
        <f>"－"</f>
        <v>－</v>
      </c>
      <c r="V171" s="65">
        <f>194910</f>
        <v>194910</v>
      </c>
      <c r="W171" s="65" t="str">
        <f>"－"</f>
        <v>－</v>
      </c>
      <c r="X171" s="69">
        <f>4</f>
        <v>4</v>
      </c>
    </row>
    <row r="172" spans="1:24">
      <c r="A172" s="60" t="s">
        <v>916</v>
      </c>
      <c r="B172" s="60" t="s">
        <v>547</v>
      </c>
      <c r="C172" s="60" t="s">
        <v>548</v>
      </c>
      <c r="D172" s="60" t="s">
        <v>549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10</v>
      </c>
      <c r="K172" s="66">
        <f>50800</f>
        <v>50800</v>
      </c>
      <c r="L172" s="67" t="s">
        <v>833</v>
      </c>
      <c r="M172" s="66">
        <f>51300</f>
        <v>51300</v>
      </c>
      <c r="N172" s="67" t="s">
        <v>821</v>
      </c>
      <c r="O172" s="66">
        <f>50500</f>
        <v>50500</v>
      </c>
      <c r="P172" s="67" t="s">
        <v>833</v>
      </c>
      <c r="Q172" s="66">
        <f>51300</f>
        <v>51300</v>
      </c>
      <c r="R172" s="67" t="s">
        <v>50</v>
      </c>
      <c r="S172" s="68">
        <f>50894.74</f>
        <v>50894.74</v>
      </c>
      <c r="T172" s="65">
        <f>8150</f>
        <v>8150</v>
      </c>
      <c r="U172" s="65">
        <f>20</f>
        <v>20</v>
      </c>
      <c r="V172" s="65">
        <f>414664000</f>
        <v>414664000</v>
      </c>
      <c r="W172" s="65">
        <f>1015000</f>
        <v>1015000</v>
      </c>
      <c r="X172" s="69">
        <f>19</f>
        <v>19</v>
      </c>
    </row>
    <row r="173" spans="1:24">
      <c r="A173" s="60" t="s">
        <v>916</v>
      </c>
      <c r="B173" s="60" t="s">
        <v>550</v>
      </c>
      <c r="C173" s="60" t="s">
        <v>551</v>
      </c>
      <c r="D173" s="60" t="s">
        <v>552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100</v>
      </c>
      <c r="K173" s="66">
        <f>146</f>
        <v>146</v>
      </c>
      <c r="L173" s="67" t="s">
        <v>833</v>
      </c>
      <c r="M173" s="66">
        <f>167</f>
        <v>167</v>
      </c>
      <c r="N173" s="67" t="s">
        <v>816</v>
      </c>
      <c r="O173" s="66">
        <f>145</f>
        <v>145</v>
      </c>
      <c r="P173" s="67" t="s">
        <v>833</v>
      </c>
      <c r="Q173" s="66">
        <f>161</f>
        <v>161</v>
      </c>
      <c r="R173" s="67" t="s">
        <v>50</v>
      </c>
      <c r="S173" s="68">
        <f>159.05</f>
        <v>159.05000000000001</v>
      </c>
      <c r="T173" s="65">
        <f>9200200</f>
        <v>9200200</v>
      </c>
      <c r="U173" s="65">
        <f>9400</f>
        <v>9400</v>
      </c>
      <c r="V173" s="65">
        <f>1473532900</f>
        <v>1473532900</v>
      </c>
      <c r="W173" s="65">
        <f>1522500</f>
        <v>1522500</v>
      </c>
      <c r="X173" s="69">
        <f>19</f>
        <v>19</v>
      </c>
    </row>
    <row r="174" spans="1:24">
      <c r="A174" s="60" t="s">
        <v>916</v>
      </c>
      <c r="B174" s="60" t="s">
        <v>553</v>
      </c>
      <c r="C174" s="60" t="s">
        <v>554</v>
      </c>
      <c r="D174" s="60" t="s">
        <v>555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</v>
      </c>
      <c r="K174" s="66">
        <f>24630</f>
        <v>24630</v>
      </c>
      <c r="L174" s="67" t="s">
        <v>833</v>
      </c>
      <c r="M174" s="66">
        <f>28110</f>
        <v>28110</v>
      </c>
      <c r="N174" s="67" t="s">
        <v>816</v>
      </c>
      <c r="O174" s="66">
        <f>24610</f>
        <v>24610</v>
      </c>
      <c r="P174" s="67" t="s">
        <v>833</v>
      </c>
      <c r="Q174" s="66">
        <f>27500</f>
        <v>27500</v>
      </c>
      <c r="R174" s="67" t="s">
        <v>50</v>
      </c>
      <c r="S174" s="68">
        <f>27078.95</f>
        <v>27078.95</v>
      </c>
      <c r="T174" s="65">
        <f>13480</f>
        <v>13480</v>
      </c>
      <c r="U174" s="65">
        <f>10</f>
        <v>10</v>
      </c>
      <c r="V174" s="65">
        <f>361660600</f>
        <v>361660600</v>
      </c>
      <c r="W174" s="65">
        <f>270800</f>
        <v>270800</v>
      </c>
      <c r="X174" s="69">
        <f>19</f>
        <v>19</v>
      </c>
    </row>
    <row r="175" spans="1:24">
      <c r="A175" s="60" t="s">
        <v>916</v>
      </c>
      <c r="B175" s="60" t="s">
        <v>556</v>
      </c>
      <c r="C175" s="60" t="s">
        <v>557</v>
      </c>
      <c r="D175" s="60" t="s">
        <v>558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2533</f>
        <v>2533</v>
      </c>
      <c r="L175" s="67" t="s">
        <v>833</v>
      </c>
      <c r="M175" s="66">
        <f>2839</f>
        <v>2839</v>
      </c>
      <c r="N175" s="67" t="s">
        <v>816</v>
      </c>
      <c r="O175" s="66">
        <f>2526</f>
        <v>2526</v>
      </c>
      <c r="P175" s="67" t="s">
        <v>833</v>
      </c>
      <c r="Q175" s="66">
        <f>2789</f>
        <v>2789</v>
      </c>
      <c r="R175" s="67" t="s">
        <v>50</v>
      </c>
      <c r="S175" s="68">
        <f>2744.16</f>
        <v>2744.16</v>
      </c>
      <c r="T175" s="65">
        <f>169420</f>
        <v>169420</v>
      </c>
      <c r="U175" s="65">
        <f>10</f>
        <v>10</v>
      </c>
      <c r="V175" s="65">
        <f>469504280</f>
        <v>469504280</v>
      </c>
      <c r="W175" s="65">
        <f>27210</f>
        <v>27210</v>
      </c>
      <c r="X175" s="69">
        <f>19</f>
        <v>19</v>
      </c>
    </row>
    <row r="176" spans="1:24">
      <c r="A176" s="60" t="s">
        <v>916</v>
      </c>
      <c r="B176" s="60" t="s">
        <v>559</v>
      </c>
      <c r="C176" s="60" t="s">
        <v>560</v>
      </c>
      <c r="D176" s="60" t="s">
        <v>561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1454</f>
        <v>1454</v>
      </c>
      <c r="L176" s="67" t="s">
        <v>833</v>
      </c>
      <c r="M176" s="66">
        <f>1629</f>
        <v>1629</v>
      </c>
      <c r="N176" s="67" t="s">
        <v>816</v>
      </c>
      <c r="O176" s="66">
        <f>1453</f>
        <v>1453</v>
      </c>
      <c r="P176" s="67" t="s">
        <v>833</v>
      </c>
      <c r="Q176" s="66">
        <f>1591</f>
        <v>1591</v>
      </c>
      <c r="R176" s="67" t="s">
        <v>50</v>
      </c>
      <c r="S176" s="68">
        <f>1566.32</f>
        <v>1566.32</v>
      </c>
      <c r="T176" s="65">
        <f>196100</f>
        <v>196100</v>
      </c>
      <c r="U176" s="65">
        <f>30</f>
        <v>30</v>
      </c>
      <c r="V176" s="65">
        <f>308842770</f>
        <v>308842770</v>
      </c>
      <c r="W176" s="65">
        <f>47480</f>
        <v>47480</v>
      </c>
      <c r="X176" s="69">
        <f>19</f>
        <v>19</v>
      </c>
    </row>
    <row r="177" spans="1:24">
      <c r="A177" s="60" t="s">
        <v>916</v>
      </c>
      <c r="B177" s="60" t="s">
        <v>562</v>
      </c>
      <c r="C177" s="60" t="s">
        <v>854</v>
      </c>
      <c r="D177" s="60" t="s">
        <v>855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100</v>
      </c>
      <c r="K177" s="66">
        <f>152</f>
        <v>152</v>
      </c>
      <c r="L177" s="67" t="s">
        <v>833</v>
      </c>
      <c r="M177" s="66">
        <f>178</f>
        <v>178</v>
      </c>
      <c r="N177" s="67" t="s">
        <v>821</v>
      </c>
      <c r="O177" s="66">
        <f>151</f>
        <v>151</v>
      </c>
      <c r="P177" s="67" t="s">
        <v>833</v>
      </c>
      <c r="Q177" s="66">
        <f>170</f>
        <v>170</v>
      </c>
      <c r="R177" s="67" t="s">
        <v>50</v>
      </c>
      <c r="S177" s="68">
        <f>164.89</f>
        <v>164.89</v>
      </c>
      <c r="T177" s="65">
        <f>779200</f>
        <v>779200</v>
      </c>
      <c r="U177" s="65">
        <f>100</f>
        <v>100</v>
      </c>
      <c r="V177" s="65">
        <f>129903900</f>
        <v>129903900</v>
      </c>
      <c r="W177" s="65">
        <f>17200</f>
        <v>17200</v>
      </c>
      <c r="X177" s="69">
        <f>19</f>
        <v>19</v>
      </c>
    </row>
    <row r="178" spans="1:24">
      <c r="A178" s="60" t="s">
        <v>916</v>
      </c>
      <c r="B178" s="60" t="s">
        <v>752</v>
      </c>
      <c r="C178" s="60" t="s">
        <v>753</v>
      </c>
      <c r="D178" s="60" t="s">
        <v>754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</v>
      </c>
      <c r="K178" s="66">
        <f>795</f>
        <v>795</v>
      </c>
      <c r="L178" s="67" t="s">
        <v>819</v>
      </c>
      <c r="M178" s="66">
        <f>795</f>
        <v>795</v>
      </c>
      <c r="N178" s="67" t="s">
        <v>819</v>
      </c>
      <c r="O178" s="66">
        <f>795</f>
        <v>795</v>
      </c>
      <c r="P178" s="67" t="s">
        <v>819</v>
      </c>
      <c r="Q178" s="66">
        <f>795</f>
        <v>795</v>
      </c>
      <c r="R178" s="67" t="s">
        <v>819</v>
      </c>
      <c r="S178" s="68">
        <f>795</f>
        <v>795</v>
      </c>
      <c r="T178" s="65">
        <f>10</f>
        <v>10</v>
      </c>
      <c r="U178" s="65" t="str">
        <f>"－"</f>
        <v>－</v>
      </c>
      <c r="V178" s="65">
        <f>7950</f>
        <v>7950</v>
      </c>
      <c r="W178" s="65" t="str">
        <f>"－"</f>
        <v>－</v>
      </c>
      <c r="X178" s="69">
        <f>1</f>
        <v>1</v>
      </c>
    </row>
    <row r="179" spans="1:24">
      <c r="A179" s="60" t="s">
        <v>916</v>
      </c>
      <c r="B179" s="60" t="s">
        <v>755</v>
      </c>
      <c r="C179" s="60" t="s">
        <v>756</v>
      </c>
      <c r="D179" s="60" t="s">
        <v>757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f>207</f>
        <v>207</v>
      </c>
      <c r="L179" s="67" t="s">
        <v>833</v>
      </c>
      <c r="M179" s="66">
        <f>222</f>
        <v>222</v>
      </c>
      <c r="N179" s="67" t="s">
        <v>821</v>
      </c>
      <c r="O179" s="66">
        <f>196</f>
        <v>196</v>
      </c>
      <c r="P179" s="67" t="s">
        <v>119</v>
      </c>
      <c r="Q179" s="66">
        <f>216</f>
        <v>216</v>
      </c>
      <c r="R179" s="67" t="s">
        <v>50</v>
      </c>
      <c r="S179" s="68">
        <f>211.71</f>
        <v>211.71</v>
      </c>
      <c r="T179" s="65">
        <f>15500</f>
        <v>15500</v>
      </c>
      <c r="U179" s="65" t="str">
        <f>"－"</f>
        <v>－</v>
      </c>
      <c r="V179" s="65">
        <f>3346000</f>
        <v>3346000</v>
      </c>
      <c r="W179" s="65" t="str">
        <f>"－"</f>
        <v>－</v>
      </c>
      <c r="X179" s="69">
        <f>17</f>
        <v>17</v>
      </c>
    </row>
    <row r="180" spans="1:24">
      <c r="A180" s="60" t="s">
        <v>916</v>
      </c>
      <c r="B180" s="60" t="s">
        <v>758</v>
      </c>
      <c r="C180" s="60" t="s">
        <v>759</v>
      </c>
      <c r="D180" s="60" t="s">
        <v>760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>
        <f>1260</f>
        <v>1260</v>
      </c>
      <c r="L180" s="67" t="s">
        <v>818</v>
      </c>
      <c r="M180" s="66">
        <f>1361</f>
        <v>1361</v>
      </c>
      <c r="N180" s="67" t="s">
        <v>816</v>
      </c>
      <c r="O180" s="66">
        <f>1260</f>
        <v>1260</v>
      </c>
      <c r="P180" s="67" t="s">
        <v>818</v>
      </c>
      <c r="Q180" s="66">
        <f>1335</f>
        <v>1335</v>
      </c>
      <c r="R180" s="67" t="s">
        <v>50</v>
      </c>
      <c r="S180" s="68">
        <f>1299.2</f>
        <v>1299.2</v>
      </c>
      <c r="T180" s="65">
        <f>140</f>
        <v>140</v>
      </c>
      <c r="U180" s="65" t="str">
        <f>"－"</f>
        <v>－</v>
      </c>
      <c r="V180" s="65">
        <f>182620</f>
        <v>182620</v>
      </c>
      <c r="W180" s="65" t="str">
        <f>"－"</f>
        <v>－</v>
      </c>
      <c r="X180" s="69">
        <f>5</f>
        <v>5</v>
      </c>
    </row>
    <row r="181" spans="1:24">
      <c r="A181" s="60" t="s">
        <v>916</v>
      </c>
      <c r="B181" s="60" t="s">
        <v>761</v>
      </c>
      <c r="C181" s="60" t="s">
        <v>762</v>
      </c>
      <c r="D181" s="60" t="s">
        <v>763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432</f>
        <v>432</v>
      </c>
      <c r="L181" s="67" t="s">
        <v>833</v>
      </c>
      <c r="M181" s="66">
        <f>459</f>
        <v>459</v>
      </c>
      <c r="N181" s="67" t="s">
        <v>821</v>
      </c>
      <c r="O181" s="66">
        <f>420</f>
        <v>420</v>
      </c>
      <c r="P181" s="67" t="s">
        <v>833</v>
      </c>
      <c r="Q181" s="66">
        <f>452</f>
        <v>452</v>
      </c>
      <c r="R181" s="67" t="s">
        <v>50</v>
      </c>
      <c r="S181" s="68">
        <f>443.32</f>
        <v>443.32</v>
      </c>
      <c r="T181" s="65">
        <f>30100</f>
        <v>30100</v>
      </c>
      <c r="U181" s="65" t="str">
        <f>"－"</f>
        <v>－</v>
      </c>
      <c r="V181" s="65">
        <f>13491480</f>
        <v>13491480</v>
      </c>
      <c r="W181" s="65" t="str">
        <f>"－"</f>
        <v>－</v>
      </c>
      <c r="X181" s="69">
        <f>19</f>
        <v>19</v>
      </c>
    </row>
    <row r="182" spans="1:24">
      <c r="A182" s="60" t="s">
        <v>916</v>
      </c>
      <c r="B182" s="60" t="s">
        <v>764</v>
      </c>
      <c r="C182" s="60" t="s">
        <v>765</v>
      </c>
      <c r="D182" s="60" t="s">
        <v>766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</v>
      </c>
      <c r="K182" s="66">
        <f>310</f>
        <v>310</v>
      </c>
      <c r="L182" s="67" t="s">
        <v>833</v>
      </c>
      <c r="M182" s="66">
        <f>342</f>
        <v>342</v>
      </c>
      <c r="N182" s="67" t="s">
        <v>816</v>
      </c>
      <c r="O182" s="66">
        <f>303</f>
        <v>303</v>
      </c>
      <c r="P182" s="67" t="s">
        <v>833</v>
      </c>
      <c r="Q182" s="66">
        <f>338</f>
        <v>338</v>
      </c>
      <c r="R182" s="67" t="s">
        <v>50</v>
      </c>
      <c r="S182" s="68">
        <f>325.63</f>
        <v>325.63</v>
      </c>
      <c r="T182" s="65">
        <f>273480</f>
        <v>273480</v>
      </c>
      <c r="U182" s="65">
        <f>10</f>
        <v>10</v>
      </c>
      <c r="V182" s="65">
        <f>89191540</f>
        <v>89191540</v>
      </c>
      <c r="W182" s="65">
        <f>3230</f>
        <v>3230</v>
      </c>
      <c r="X182" s="69">
        <f>19</f>
        <v>19</v>
      </c>
    </row>
    <row r="183" spans="1:24">
      <c r="A183" s="60" t="s">
        <v>916</v>
      </c>
      <c r="B183" s="60" t="s">
        <v>767</v>
      </c>
      <c r="C183" s="60" t="s">
        <v>768</v>
      </c>
      <c r="D183" s="60" t="s">
        <v>769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100</v>
      </c>
      <c r="K183" s="66">
        <f>1</f>
        <v>1</v>
      </c>
      <c r="L183" s="67" t="s">
        <v>833</v>
      </c>
      <c r="M183" s="66">
        <f>2</f>
        <v>2</v>
      </c>
      <c r="N183" s="67" t="s">
        <v>833</v>
      </c>
      <c r="O183" s="66">
        <f>1</f>
        <v>1</v>
      </c>
      <c r="P183" s="67" t="s">
        <v>833</v>
      </c>
      <c r="Q183" s="66">
        <f>2</f>
        <v>2</v>
      </c>
      <c r="R183" s="67" t="s">
        <v>50</v>
      </c>
      <c r="S183" s="68">
        <f>1.47</f>
        <v>1.47</v>
      </c>
      <c r="T183" s="65">
        <f>208074000</f>
        <v>208074000</v>
      </c>
      <c r="U183" s="65" t="str">
        <f>"－"</f>
        <v>－</v>
      </c>
      <c r="V183" s="65">
        <f>343609700</f>
        <v>343609700</v>
      </c>
      <c r="W183" s="65" t="str">
        <f>"－"</f>
        <v>－</v>
      </c>
      <c r="X183" s="69">
        <f>19</f>
        <v>19</v>
      </c>
    </row>
    <row r="184" spans="1:24">
      <c r="A184" s="60" t="s">
        <v>916</v>
      </c>
      <c r="B184" s="60" t="s">
        <v>770</v>
      </c>
      <c r="C184" s="60" t="s">
        <v>771</v>
      </c>
      <c r="D184" s="60" t="s">
        <v>772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</v>
      </c>
      <c r="K184" s="66">
        <f>330</f>
        <v>330</v>
      </c>
      <c r="L184" s="67" t="s">
        <v>833</v>
      </c>
      <c r="M184" s="66">
        <f>431</f>
        <v>431</v>
      </c>
      <c r="N184" s="67" t="s">
        <v>821</v>
      </c>
      <c r="O184" s="66">
        <f>329</f>
        <v>329</v>
      </c>
      <c r="P184" s="67" t="s">
        <v>833</v>
      </c>
      <c r="Q184" s="66">
        <f>417</f>
        <v>417</v>
      </c>
      <c r="R184" s="67" t="s">
        <v>50</v>
      </c>
      <c r="S184" s="68">
        <f>389.53</f>
        <v>389.53</v>
      </c>
      <c r="T184" s="65">
        <f>1892150</f>
        <v>1892150</v>
      </c>
      <c r="U184" s="65">
        <f>10</f>
        <v>10</v>
      </c>
      <c r="V184" s="65">
        <f>742812360</f>
        <v>742812360</v>
      </c>
      <c r="W184" s="65">
        <f>4080</f>
        <v>4080</v>
      </c>
      <c r="X184" s="69">
        <f>19</f>
        <v>19</v>
      </c>
    </row>
    <row r="185" spans="1:24">
      <c r="A185" s="60" t="s">
        <v>916</v>
      </c>
      <c r="B185" s="60" t="s">
        <v>773</v>
      </c>
      <c r="C185" s="60" t="s">
        <v>774</v>
      </c>
      <c r="D185" s="60" t="s">
        <v>775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</v>
      </c>
      <c r="K185" s="66">
        <f>1485</f>
        <v>1485</v>
      </c>
      <c r="L185" s="67" t="s">
        <v>833</v>
      </c>
      <c r="M185" s="66">
        <f>1795</f>
        <v>1795</v>
      </c>
      <c r="N185" s="67" t="s">
        <v>91</v>
      </c>
      <c r="O185" s="66">
        <f>1430</f>
        <v>1430</v>
      </c>
      <c r="P185" s="67" t="s">
        <v>833</v>
      </c>
      <c r="Q185" s="66">
        <f>1732</f>
        <v>1732</v>
      </c>
      <c r="R185" s="67" t="s">
        <v>50</v>
      </c>
      <c r="S185" s="68">
        <f>1631.06</f>
        <v>1631.06</v>
      </c>
      <c r="T185" s="65">
        <f>2191</f>
        <v>2191</v>
      </c>
      <c r="U185" s="65">
        <f>1</f>
        <v>1</v>
      </c>
      <c r="V185" s="65">
        <f>3657724</f>
        <v>3657724</v>
      </c>
      <c r="W185" s="65">
        <f>1774</f>
        <v>1774</v>
      </c>
      <c r="X185" s="69">
        <f>18</f>
        <v>18</v>
      </c>
    </row>
    <row r="186" spans="1:24">
      <c r="A186" s="60" t="s">
        <v>916</v>
      </c>
      <c r="B186" s="60" t="s">
        <v>776</v>
      </c>
      <c r="C186" s="60" t="s">
        <v>777</v>
      </c>
      <c r="D186" s="60" t="s">
        <v>778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100</v>
      </c>
      <c r="K186" s="66">
        <f>281</f>
        <v>281</v>
      </c>
      <c r="L186" s="67" t="s">
        <v>48</v>
      </c>
      <c r="M186" s="66">
        <f>290</f>
        <v>290</v>
      </c>
      <c r="N186" s="67" t="s">
        <v>820</v>
      </c>
      <c r="O186" s="66">
        <f>280</f>
        <v>280</v>
      </c>
      <c r="P186" s="67" t="s">
        <v>48</v>
      </c>
      <c r="Q186" s="66">
        <f>290</f>
        <v>290</v>
      </c>
      <c r="R186" s="67" t="s">
        <v>820</v>
      </c>
      <c r="S186" s="68">
        <f>285</f>
        <v>285</v>
      </c>
      <c r="T186" s="65">
        <f>3500</f>
        <v>3500</v>
      </c>
      <c r="U186" s="65" t="str">
        <f>"－"</f>
        <v>－</v>
      </c>
      <c r="V186" s="65">
        <f>985100</f>
        <v>985100</v>
      </c>
      <c r="W186" s="65" t="str">
        <f>"－"</f>
        <v>－</v>
      </c>
      <c r="X186" s="69">
        <f>2</f>
        <v>2</v>
      </c>
    </row>
    <row r="187" spans="1:24">
      <c r="A187" s="60" t="s">
        <v>916</v>
      </c>
      <c r="B187" s="60" t="s">
        <v>779</v>
      </c>
      <c r="C187" s="60" t="s">
        <v>780</v>
      </c>
      <c r="D187" s="60" t="s">
        <v>781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10</v>
      </c>
      <c r="K187" s="66">
        <f>2899</f>
        <v>2899</v>
      </c>
      <c r="L187" s="67" t="s">
        <v>833</v>
      </c>
      <c r="M187" s="66">
        <f>3440</f>
        <v>3440</v>
      </c>
      <c r="N187" s="67" t="s">
        <v>50</v>
      </c>
      <c r="O187" s="66">
        <f>2805</f>
        <v>2805</v>
      </c>
      <c r="P187" s="67" t="s">
        <v>818</v>
      </c>
      <c r="Q187" s="66">
        <f>3240</f>
        <v>3240</v>
      </c>
      <c r="R187" s="67" t="s">
        <v>50</v>
      </c>
      <c r="S187" s="68">
        <f>3033.5</f>
        <v>3033.5</v>
      </c>
      <c r="T187" s="65">
        <f>12020</f>
        <v>12020</v>
      </c>
      <c r="U187" s="65" t="str">
        <f>"－"</f>
        <v>－</v>
      </c>
      <c r="V187" s="65">
        <f>37643600</f>
        <v>37643600</v>
      </c>
      <c r="W187" s="65" t="str">
        <f>"－"</f>
        <v>－</v>
      </c>
      <c r="X187" s="69">
        <f>18</f>
        <v>18</v>
      </c>
    </row>
    <row r="188" spans="1:24">
      <c r="A188" s="60" t="s">
        <v>916</v>
      </c>
      <c r="B188" s="60" t="s">
        <v>782</v>
      </c>
      <c r="C188" s="60" t="s">
        <v>783</v>
      </c>
      <c r="D188" s="60" t="s">
        <v>784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</v>
      </c>
      <c r="K188" s="66">
        <f>1525</f>
        <v>1525</v>
      </c>
      <c r="L188" s="67" t="s">
        <v>119</v>
      </c>
      <c r="M188" s="66">
        <f>1744</f>
        <v>1744</v>
      </c>
      <c r="N188" s="67" t="s">
        <v>50</v>
      </c>
      <c r="O188" s="66">
        <f>1525</f>
        <v>1525</v>
      </c>
      <c r="P188" s="67" t="s">
        <v>119</v>
      </c>
      <c r="Q188" s="66">
        <f>1739</f>
        <v>1739</v>
      </c>
      <c r="R188" s="67" t="s">
        <v>50</v>
      </c>
      <c r="S188" s="68">
        <f>1614.33</f>
        <v>1614.33</v>
      </c>
      <c r="T188" s="65">
        <f>860</f>
        <v>860</v>
      </c>
      <c r="U188" s="65">
        <f>130</f>
        <v>130</v>
      </c>
      <c r="V188" s="65">
        <f>1382690</f>
        <v>1382690</v>
      </c>
      <c r="W188" s="65">
        <f>204100</f>
        <v>204100</v>
      </c>
      <c r="X188" s="69">
        <f>9</f>
        <v>9</v>
      </c>
    </row>
    <row r="189" spans="1:24">
      <c r="A189" s="60" t="s">
        <v>916</v>
      </c>
      <c r="B189" s="60" t="s">
        <v>785</v>
      </c>
      <c r="C189" s="60" t="s">
        <v>786</v>
      </c>
      <c r="D189" s="60" t="s">
        <v>787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100</v>
      </c>
      <c r="K189" s="66">
        <f>71</f>
        <v>71</v>
      </c>
      <c r="L189" s="67" t="s">
        <v>833</v>
      </c>
      <c r="M189" s="66">
        <f>74</f>
        <v>74</v>
      </c>
      <c r="N189" s="67" t="s">
        <v>834</v>
      </c>
      <c r="O189" s="66">
        <f>69</f>
        <v>69</v>
      </c>
      <c r="P189" s="67" t="s">
        <v>49</v>
      </c>
      <c r="Q189" s="66">
        <f>70</f>
        <v>70</v>
      </c>
      <c r="R189" s="67" t="s">
        <v>50</v>
      </c>
      <c r="S189" s="68">
        <f>71</f>
        <v>71</v>
      </c>
      <c r="T189" s="65">
        <f>5505600</f>
        <v>5505600</v>
      </c>
      <c r="U189" s="65">
        <f>100</f>
        <v>100</v>
      </c>
      <c r="V189" s="65">
        <f>392810200</f>
        <v>392810200</v>
      </c>
      <c r="W189" s="65">
        <f>7200</f>
        <v>7200</v>
      </c>
      <c r="X189" s="69">
        <f>19</f>
        <v>19</v>
      </c>
    </row>
    <row r="190" spans="1:24">
      <c r="A190" s="60" t="s">
        <v>916</v>
      </c>
      <c r="B190" s="60" t="s">
        <v>788</v>
      </c>
      <c r="C190" s="60" t="s">
        <v>789</v>
      </c>
      <c r="D190" s="60" t="s">
        <v>790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100</v>
      </c>
      <c r="K190" s="66">
        <f>73</f>
        <v>73</v>
      </c>
      <c r="L190" s="67" t="s">
        <v>833</v>
      </c>
      <c r="M190" s="66">
        <f>79</f>
        <v>79</v>
      </c>
      <c r="N190" s="67" t="s">
        <v>834</v>
      </c>
      <c r="O190" s="66">
        <f>72</f>
        <v>72</v>
      </c>
      <c r="P190" s="67" t="s">
        <v>833</v>
      </c>
      <c r="Q190" s="66">
        <f>78</f>
        <v>78</v>
      </c>
      <c r="R190" s="67" t="s">
        <v>50</v>
      </c>
      <c r="S190" s="68">
        <f>75.84</f>
        <v>75.84</v>
      </c>
      <c r="T190" s="65">
        <f>2760700</f>
        <v>2760700</v>
      </c>
      <c r="U190" s="65">
        <f>100</f>
        <v>100</v>
      </c>
      <c r="V190" s="65">
        <f>210586300</f>
        <v>210586300</v>
      </c>
      <c r="W190" s="65">
        <f>7800</f>
        <v>7800</v>
      </c>
      <c r="X190" s="69">
        <f>19</f>
        <v>19</v>
      </c>
    </row>
    <row r="191" spans="1:24">
      <c r="A191" s="60" t="s">
        <v>916</v>
      </c>
      <c r="B191" s="60" t="s">
        <v>791</v>
      </c>
      <c r="C191" s="60" t="s">
        <v>792</v>
      </c>
      <c r="D191" s="60" t="s">
        <v>793</v>
      </c>
      <c r="E191" s="61" t="s">
        <v>46</v>
      </c>
      <c r="F191" s="62" t="s">
        <v>46</v>
      </c>
      <c r="G191" s="63" t="s">
        <v>46</v>
      </c>
      <c r="H191" s="64"/>
      <c r="I191" s="64" t="s">
        <v>47</v>
      </c>
      <c r="J191" s="65">
        <v>10</v>
      </c>
      <c r="K191" s="66">
        <f>1915</f>
        <v>1915</v>
      </c>
      <c r="L191" s="67" t="s">
        <v>833</v>
      </c>
      <c r="M191" s="66">
        <f>2199</f>
        <v>2199</v>
      </c>
      <c r="N191" s="67" t="s">
        <v>816</v>
      </c>
      <c r="O191" s="66">
        <f>1908</f>
        <v>1908</v>
      </c>
      <c r="P191" s="67" t="s">
        <v>833</v>
      </c>
      <c r="Q191" s="66">
        <f>2147</f>
        <v>2147</v>
      </c>
      <c r="R191" s="67" t="s">
        <v>50</v>
      </c>
      <c r="S191" s="68">
        <f>2081.79</f>
        <v>2081.79</v>
      </c>
      <c r="T191" s="65">
        <f>20230</f>
        <v>20230</v>
      </c>
      <c r="U191" s="65" t="str">
        <f>"－"</f>
        <v>－</v>
      </c>
      <c r="V191" s="65">
        <f>41985680</f>
        <v>41985680</v>
      </c>
      <c r="W191" s="65" t="str">
        <f>"－"</f>
        <v>－</v>
      </c>
      <c r="X191" s="69">
        <f>19</f>
        <v>19</v>
      </c>
    </row>
    <row r="192" spans="1:24">
      <c r="A192" s="60" t="s">
        <v>916</v>
      </c>
      <c r="B192" s="60" t="s">
        <v>568</v>
      </c>
      <c r="C192" s="60" t="s">
        <v>569</v>
      </c>
      <c r="D192" s="60" t="s">
        <v>570</v>
      </c>
      <c r="E192" s="61" t="s">
        <v>46</v>
      </c>
      <c r="F192" s="62" t="s">
        <v>46</v>
      </c>
      <c r="G192" s="63" t="s">
        <v>46</v>
      </c>
      <c r="H192" s="64"/>
      <c r="I192" s="64" t="s">
        <v>47</v>
      </c>
      <c r="J192" s="65">
        <v>10</v>
      </c>
      <c r="K192" s="66">
        <f>1397</f>
        <v>1397</v>
      </c>
      <c r="L192" s="67" t="s">
        <v>833</v>
      </c>
      <c r="M192" s="66">
        <f>1571</f>
        <v>1571</v>
      </c>
      <c r="N192" s="67" t="s">
        <v>816</v>
      </c>
      <c r="O192" s="66">
        <f>1397</f>
        <v>1397</v>
      </c>
      <c r="P192" s="67" t="s">
        <v>833</v>
      </c>
      <c r="Q192" s="66">
        <f>1519</f>
        <v>1519</v>
      </c>
      <c r="R192" s="67" t="s">
        <v>50</v>
      </c>
      <c r="S192" s="68">
        <f>1495.37</f>
        <v>1495.37</v>
      </c>
      <c r="T192" s="65">
        <f>556510</f>
        <v>556510</v>
      </c>
      <c r="U192" s="65">
        <f>60020</f>
        <v>60020</v>
      </c>
      <c r="V192" s="65">
        <f>841630080</f>
        <v>841630080</v>
      </c>
      <c r="W192" s="65">
        <f>87334350</f>
        <v>87334350</v>
      </c>
      <c r="X192" s="69">
        <f>19</f>
        <v>19</v>
      </c>
    </row>
    <row r="193" spans="1:24">
      <c r="A193" s="60" t="s">
        <v>916</v>
      </c>
      <c r="B193" s="60" t="s">
        <v>571</v>
      </c>
      <c r="C193" s="60" t="s">
        <v>572</v>
      </c>
      <c r="D193" s="60" t="s">
        <v>573</v>
      </c>
      <c r="E193" s="61" t="s">
        <v>46</v>
      </c>
      <c r="F193" s="62" t="s">
        <v>46</v>
      </c>
      <c r="G193" s="63" t="s">
        <v>46</v>
      </c>
      <c r="H193" s="64"/>
      <c r="I193" s="64" t="s">
        <v>47</v>
      </c>
      <c r="J193" s="65">
        <v>10</v>
      </c>
      <c r="K193" s="66">
        <f>87</f>
        <v>87</v>
      </c>
      <c r="L193" s="67" t="s">
        <v>833</v>
      </c>
      <c r="M193" s="66">
        <f>114</f>
        <v>114</v>
      </c>
      <c r="N193" s="67" t="s">
        <v>816</v>
      </c>
      <c r="O193" s="66">
        <f>86</f>
        <v>86</v>
      </c>
      <c r="P193" s="67" t="s">
        <v>833</v>
      </c>
      <c r="Q193" s="66">
        <f>110</f>
        <v>110</v>
      </c>
      <c r="R193" s="67" t="s">
        <v>50</v>
      </c>
      <c r="S193" s="68">
        <f>102.63</f>
        <v>102.63</v>
      </c>
      <c r="T193" s="65">
        <f>337554720</f>
        <v>337554720</v>
      </c>
      <c r="U193" s="65">
        <f>228040</f>
        <v>228040</v>
      </c>
      <c r="V193" s="65">
        <f>34783289282</f>
        <v>34783289282</v>
      </c>
      <c r="W193" s="65">
        <f>24119692</f>
        <v>24119692</v>
      </c>
      <c r="X193" s="69">
        <f>19</f>
        <v>19</v>
      </c>
    </row>
    <row r="194" spans="1:24">
      <c r="A194" s="60" t="s">
        <v>916</v>
      </c>
      <c r="B194" s="60" t="s">
        <v>574</v>
      </c>
      <c r="C194" s="60" t="s">
        <v>575</v>
      </c>
      <c r="D194" s="60" t="s">
        <v>576</v>
      </c>
      <c r="E194" s="61" t="s">
        <v>46</v>
      </c>
      <c r="F194" s="62" t="s">
        <v>46</v>
      </c>
      <c r="G194" s="63" t="s">
        <v>46</v>
      </c>
      <c r="H194" s="64"/>
      <c r="I194" s="64" t="s">
        <v>577</v>
      </c>
      <c r="J194" s="65">
        <v>1</v>
      </c>
      <c r="K194" s="66">
        <f>8260</f>
        <v>8260</v>
      </c>
      <c r="L194" s="67" t="s">
        <v>833</v>
      </c>
      <c r="M194" s="66">
        <f>10230</f>
        <v>10230</v>
      </c>
      <c r="N194" s="67" t="s">
        <v>816</v>
      </c>
      <c r="O194" s="66">
        <f>8200</f>
        <v>8200</v>
      </c>
      <c r="P194" s="67" t="s">
        <v>833</v>
      </c>
      <c r="Q194" s="66">
        <f>9850</f>
        <v>9850</v>
      </c>
      <c r="R194" s="67" t="s">
        <v>50</v>
      </c>
      <c r="S194" s="68">
        <f>9595.79</f>
        <v>9595.7900000000009</v>
      </c>
      <c r="T194" s="65">
        <f>12831</f>
        <v>12831</v>
      </c>
      <c r="U194" s="65">
        <f>3</f>
        <v>3</v>
      </c>
      <c r="V194" s="65">
        <f>122383530</f>
        <v>122383530</v>
      </c>
      <c r="W194" s="65">
        <f>28940</f>
        <v>28940</v>
      </c>
      <c r="X194" s="69">
        <f>19</f>
        <v>19</v>
      </c>
    </row>
    <row r="195" spans="1:24">
      <c r="A195" s="60" t="s">
        <v>916</v>
      </c>
      <c r="B195" s="60" t="s">
        <v>578</v>
      </c>
      <c r="C195" s="60" t="s">
        <v>579</v>
      </c>
      <c r="D195" s="60" t="s">
        <v>580</v>
      </c>
      <c r="E195" s="61" t="s">
        <v>46</v>
      </c>
      <c r="F195" s="62" t="s">
        <v>46</v>
      </c>
      <c r="G195" s="63" t="s">
        <v>46</v>
      </c>
      <c r="H195" s="64"/>
      <c r="I195" s="64" t="s">
        <v>577</v>
      </c>
      <c r="J195" s="65">
        <v>1</v>
      </c>
      <c r="K195" s="66">
        <f>6230</f>
        <v>6230</v>
      </c>
      <c r="L195" s="67" t="s">
        <v>833</v>
      </c>
      <c r="M195" s="66">
        <f>6230</f>
        <v>6230</v>
      </c>
      <c r="N195" s="67" t="s">
        <v>833</v>
      </c>
      <c r="O195" s="66">
        <f>5450</f>
        <v>5450</v>
      </c>
      <c r="P195" s="67" t="s">
        <v>50</v>
      </c>
      <c r="Q195" s="66">
        <f>5500</f>
        <v>5500</v>
      </c>
      <c r="R195" s="67" t="s">
        <v>50</v>
      </c>
      <c r="S195" s="68">
        <f>5673.16</f>
        <v>5673.16</v>
      </c>
      <c r="T195" s="65">
        <f>2429</f>
        <v>2429</v>
      </c>
      <c r="U195" s="65">
        <f>1</f>
        <v>1</v>
      </c>
      <c r="V195" s="65">
        <f>13989170</f>
        <v>13989170</v>
      </c>
      <c r="W195" s="65">
        <f>5680</f>
        <v>5680</v>
      </c>
      <c r="X195" s="69">
        <f>19</f>
        <v>19</v>
      </c>
    </row>
    <row r="196" spans="1:24">
      <c r="A196" s="60" t="s">
        <v>916</v>
      </c>
      <c r="B196" s="60" t="s">
        <v>581</v>
      </c>
      <c r="C196" s="60" t="s">
        <v>582</v>
      </c>
      <c r="D196" s="60" t="s">
        <v>583</v>
      </c>
      <c r="E196" s="61" t="s">
        <v>46</v>
      </c>
      <c r="F196" s="62" t="s">
        <v>46</v>
      </c>
      <c r="G196" s="63" t="s">
        <v>46</v>
      </c>
      <c r="H196" s="64"/>
      <c r="I196" s="64" t="s">
        <v>577</v>
      </c>
      <c r="J196" s="65">
        <v>1</v>
      </c>
      <c r="K196" s="66">
        <f>9770</f>
        <v>9770</v>
      </c>
      <c r="L196" s="67" t="s">
        <v>833</v>
      </c>
      <c r="M196" s="66">
        <f>13320</f>
        <v>13320</v>
      </c>
      <c r="N196" s="67" t="s">
        <v>50</v>
      </c>
      <c r="O196" s="66">
        <f>9770</f>
        <v>9770</v>
      </c>
      <c r="P196" s="67" t="s">
        <v>833</v>
      </c>
      <c r="Q196" s="66">
        <f>13320</f>
        <v>13320</v>
      </c>
      <c r="R196" s="67" t="s">
        <v>50</v>
      </c>
      <c r="S196" s="68">
        <f>11869.33</f>
        <v>11869.33</v>
      </c>
      <c r="T196" s="65">
        <f>1021</f>
        <v>1021</v>
      </c>
      <c r="U196" s="65" t="str">
        <f>"－"</f>
        <v>－</v>
      </c>
      <c r="V196" s="65">
        <f>11437340</f>
        <v>11437340</v>
      </c>
      <c r="W196" s="65" t="str">
        <f>"－"</f>
        <v>－</v>
      </c>
      <c r="X196" s="69">
        <f>15</f>
        <v>15</v>
      </c>
    </row>
    <row r="197" spans="1:24">
      <c r="A197" s="60" t="s">
        <v>916</v>
      </c>
      <c r="B197" s="60" t="s">
        <v>584</v>
      </c>
      <c r="C197" s="60" t="s">
        <v>585</v>
      </c>
      <c r="D197" s="60" t="s">
        <v>586</v>
      </c>
      <c r="E197" s="61" t="s">
        <v>46</v>
      </c>
      <c r="F197" s="62" t="s">
        <v>46</v>
      </c>
      <c r="G197" s="63" t="s">
        <v>46</v>
      </c>
      <c r="H197" s="64"/>
      <c r="I197" s="64" t="s">
        <v>577</v>
      </c>
      <c r="J197" s="65">
        <v>1</v>
      </c>
      <c r="K197" s="66">
        <f>8220</f>
        <v>8220</v>
      </c>
      <c r="L197" s="67" t="s">
        <v>833</v>
      </c>
      <c r="M197" s="66">
        <f>8220</f>
        <v>8220</v>
      </c>
      <c r="N197" s="67" t="s">
        <v>833</v>
      </c>
      <c r="O197" s="66">
        <f>7030</f>
        <v>7030</v>
      </c>
      <c r="P197" s="67" t="s">
        <v>50</v>
      </c>
      <c r="Q197" s="66">
        <f>7170</f>
        <v>7170</v>
      </c>
      <c r="R197" s="67" t="s">
        <v>50</v>
      </c>
      <c r="S197" s="68">
        <f>7467.89</f>
        <v>7467.89</v>
      </c>
      <c r="T197" s="65">
        <f>7018</f>
        <v>7018</v>
      </c>
      <c r="U197" s="65" t="str">
        <f>"－"</f>
        <v>－</v>
      </c>
      <c r="V197" s="65">
        <f>52257880</f>
        <v>52257880</v>
      </c>
      <c r="W197" s="65" t="str">
        <f>"－"</f>
        <v>－</v>
      </c>
      <c r="X197" s="69">
        <f>19</f>
        <v>19</v>
      </c>
    </row>
    <row r="198" spans="1:24">
      <c r="A198" s="60" t="s">
        <v>916</v>
      </c>
      <c r="B198" s="60" t="s">
        <v>587</v>
      </c>
      <c r="C198" s="60" t="s">
        <v>588</v>
      </c>
      <c r="D198" s="60" t="s">
        <v>589</v>
      </c>
      <c r="E198" s="61" t="s">
        <v>46</v>
      </c>
      <c r="F198" s="62" t="s">
        <v>46</v>
      </c>
      <c r="G198" s="63" t="s">
        <v>46</v>
      </c>
      <c r="H198" s="64"/>
      <c r="I198" s="64" t="s">
        <v>577</v>
      </c>
      <c r="J198" s="65">
        <v>1</v>
      </c>
      <c r="K198" s="66">
        <f>425</f>
        <v>425</v>
      </c>
      <c r="L198" s="67" t="s">
        <v>833</v>
      </c>
      <c r="M198" s="66">
        <f>426</f>
        <v>426</v>
      </c>
      <c r="N198" s="67" t="s">
        <v>833</v>
      </c>
      <c r="O198" s="66">
        <f>333</f>
        <v>333</v>
      </c>
      <c r="P198" s="67" t="s">
        <v>61</v>
      </c>
      <c r="Q198" s="66">
        <f>379</f>
        <v>379</v>
      </c>
      <c r="R198" s="67" t="s">
        <v>50</v>
      </c>
      <c r="S198" s="68">
        <f>368.37</f>
        <v>368.37</v>
      </c>
      <c r="T198" s="65">
        <f>19604318</f>
        <v>19604318</v>
      </c>
      <c r="U198" s="65">
        <f>10</f>
        <v>10</v>
      </c>
      <c r="V198" s="65">
        <f>7265310688</f>
        <v>7265310688</v>
      </c>
      <c r="W198" s="65">
        <f>3697</f>
        <v>3697</v>
      </c>
      <c r="X198" s="69">
        <f>19</f>
        <v>19</v>
      </c>
    </row>
    <row r="199" spans="1:24">
      <c r="A199" s="60" t="s">
        <v>916</v>
      </c>
      <c r="B199" s="60" t="s">
        <v>590</v>
      </c>
      <c r="C199" s="60" t="s">
        <v>856</v>
      </c>
      <c r="D199" s="60" t="s">
        <v>857</v>
      </c>
      <c r="E199" s="61" t="s">
        <v>46</v>
      </c>
      <c r="F199" s="62" t="s">
        <v>46</v>
      </c>
      <c r="G199" s="63" t="s">
        <v>46</v>
      </c>
      <c r="H199" s="64"/>
      <c r="I199" s="64" t="s">
        <v>577</v>
      </c>
      <c r="J199" s="65">
        <v>1</v>
      </c>
      <c r="K199" s="66">
        <f>17760</f>
        <v>17760</v>
      </c>
      <c r="L199" s="67" t="s">
        <v>833</v>
      </c>
      <c r="M199" s="66">
        <f>19090</f>
        <v>19090</v>
      </c>
      <c r="N199" s="67" t="s">
        <v>119</v>
      </c>
      <c r="O199" s="66">
        <f>15460</f>
        <v>15460</v>
      </c>
      <c r="P199" s="67" t="s">
        <v>50</v>
      </c>
      <c r="Q199" s="66">
        <f>15620</f>
        <v>15620</v>
      </c>
      <c r="R199" s="67" t="s">
        <v>50</v>
      </c>
      <c r="S199" s="68">
        <f>17644.74</f>
        <v>17644.740000000002</v>
      </c>
      <c r="T199" s="65">
        <f>55424</f>
        <v>55424</v>
      </c>
      <c r="U199" s="65" t="str">
        <f>"－"</f>
        <v>－</v>
      </c>
      <c r="V199" s="65">
        <f>967130450</f>
        <v>967130450</v>
      </c>
      <c r="W199" s="65" t="str">
        <f>"－"</f>
        <v>－</v>
      </c>
      <c r="X199" s="69">
        <f>19</f>
        <v>19</v>
      </c>
    </row>
    <row r="200" spans="1:24">
      <c r="A200" s="60" t="s">
        <v>916</v>
      </c>
      <c r="B200" s="60" t="s">
        <v>593</v>
      </c>
      <c r="C200" s="60" t="s">
        <v>858</v>
      </c>
      <c r="D200" s="60" t="s">
        <v>859</v>
      </c>
      <c r="E200" s="61" t="s">
        <v>46</v>
      </c>
      <c r="F200" s="62" t="s">
        <v>46</v>
      </c>
      <c r="G200" s="63" t="s">
        <v>46</v>
      </c>
      <c r="H200" s="64"/>
      <c r="I200" s="64" t="s">
        <v>577</v>
      </c>
      <c r="J200" s="65">
        <v>1</v>
      </c>
      <c r="K200" s="66">
        <f>5650</f>
        <v>5650</v>
      </c>
      <c r="L200" s="67" t="s">
        <v>833</v>
      </c>
      <c r="M200" s="66">
        <f>6110</f>
        <v>6110</v>
      </c>
      <c r="N200" s="67" t="s">
        <v>50</v>
      </c>
      <c r="O200" s="66">
        <f>5440</f>
        <v>5440</v>
      </c>
      <c r="P200" s="67" t="s">
        <v>119</v>
      </c>
      <c r="Q200" s="66">
        <f>6110</f>
        <v>6110</v>
      </c>
      <c r="R200" s="67" t="s">
        <v>50</v>
      </c>
      <c r="S200" s="68">
        <f>5684.74</f>
        <v>5684.74</v>
      </c>
      <c r="T200" s="65">
        <f>15937</f>
        <v>15937</v>
      </c>
      <c r="U200" s="65" t="str">
        <f>"－"</f>
        <v>－</v>
      </c>
      <c r="V200" s="65">
        <f>91624120</f>
        <v>91624120</v>
      </c>
      <c r="W200" s="65" t="str">
        <f>"－"</f>
        <v>－</v>
      </c>
      <c r="X200" s="69">
        <f>19</f>
        <v>19</v>
      </c>
    </row>
    <row r="201" spans="1:24">
      <c r="A201" s="60" t="s">
        <v>916</v>
      </c>
      <c r="B201" s="60" t="s">
        <v>596</v>
      </c>
      <c r="C201" s="60" t="s">
        <v>860</v>
      </c>
      <c r="D201" s="60" t="s">
        <v>861</v>
      </c>
      <c r="E201" s="61" t="s">
        <v>46</v>
      </c>
      <c r="F201" s="62" t="s">
        <v>46</v>
      </c>
      <c r="G201" s="63" t="s">
        <v>46</v>
      </c>
      <c r="H201" s="64"/>
      <c r="I201" s="64" t="s">
        <v>577</v>
      </c>
      <c r="J201" s="65">
        <v>1</v>
      </c>
      <c r="K201" s="66">
        <f>167</f>
        <v>167</v>
      </c>
      <c r="L201" s="67" t="s">
        <v>833</v>
      </c>
      <c r="M201" s="66">
        <f>268</f>
        <v>268</v>
      </c>
      <c r="N201" s="67" t="s">
        <v>821</v>
      </c>
      <c r="O201" s="66">
        <f>166</f>
        <v>166</v>
      </c>
      <c r="P201" s="67" t="s">
        <v>833</v>
      </c>
      <c r="Q201" s="66">
        <f>254</f>
        <v>254</v>
      </c>
      <c r="R201" s="67" t="s">
        <v>50</v>
      </c>
      <c r="S201" s="68">
        <f>224.89</f>
        <v>224.89</v>
      </c>
      <c r="T201" s="65">
        <f>276557424</f>
        <v>276557424</v>
      </c>
      <c r="U201" s="65">
        <f>285094</f>
        <v>285094</v>
      </c>
      <c r="V201" s="65">
        <f>62819896587</f>
        <v>62819896587</v>
      </c>
      <c r="W201" s="65">
        <f>63636017</f>
        <v>63636017</v>
      </c>
      <c r="X201" s="69">
        <f>19</f>
        <v>19</v>
      </c>
    </row>
    <row r="202" spans="1:24">
      <c r="A202" s="60" t="s">
        <v>916</v>
      </c>
      <c r="B202" s="60" t="s">
        <v>599</v>
      </c>
      <c r="C202" s="60" t="s">
        <v>862</v>
      </c>
      <c r="D202" s="60" t="s">
        <v>863</v>
      </c>
      <c r="E202" s="61" t="s">
        <v>46</v>
      </c>
      <c r="F202" s="62" t="s">
        <v>46</v>
      </c>
      <c r="G202" s="63" t="s">
        <v>46</v>
      </c>
      <c r="H202" s="64"/>
      <c r="I202" s="64" t="s">
        <v>577</v>
      </c>
      <c r="J202" s="65">
        <v>1</v>
      </c>
      <c r="K202" s="66">
        <f>7190</f>
        <v>7190</v>
      </c>
      <c r="L202" s="67" t="s">
        <v>833</v>
      </c>
      <c r="M202" s="66">
        <f>7190</f>
        <v>7190</v>
      </c>
      <c r="N202" s="67" t="s">
        <v>833</v>
      </c>
      <c r="O202" s="66">
        <f>5510</f>
        <v>5510</v>
      </c>
      <c r="P202" s="67" t="s">
        <v>821</v>
      </c>
      <c r="Q202" s="66">
        <f>5680</f>
        <v>5680</v>
      </c>
      <c r="R202" s="67" t="s">
        <v>50</v>
      </c>
      <c r="S202" s="68">
        <f>6086.32</f>
        <v>6086.32</v>
      </c>
      <c r="T202" s="65">
        <f>302274</f>
        <v>302274</v>
      </c>
      <c r="U202" s="65">
        <f>2</f>
        <v>2</v>
      </c>
      <c r="V202" s="65">
        <f>1844019180</f>
        <v>1844019180</v>
      </c>
      <c r="W202" s="65">
        <f>12380</f>
        <v>12380</v>
      </c>
      <c r="X202" s="69">
        <f>19</f>
        <v>19</v>
      </c>
    </row>
    <row r="203" spans="1:24">
      <c r="A203" s="60" t="s">
        <v>916</v>
      </c>
      <c r="B203" s="60" t="s">
        <v>602</v>
      </c>
      <c r="C203" s="60" t="s">
        <v>603</v>
      </c>
      <c r="D203" s="60" t="s">
        <v>604</v>
      </c>
      <c r="E203" s="61" t="s">
        <v>46</v>
      </c>
      <c r="F203" s="62" t="s">
        <v>46</v>
      </c>
      <c r="G203" s="63" t="s">
        <v>46</v>
      </c>
      <c r="H203" s="64"/>
      <c r="I203" s="64" t="s">
        <v>577</v>
      </c>
      <c r="J203" s="65">
        <v>1</v>
      </c>
      <c r="K203" s="66">
        <f>18550</f>
        <v>18550</v>
      </c>
      <c r="L203" s="67" t="s">
        <v>833</v>
      </c>
      <c r="M203" s="66">
        <f>23940</f>
        <v>23940</v>
      </c>
      <c r="N203" s="67" t="s">
        <v>816</v>
      </c>
      <c r="O203" s="66">
        <f>18450</f>
        <v>18450</v>
      </c>
      <c r="P203" s="67" t="s">
        <v>833</v>
      </c>
      <c r="Q203" s="66">
        <f>23050</f>
        <v>23050</v>
      </c>
      <c r="R203" s="67" t="s">
        <v>50</v>
      </c>
      <c r="S203" s="68">
        <f>22303.68</f>
        <v>22303.68</v>
      </c>
      <c r="T203" s="65">
        <f>593043</f>
        <v>593043</v>
      </c>
      <c r="U203" s="65">
        <f>8801</f>
        <v>8801</v>
      </c>
      <c r="V203" s="65">
        <f>12882072220</f>
        <v>12882072220</v>
      </c>
      <c r="W203" s="65">
        <f>198066420</f>
        <v>198066420</v>
      </c>
      <c r="X203" s="69">
        <f>19</f>
        <v>19</v>
      </c>
    </row>
    <row r="204" spans="1:24">
      <c r="A204" s="60" t="s">
        <v>916</v>
      </c>
      <c r="B204" s="60" t="s">
        <v>605</v>
      </c>
      <c r="C204" s="60" t="s">
        <v>606</v>
      </c>
      <c r="D204" s="60" t="s">
        <v>607</v>
      </c>
      <c r="E204" s="61" t="s">
        <v>46</v>
      </c>
      <c r="F204" s="62" t="s">
        <v>46</v>
      </c>
      <c r="G204" s="63" t="s">
        <v>46</v>
      </c>
      <c r="H204" s="64"/>
      <c r="I204" s="64" t="s">
        <v>577</v>
      </c>
      <c r="J204" s="65">
        <v>1</v>
      </c>
      <c r="K204" s="66">
        <f>4005</f>
        <v>4005</v>
      </c>
      <c r="L204" s="67" t="s">
        <v>833</v>
      </c>
      <c r="M204" s="66">
        <f>4030</f>
        <v>4030</v>
      </c>
      <c r="N204" s="67" t="s">
        <v>833</v>
      </c>
      <c r="O204" s="66">
        <f>3480</f>
        <v>3480</v>
      </c>
      <c r="P204" s="67" t="s">
        <v>816</v>
      </c>
      <c r="Q204" s="66">
        <f>3570</f>
        <v>3570</v>
      </c>
      <c r="R204" s="67" t="s">
        <v>50</v>
      </c>
      <c r="S204" s="68">
        <f>3645.79</f>
        <v>3645.79</v>
      </c>
      <c r="T204" s="65">
        <f>718365</f>
        <v>718365</v>
      </c>
      <c r="U204" s="65">
        <f>5</f>
        <v>5</v>
      </c>
      <c r="V204" s="65">
        <f>2643915100</f>
        <v>2643915100</v>
      </c>
      <c r="W204" s="65">
        <f>18045</f>
        <v>18045</v>
      </c>
      <c r="X204" s="69">
        <f>19</f>
        <v>19</v>
      </c>
    </row>
    <row r="205" spans="1:24">
      <c r="A205" s="60" t="s">
        <v>916</v>
      </c>
      <c r="B205" s="60" t="s">
        <v>608</v>
      </c>
      <c r="C205" s="60" t="s">
        <v>609</v>
      </c>
      <c r="D205" s="60" t="s">
        <v>610</v>
      </c>
      <c r="E205" s="61" t="s">
        <v>46</v>
      </c>
      <c r="F205" s="62" t="s">
        <v>46</v>
      </c>
      <c r="G205" s="63" t="s">
        <v>46</v>
      </c>
      <c r="H205" s="64"/>
      <c r="I205" s="64" t="s">
        <v>577</v>
      </c>
      <c r="J205" s="65">
        <v>1</v>
      </c>
      <c r="K205" s="66">
        <f>12640</f>
        <v>12640</v>
      </c>
      <c r="L205" s="67" t="s">
        <v>833</v>
      </c>
      <c r="M205" s="66">
        <f>13560</f>
        <v>13560</v>
      </c>
      <c r="N205" s="67" t="s">
        <v>817</v>
      </c>
      <c r="O205" s="66">
        <f>12290</f>
        <v>12290</v>
      </c>
      <c r="P205" s="67" t="s">
        <v>834</v>
      </c>
      <c r="Q205" s="66">
        <f>13270</f>
        <v>13270</v>
      </c>
      <c r="R205" s="67" t="s">
        <v>50</v>
      </c>
      <c r="S205" s="68">
        <f>12994.74</f>
        <v>12994.74</v>
      </c>
      <c r="T205" s="65">
        <f>109183</f>
        <v>109183</v>
      </c>
      <c r="U205" s="65">
        <f>1</f>
        <v>1</v>
      </c>
      <c r="V205" s="65">
        <f>1425681150</f>
        <v>1425681150</v>
      </c>
      <c r="W205" s="65">
        <f>12740</f>
        <v>12740</v>
      </c>
      <c r="X205" s="69">
        <f>19</f>
        <v>19</v>
      </c>
    </row>
    <row r="206" spans="1:24">
      <c r="A206" s="60" t="s">
        <v>916</v>
      </c>
      <c r="B206" s="60" t="s">
        <v>611</v>
      </c>
      <c r="C206" s="60" t="s">
        <v>612</v>
      </c>
      <c r="D206" s="60" t="s">
        <v>613</v>
      </c>
      <c r="E206" s="61" t="s">
        <v>46</v>
      </c>
      <c r="F206" s="62" t="s">
        <v>46</v>
      </c>
      <c r="G206" s="63" t="s">
        <v>46</v>
      </c>
      <c r="H206" s="64"/>
      <c r="I206" s="64" t="s">
        <v>577</v>
      </c>
      <c r="J206" s="65">
        <v>1</v>
      </c>
      <c r="K206" s="66">
        <f>9650</f>
        <v>9650</v>
      </c>
      <c r="L206" s="67" t="s">
        <v>818</v>
      </c>
      <c r="M206" s="66">
        <f>11770</f>
        <v>11770</v>
      </c>
      <c r="N206" s="67" t="s">
        <v>821</v>
      </c>
      <c r="O206" s="66">
        <f>9640</f>
        <v>9640</v>
      </c>
      <c r="P206" s="67" t="s">
        <v>817</v>
      </c>
      <c r="Q206" s="66">
        <f>11610</f>
        <v>11610</v>
      </c>
      <c r="R206" s="67" t="s">
        <v>50</v>
      </c>
      <c r="S206" s="68">
        <f>10878.89</f>
        <v>10878.89</v>
      </c>
      <c r="T206" s="65">
        <f>629</f>
        <v>629</v>
      </c>
      <c r="U206" s="65" t="str">
        <f>"－"</f>
        <v>－</v>
      </c>
      <c r="V206" s="65">
        <f>6990770</f>
        <v>6990770</v>
      </c>
      <c r="W206" s="65" t="str">
        <f>"－"</f>
        <v>－</v>
      </c>
      <c r="X206" s="69">
        <f>18</f>
        <v>18</v>
      </c>
    </row>
    <row r="207" spans="1:24">
      <c r="A207" s="60" t="s">
        <v>916</v>
      </c>
      <c r="B207" s="60" t="s">
        <v>614</v>
      </c>
      <c r="C207" s="60" t="s">
        <v>615</v>
      </c>
      <c r="D207" s="60" t="s">
        <v>616</v>
      </c>
      <c r="E207" s="61" t="s">
        <v>46</v>
      </c>
      <c r="F207" s="62" t="s">
        <v>46</v>
      </c>
      <c r="G207" s="63" t="s">
        <v>46</v>
      </c>
      <c r="H207" s="64"/>
      <c r="I207" s="64" t="s">
        <v>577</v>
      </c>
      <c r="J207" s="65">
        <v>1</v>
      </c>
      <c r="K207" s="66">
        <f>13600</f>
        <v>13600</v>
      </c>
      <c r="L207" s="67" t="s">
        <v>833</v>
      </c>
      <c r="M207" s="66">
        <f>15620</f>
        <v>15620</v>
      </c>
      <c r="N207" s="67" t="s">
        <v>816</v>
      </c>
      <c r="O207" s="66">
        <f>13540</f>
        <v>13540</v>
      </c>
      <c r="P207" s="67" t="s">
        <v>833</v>
      </c>
      <c r="Q207" s="66">
        <f>15310</f>
        <v>15310</v>
      </c>
      <c r="R207" s="67" t="s">
        <v>50</v>
      </c>
      <c r="S207" s="68">
        <f>14923.16</f>
        <v>14923.16</v>
      </c>
      <c r="T207" s="65">
        <f>90040</f>
        <v>90040</v>
      </c>
      <c r="U207" s="65">
        <f>19890</f>
        <v>19890</v>
      </c>
      <c r="V207" s="65">
        <f>1350762880</f>
        <v>1350762880</v>
      </c>
      <c r="W207" s="65">
        <f>296984320</f>
        <v>296984320</v>
      </c>
      <c r="X207" s="69">
        <f>19</f>
        <v>19</v>
      </c>
    </row>
    <row r="208" spans="1:24">
      <c r="A208" s="60" t="s">
        <v>916</v>
      </c>
      <c r="B208" s="60" t="s">
        <v>617</v>
      </c>
      <c r="C208" s="60" t="s">
        <v>618</v>
      </c>
      <c r="D208" s="60" t="s">
        <v>619</v>
      </c>
      <c r="E208" s="61" t="s">
        <v>46</v>
      </c>
      <c r="F208" s="62" t="s">
        <v>46</v>
      </c>
      <c r="G208" s="63" t="s">
        <v>46</v>
      </c>
      <c r="H208" s="64"/>
      <c r="I208" s="64" t="s">
        <v>577</v>
      </c>
      <c r="J208" s="65">
        <v>1</v>
      </c>
      <c r="K208" s="66">
        <f>11420</f>
        <v>11420</v>
      </c>
      <c r="L208" s="67" t="s">
        <v>833</v>
      </c>
      <c r="M208" s="66">
        <f>12660</f>
        <v>12660</v>
      </c>
      <c r="N208" s="67" t="s">
        <v>50</v>
      </c>
      <c r="O208" s="66">
        <f>11210</f>
        <v>11210</v>
      </c>
      <c r="P208" s="67" t="s">
        <v>833</v>
      </c>
      <c r="Q208" s="66">
        <f>12230</f>
        <v>12230</v>
      </c>
      <c r="R208" s="67" t="s">
        <v>50</v>
      </c>
      <c r="S208" s="68">
        <f>12015.33</f>
        <v>12015.33</v>
      </c>
      <c r="T208" s="65">
        <f>1786</f>
        <v>1786</v>
      </c>
      <c r="U208" s="65" t="str">
        <f>"－"</f>
        <v>－</v>
      </c>
      <c r="V208" s="65">
        <f>21645250</f>
        <v>21645250</v>
      </c>
      <c r="W208" s="65" t="str">
        <f>"－"</f>
        <v>－</v>
      </c>
      <c r="X208" s="69">
        <f>15</f>
        <v>15</v>
      </c>
    </row>
    <row r="209" spans="1:24">
      <c r="A209" s="60" t="s">
        <v>916</v>
      </c>
      <c r="B209" s="60" t="s">
        <v>620</v>
      </c>
      <c r="C209" s="60" t="s">
        <v>621</v>
      </c>
      <c r="D209" s="60" t="s">
        <v>622</v>
      </c>
      <c r="E209" s="61" t="s">
        <v>46</v>
      </c>
      <c r="F209" s="62" t="s">
        <v>46</v>
      </c>
      <c r="G209" s="63" t="s">
        <v>46</v>
      </c>
      <c r="H209" s="64"/>
      <c r="I209" s="64" t="s">
        <v>577</v>
      </c>
      <c r="J209" s="65">
        <v>1</v>
      </c>
      <c r="K209" s="66">
        <f>7740</f>
        <v>7740</v>
      </c>
      <c r="L209" s="67" t="s">
        <v>833</v>
      </c>
      <c r="M209" s="66">
        <f>10100</f>
        <v>10100</v>
      </c>
      <c r="N209" s="67" t="s">
        <v>816</v>
      </c>
      <c r="O209" s="66">
        <f>7740</f>
        <v>7740</v>
      </c>
      <c r="P209" s="67" t="s">
        <v>833</v>
      </c>
      <c r="Q209" s="66">
        <f>9530</f>
        <v>9530</v>
      </c>
      <c r="R209" s="67" t="s">
        <v>50</v>
      </c>
      <c r="S209" s="68">
        <f>9223.68</f>
        <v>9223.68</v>
      </c>
      <c r="T209" s="65">
        <f>93197</f>
        <v>93197</v>
      </c>
      <c r="U209" s="65" t="str">
        <f>"－"</f>
        <v>－</v>
      </c>
      <c r="V209" s="65">
        <f>861130560</f>
        <v>861130560</v>
      </c>
      <c r="W209" s="65" t="str">
        <f>"－"</f>
        <v>－</v>
      </c>
      <c r="X209" s="69">
        <f>19</f>
        <v>19</v>
      </c>
    </row>
    <row r="210" spans="1:24">
      <c r="A210" s="60" t="s">
        <v>916</v>
      </c>
      <c r="B210" s="60" t="s">
        <v>623</v>
      </c>
      <c r="C210" s="60" t="s">
        <v>624</v>
      </c>
      <c r="D210" s="60" t="s">
        <v>625</v>
      </c>
      <c r="E210" s="61" t="s">
        <v>46</v>
      </c>
      <c r="F210" s="62" t="s">
        <v>46</v>
      </c>
      <c r="G210" s="63" t="s">
        <v>46</v>
      </c>
      <c r="H210" s="64"/>
      <c r="I210" s="64" t="s">
        <v>577</v>
      </c>
      <c r="J210" s="65">
        <v>1</v>
      </c>
      <c r="K210" s="66">
        <f>5550</f>
        <v>5550</v>
      </c>
      <c r="L210" s="67" t="s">
        <v>833</v>
      </c>
      <c r="M210" s="66">
        <f>5650</f>
        <v>5650</v>
      </c>
      <c r="N210" s="67" t="s">
        <v>833</v>
      </c>
      <c r="O210" s="66">
        <f>4955</f>
        <v>4955</v>
      </c>
      <c r="P210" s="67" t="s">
        <v>816</v>
      </c>
      <c r="Q210" s="66">
        <f>5120</f>
        <v>5120</v>
      </c>
      <c r="R210" s="67" t="s">
        <v>50</v>
      </c>
      <c r="S210" s="68">
        <f>5201.05</f>
        <v>5201.05</v>
      </c>
      <c r="T210" s="65">
        <f>12867</f>
        <v>12867</v>
      </c>
      <c r="U210" s="65">
        <f>1</f>
        <v>1</v>
      </c>
      <c r="V210" s="65">
        <f>67289385</f>
        <v>67289385</v>
      </c>
      <c r="W210" s="65">
        <f>5120</f>
        <v>5120</v>
      </c>
      <c r="X210" s="69">
        <f>19</f>
        <v>19</v>
      </c>
    </row>
    <row r="211" spans="1:24">
      <c r="A211" s="60" t="s">
        <v>916</v>
      </c>
      <c r="B211" s="60" t="s">
        <v>626</v>
      </c>
      <c r="C211" s="60" t="s">
        <v>627</v>
      </c>
      <c r="D211" s="60" t="s">
        <v>628</v>
      </c>
      <c r="E211" s="61" t="s">
        <v>46</v>
      </c>
      <c r="F211" s="62" t="s">
        <v>46</v>
      </c>
      <c r="G211" s="63" t="s">
        <v>46</v>
      </c>
      <c r="H211" s="64"/>
      <c r="I211" s="64" t="s">
        <v>577</v>
      </c>
      <c r="J211" s="65">
        <v>1</v>
      </c>
      <c r="K211" s="66">
        <f>8020</f>
        <v>8020</v>
      </c>
      <c r="L211" s="67" t="s">
        <v>833</v>
      </c>
      <c r="M211" s="66">
        <f>9020</f>
        <v>9020</v>
      </c>
      <c r="N211" s="67" t="s">
        <v>816</v>
      </c>
      <c r="O211" s="66">
        <f>8020</f>
        <v>8020</v>
      </c>
      <c r="P211" s="67" t="s">
        <v>833</v>
      </c>
      <c r="Q211" s="66">
        <f>8690</f>
        <v>8690</v>
      </c>
      <c r="R211" s="67" t="s">
        <v>50</v>
      </c>
      <c r="S211" s="68">
        <f>8626.15</f>
        <v>8626.15</v>
      </c>
      <c r="T211" s="65">
        <f>3177</f>
        <v>3177</v>
      </c>
      <c r="U211" s="65" t="str">
        <f>"－"</f>
        <v>－</v>
      </c>
      <c r="V211" s="65">
        <f>27280370</f>
        <v>27280370</v>
      </c>
      <c r="W211" s="65" t="str">
        <f>"－"</f>
        <v>－</v>
      </c>
      <c r="X211" s="69">
        <f>13</f>
        <v>13</v>
      </c>
    </row>
    <row r="212" spans="1:24">
      <c r="A212" s="60" t="s">
        <v>916</v>
      </c>
      <c r="B212" s="60" t="s">
        <v>629</v>
      </c>
      <c r="C212" s="60" t="s">
        <v>630</v>
      </c>
      <c r="D212" s="60" t="s">
        <v>631</v>
      </c>
      <c r="E212" s="61" t="s">
        <v>46</v>
      </c>
      <c r="F212" s="62" t="s">
        <v>46</v>
      </c>
      <c r="G212" s="63" t="s">
        <v>46</v>
      </c>
      <c r="H212" s="64"/>
      <c r="I212" s="64" t="s">
        <v>577</v>
      </c>
      <c r="J212" s="65">
        <v>1</v>
      </c>
      <c r="K212" s="66">
        <f>9900</f>
        <v>9900</v>
      </c>
      <c r="L212" s="67" t="s">
        <v>833</v>
      </c>
      <c r="M212" s="66">
        <f>10710</f>
        <v>10710</v>
      </c>
      <c r="N212" s="67" t="s">
        <v>816</v>
      </c>
      <c r="O212" s="66">
        <f>9900</f>
        <v>9900</v>
      </c>
      <c r="P212" s="67" t="s">
        <v>833</v>
      </c>
      <c r="Q212" s="66">
        <f>10570</f>
        <v>10570</v>
      </c>
      <c r="R212" s="67" t="s">
        <v>91</v>
      </c>
      <c r="S212" s="68">
        <f>10337.5</f>
        <v>10337.5</v>
      </c>
      <c r="T212" s="65">
        <f>3595</f>
        <v>3595</v>
      </c>
      <c r="U212" s="65" t="str">
        <f>"－"</f>
        <v>－</v>
      </c>
      <c r="V212" s="65">
        <f>37072980</f>
        <v>37072980</v>
      </c>
      <c r="W212" s="65" t="str">
        <f>"－"</f>
        <v>－</v>
      </c>
      <c r="X212" s="69">
        <f>8</f>
        <v>8</v>
      </c>
    </row>
    <row r="213" spans="1:24">
      <c r="A213" s="60" t="s">
        <v>916</v>
      </c>
      <c r="B213" s="60" t="s">
        <v>632</v>
      </c>
      <c r="C213" s="60" t="s">
        <v>633</v>
      </c>
      <c r="D213" s="60" t="s">
        <v>634</v>
      </c>
      <c r="E213" s="61" t="s">
        <v>46</v>
      </c>
      <c r="F213" s="62" t="s">
        <v>46</v>
      </c>
      <c r="G213" s="63" t="s">
        <v>46</v>
      </c>
      <c r="H213" s="64"/>
      <c r="I213" s="64" t="s">
        <v>577</v>
      </c>
      <c r="J213" s="65">
        <v>1</v>
      </c>
      <c r="K213" s="66">
        <f>10150</f>
        <v>10150</v>
      </c>
      <c r="L213" s="67" t="s">
        <v>48</v>
      </c>
      <c r="M213" s="66">
        <f>10890</f>
        <v>10890</v>
      </c>
      <c r="N213" s="67" t="s">
        <v>834</v>
      </c>
      <c r="O213" s="66">
        <f>10150</f>
        <v>10150</v>
      </c>
      <c r="P213" s="67" t="s">
        <v>48</v>
      </c>
      <c r="Q213" s="66">
        <f>10760</f>
        <v>10760</v>
      </c>
      <c r="R213" s="67" t="s">
        <v>91</v>
      </c>
      <c r="S213" s="68">
        <f>10625</f>
        <v>10625</v>
      </c>
      <c r="T213" s="65">
        <f>1011</f>
        <v>1011</v>
      </c>
      <c r="U213" s="65" t="str">
        <f>"－"</f>
        <v>－</v>
      </c>
      <c r="V213" s="65">
        <f>10431770</f>
        <v>10431770</v>
      </c>
      <c r="W213" s="65" t="str">
        <f>"－"</f>
        <v>－</v>
      </c>
      <c r="X213" s="69">
        <f>8</f>
        <v>8</v>
      </c>
    </row>
    <row r="214" spans="1:24">
      <c r="A214" s="60" t="s">
        <v>916</v>
      </c>
      <c r="B214" s="60" t="s">
        <v>635</v>
      </c>
      <c r="C214" s="60" t="s">
        <v>636</v>
      </c>
      <c r="D214" s="60" t="s">
        <v>637</v>
      </c>
      <c r="E214" s="61" t="s">
        <v>46</v>
      </c>
      <c r="F214" s="62" t="s">
        <v>46</v>
      </c>
      <c r="G214" s="63" t="s">
        <v>46</v>
      </c>
      <c r="H214" s="64"/>
      <c r="I214" s="64" t="s">
        <v>577</v>
      </c>
      <c r="J214" s="65">
        <v>1</v>
      </c>
      <c r="K214" s="66">
        <f>10190</f>
        <v>10190</v>
      </c>
      <c r="L214" s="67" t="s">
        <v>833</v>
      </c>
      <c r="M214" s="66">
        <f>10800</f>
        <v>10800</v>
      </c>
      <c r="N214" s="67" t="s">
        <v>834</v>
      </c>
      <c r="O214" s="66">
        <f>10190</f>
        <v>10190</v>
      </c>
      <c r="P214" s="67" t="s">
        <v>833</v>
      </c>
      <c r="Q214" s="66">
        <f>10410</f>
        <v>10410</v>
      </c>
      <c r="R214" s="67" t="s">
        <v>91</v>
      </c>
      <c r="S214" s="68">
        <f>10480</f>
        <v>10480</v>
      </c>
      <c r="T214" s="65">
        <f>259</f>
        <v>259</v>
      </c>
      <c r="U214" s="65">
        <f>1</f>
        <v>1</v>
      </c>
      <c r="V214" s="65">
        <f>2781290</f>
        <v>2781290</v>
      </c>
      <c r="W214" s="65">
        <f>10600</f>
        <v>10600</v>
      </c>
      <c r="X214" s="69">
        <f>10</f>
        <v>10</v>
      </c>
    </row>
    <row r="215" spans="1:24">
      <c r="A215" s="60" t="s">
        <v>916</v>
      </c>
      <c r="B215" s="60" t="s">
        <v>638</v>
      </c>
      <c r="C215" s="60" t="s">
        <v>639</v>
      </c>
      <c r="D215" s="60" t="s">
        <v>640</v>
      </c>
      <c r="E215" s="61" t="s">
        <v>46</v>
      </c>
      <c r="F215" s="62" t="s">
        <v>46</v>
      </c>
      <c r="G215" s="63" t="s">
        <v>46</v>
      </c>
      <c r="H215" s="64"/>
      <c r="I215" s="64" t="s">
        <v>577</v>
      </c>
      <c r="J215" s="65">
        <v>1</v>
      </c>
      <c r="K215" s="66">
        <f>9590</f>
        <v>9590</v>
      </c>
      <c r="L215" s="67" t="s">
        <v>833</v>
      </c>
      <c r="M215" s="66">
        <f>10700</f>
        <v>10700</v>
      </c>
      <c r="N215" s="67" t="s">
        <v>816</v>
      </c>
      <c r="O215" s="66">
        <f>9580</f>
        <v>9580</v>
      </c>
      <c r="P215" s="67" t="s">
        <v>833</v>
      </c>
      <c r="Q215" s="66">
        <f>10420</f>
        <v>10420</v>
      </c>
      <c r="R215" s="67" t="s">
        <v>50</v>
      </c>
      <c r="S215" s="68">
        <f>10290</f>
        <v>10290</v>
      </c>
      <c r="T215" s="65">
        <f>7863</f>
        <v>7863</v>
      </c>
      <c r="U215" s="65">
        <f>1</f>
        <v>1</v>
      </c>
      <c r="V215" s="65">
        <f>79331040</f>
        <v>79331040</v>
      </c>
      <c r="W215" s="65">
        <f>10380</f>
        <v>10380</v>
      </c>
      <c r="X215" s="69">
        <f>17</f>
        <v>17</v>
      </c>
    </row>
    <row r="216" spans="1:24">
      <c r="A216" s="60" t="s">
        <v>916</v>
      </c>
      <c r="B216" s="60" t="s">
        <v>641</v>
      </c>
      <c r="C216" s="60" t="s">
        <v>642</v>
      </c>
      <c r="D216" s="60" t="s">
        <v>643</v>
      </c>
      <c r="E216" s="61" t="s">
        <v>46</v>
      </c>
      <c r="F216" s="62" t="s">
        <v>46</v>
      </c>
      <c r="G216" s="63" t="s">
        <v>46</v>
      </c>
      <c r="H216" s="64"/>
      <c r="I216" s="64" t="s">
        <v>577</v>
      </c>
      <c r="J216" s="65">
        <v>1</v>
      </c>
      <c r="K216" s="66">
        <f>10010</f>
        <v>10010</v>
      </c>
      <c r="L216" s="67" t="s">
        <v>833</v>
      </c>
      <c r="M216" s="66">
        <f>11930</f>
        <v>11930</v>
      </c>
      <c r="N216" s="67" t="s">
        <v>50</v>
      </c>
      <c r="O216" s="66">
        <f>10010</f>
        <v>10010</v>
      </c>
      <c r="P216" s="67" t="s">
        <v>833</v>
      </c>
      <c r="Q216" s="66">
        <f>11910</f>
        <v>11910</v>
      </c>
      <c r="R216" s="67" t="s">
        <v>50</v>
      </c>
      <c r="S216" s="68">
        <f>10908.89</f>
        <v>10908.89</v>
      </c>
      <c r="T216" s="65">
        <f>6813</f>
        <v>6813</v>
      </c>
      <c r="U216" s="65">
        <f>1</f>
        <v>1</v>
      </c>
      <c r="V216" s="65">
        <f>74090840</f>
        <v>74090840</v>
      </c>
      <c r="W216" s="65">
        <f>11910</f>
        <v>11910</v>
      </c>
      <c r="X216" s="69">
        <f>9</f>
        <v>9</v>
      </c>
    </row>
    <row r="217" spans="1:24">
      <c r="A217" s="60" t="s">
        <v>916</v>
      </c>
      <c r="B217" s="60" t="s">
        <v>644</v>
      </c>
      <c r="C217" s="60" t="s">
        <v>645</v>
      </c>
      <c r="D217" s="60" t="s">
        <v>646</v>
      </c>
      <c r="E217" s="61" t="s">
        <v>46</v>
      </c>
      <c r="F217" s="62" t="s">
        <v>46</v>
      </c>
      <c r="G217" s="63" t="s">
        <v>46</v>
      </c>
      <c r="H217" s="64"/>
      <c r="I217" s="64" t="s">
        <v>577</v>
      </c>
      <c r="J217" s="65">
        <v>1</v>
      </c>
      <c r="K217" s="66">
        <f>10790</f>
        <v>10790</v>
      </c>
      <c r="L217" s="67" t="s">
        <v>833</v>
      </c>
      <c r="M217" s="66">
        <f>11570</f>
        <v>11570</v>
      </c>
      <c r="N217" s="67" t="s">
        <v>50</v>
      </c>
      <c r="O217" s="66">
        <f>10790</f>
        <v>10790</v>
      </c>
      <c r="P217" s="67" t="s">
        <v>833</v>
      </c>
      <c r="Q217" s="66">
        <f>11570</f>
        <v>11570</v>
      </c>
      <c r="R217" s="67" t="s">
        <v>50</v>
      </c>
      <c r="S217" s="68">
        <f>11180</f>
        <v>11180</v>
      </c>
      <c r="T217" s="65">
        <f>1005</f>
        <v>1005</v>
      </c>
      <c r="U217" s="65" t="str">
        <f>"－"</f>
        <v>－</v>
      </c>
      <c r="V217" s="65">
        <f>10844730</f>
        <v>10844730</v>
      </c>
      <c r="W217" s="65" t="str">
        <f>"－"</f>
        <v>－</v>
      </c>
      <c r="X217" s="69">
        <f>2</f>
        <v>2</v>
      </c>
    </row>
    <row r="218" spans="1:24">
      <c r="A218" s="60" t="s">
        <v>916</v>
      </c>
      <c r="B218" s="60" t="s">
        <v>917</v>
      </c>
      <c r="C218" s="60" t="s">
        <v>918</v>
      </c>
      <c r="D218" s="60" t="s">
        <v>919</v>
      </c>
      <c r="E218" s="61" t="s">
        <v>731</v>
      </c>
      <c r="F218" s="62" t="s">
        <v>732</v>
      </c>
      <c r="G218" s="63" t="s">
        <v>920</v>
      </c>
      <c r="H218" s="64"/>
      <c r="I218" s="64" t="s">
        <v>577</v>
      </c>
      <c r="J218" s="65">
        <v>1</v>
      </c>
      <c r="K218" s="66">
        <f>10010</f>
        <v>10010</v>
      </c>
      <c r="L218" s="67" t="s">
        <v>821</v>
      </c>
      <c r="M218" s="66">
        <f>10210</f>
        <v>10210</v>
      </c>
      <c r="N218" s="67" t="s">
        <v>91</v>
      </c>
      <c r="O218" s="66">
        <f>9970</f>
        <v>9970</v>
      </c>
      <c r="P218" s="67" t="s">
        <v>50</v>
      </c>
      <c r="Q218" s="66">
        <f>9970</f>
        <v>9970</v>
      </c>
      <c r="R218" s="67" t="s">
        <v>50</v>
      </c>
      <c r="S218" s="68">
        <f>10076.67</f>
        <v>10076.67</v>
      </c>
      <c r="T218" s="65">
        <f>39907</f>
        <v>39907</v>
      </c>
      <c r="U218" s="65" t="str">
        <f>"－"</f>
        <v>－</v>
      </c>
      <c r="V218" s="65">
        <f>403649940</f>
        <v>403649940</v>
      </c>
      <c r="W218" s="65" t="str">
        <f>"－"</f>
        <v>－</v>
      </c>
      <c r="X218" s="69">
        <f>3</f>
        <v>3</v>
      </c>
    </row>
    <row r="219" spans="1:24">
      <c r="A219" s="60" t="s">
        <v>916</v>
      </c>
      <c r="B219" s="60" t="s">
        <v>921</v>
      </c>
      <c r="C219" s="60" t="s">
        <v>922</v>
      </c>
      <c r="D219" s="60" t="s">
        <v>923</v>
      </c>
      <c r="E219" s="61" t="s">
        <v>731</v>
      </c>
      <c r="F219" s="62" t="s">
        <v>732</v>
      </c>
      <c r="G219" s="63" t="s">
        <v>920</v>
      </c>
      <c r="H219" s="64"/>
      <c r="I219" s="64" t="s">
        <v>577</v>
      </c>
      <c r="J219" s="65">
        <v>1</v>
      </c>
      <c r="K219" s="66">
        <f>10020</f>
        <v>10020</v>
      </c>
      <c r="L219" s="67" t="s">
        <v>821</v>
      </c>
      <c r="M219" s="66">
        <f>10270</f>
        <v>10270</v>
      </c>
      <c r="N219" s="67" t="s">
        <v>91</v>
      </c>
      <c r="O219" s="66">
        <f>10010</f>
        <v>10010</v>
      </c>
      <c r="P219" s="67" t="s">
        <v>821</v>
      </c>
      <c r="Q219" s="66">
        <f>10130</f>
        <v>10130</v>
      </c>
      <c r="R219" s="67" t="s">
        <v>50</v>
      </c>
      <c r="S219" s="68">
        <f>10173.33</f>
        <v>10173.33</v>
      </c>
      <c r="T219" s="65">
        <f>178370</f>
        <v>178370</v>
      </c>
      <c r="U219" s="65" t="str">
        <f>"－"</f>
        <v>－</v>
      </c>
      <c r="V219" s="65">
        <f>1815529010</f>
        <v>1815529010</v>
      </c>
      <c r="W219" s="65" t="str">
        <f>"－"</f>
        <v>－</v>
      </c>
      <c r="X219" s="69">
        <f>3</f>
        <v>3</v>
      </c>
    </row>
    <row r="220" spans="1:24">
      <c r="A220" s="60" t="s">
        <v>916</v>
      </c>
      <c r="B220" s="60" t="s">
        <v>924</v>
      </c>
      <c r="C220" s="60" t="s">
        <v>925</v>
      </c>
      <c r="D220" s="60" t="s">
        <v>926</v>
      </c>
      <c r="E220" s="61" t="s">
        <v>731</v>
      </c>
      <c r="F220" s="62" t="s">
        <v>732</v>
      </c>
      <c r="G220" s="63" t="s">
        <v>920</v>
      </c>
      <c r="H220" s="64"/>
      <c r="I220" s="64" t="s">
        <v>577</v>
      </c>
      <c r="J220" s="65">
        <v>1</v>
      </c>
      <c r="K220" s="66">
        <f>10040</f>
        <v>10040</v>
      </c>
      <c r="L220" s="67" t="s">
        <v>821</v>
      </c>
      <c r="M220" s="66">
        <f>10230</f>
        <v>10230</v>
      </c>
      <c r="N220" s="67" t="s">
        <v>91</v>
      </c>
      <c r="O220" s="66">
        <f>10030</f>
        <v>10030</v>
      </c>
      <c r="P220" s="67" t="s">
        <v>821</v>
      </c>
      <c r="Q220" s="66">
        <f>10050</f>
        <v>10050</v>
      </c>
      <c r="R220" s="67" t="s">
        <v>50</v>
      </c>
      <c r="S220" s="68">
        <f>10120</f>
        <v>10120</v>
      </c>
      <c r="T220" s="65">
        <f>131833</f>
        <v>131833</v>
      </c>
      <c r="U220" s="65" t="str">
        <f>"－"</f>
        <v>－</v>
      </c>
      <c r="V220" s="65">
        <f>1333417200</f>
        <v>1333417200</v>
      </c>
      <c r="W220" s="65" t="str">
        <f>"－"</f>
        <v>－</v>
      </c>
      <c r="X220" s="69">
        <f>3</f>
        <v>3</v>
      </c>
    </row>
    <row r="221" spans="1:24">
      <c r="A221" s="60" t="s">
        <v>916</v>
      </c>
      <c r="B221" s="60" t="s">
        <v>647</v>
      </c>
      <c r="C221" s="60" t="s">
        <v>648</v>
      </c>
      <c r="D221" s="60" t="s">
        <v>649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f>996</f>
        <v>996</v>
      </c>
      <c r="L221" s="67" t="s">
        <v>833</v>
      </c>
      <c r="M221" s="66">
        <f>1000</f>
        <v>1000</v>
      </c>
      <c r="N221" s="67" t="s">
        <v>49</v>
      </c>
      <c r="O221" s="66">
        <f>995</f>
        <v>995</v>
      </c>
      <c r="P221" s="67" t="s">
        <v>833</v>
      </c>
      <c r="Q221" s="66">
        <f>997</f>
        <v>997</v>
      </c>
      <c r="R221" s="67" t="s">
        <v>50</v>
      </c>
      <c r="S221" s="68">
        <f>997.79</f>
        <v>997.79</v>
      </c>
      <c r="T221" s="65">
        <f>124340</f>
        <v>124340</v>
      </c>
      <c r="U221" s="65">
        <f>3080</f>
        <v>3080</v>
      </c>
      <c r="V221" s="65">
        <f>124076310</f>
        <v>124076310</v>
      </c>
      <c r="W221" s="65">
        <f>3073840</f>
        <v>3073840</v>
      </c>
      <c r="X221" s="69">
        <f>19</f>
        <v>19</v>
      </c>
    </row>
    <row r="222" spans="1:24">
      <c r="A222" s="60" t="s">
        <v>916</v>
      </c>
      <c r="B222" s="60" t="s">
        <v>650</v>
      </c>
      <c r="C222" s="60" t="s">
        <v>651</v>
      </c>
      <c r="D222" s="60" t="s">
        <v>652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984</f>
        <v>984</v>
      </c>
      <c r="L222" s="67" t="s">
        <v>833</v>
      </c>
      <c r="M222" s="66">
        <f>1050</f>
        <v>1050</v>
      </c>
      <c r="N222" s="67" t="s">
        <v>834</v>
      </c>
      <c r="O222" s="66">
        <f>984</f>
        <v>984</v>
      </c>
      <c r="P222" s="67" t="s">
        <v>833</v>
      </c>
      <c r="Q222" s="66">
        <f>997</f>
        <v>997</v>
      </c>
      <c r="R222" s="67" t="s">
        <v>50</v>
      </c>
      <c r="S222" s="68">
        <f>996</f>
        <v>996</v>
      </c>
      <c r="T222" s="65">
        <f>533240</f>
        <v>533240</v>
      </c>
      <c r="U222" s="65">
        <f>100560</f>
        <v>100560</v>
      </c>
      <c r="V222" s="65">
        <f>529844995</f>
        <v>529844995</v>
      </c>
      <c r="W222" s="65">
        <f>99886305</f>
        <v>99886305</v>
      </c>
      <c r="X222" s="69">
        <f>19</f>
        <v>19</v>
      </c>
    </row>
    <row r="223" spans="1:24">
      <c r="A223" s="60" t="s">
        <v>916</v>
      </c>
      <c r="B223" s="60" t="s">
        <v>653</v>
      </c>
      <c r="C223" s="60" t="s">
        <v>654</v>
      </c>
      <c r="D223" s="60" t="s">
        <v>655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1058</f>
        <v>1058</v>
      </c>
      <c r="L223" s="67" t="s">
        <v>833</v>
      </c>
      <c r="M223" s="66">
        <f>1064</f>
        <v>1064</v>
      </c>
      <c r="N223" s="67" t="s">
        <v>817</v>
      </c>
      <c r="O223" s="66">
        <f>1048</f>
        <v>1048</v>
      </c>
      <c r="P223" s="67" t="s">
        <v>834</v>
      </c>
      <c r="Q223" s="66">
        <f>1061</f>
        <v>1061</v>
      </c>
      <c r="R223" s="67" t="s">
        <v>50</v>
      </c>
      <c r="S223" s="68">
        <f>1057.63</f>
        <v>1057.6300000000001</v>
      </c>
      <c r="T223" s="65">
        <f>1096840</f>
        <v>1096840</v>
      </c>
      <c r="U223" s="65">
        <f>244580</f>
        <v>244580</v>
      </c>
      <c r="V223" s="65">
        <f>1160982490</f>
        <v>1160982490</v>
      </c>
      <c r="W223" s="65">
        <f>257574730</f>
        <v>257574730</v>
      </c>
      <c r="X223" s="69">
        <f>19</f>
        <v>19</v>
      </c>
    </row>
    <row r="224" spans="1:24">
      <c r="A224" s="60" t="s">
        <v>916</v>
      </c>
      <c r="B224" s="60" t="s">
        <v>656</v>
      </c>
      <c r="C224" s="60" t="s">
        <v>657</v>
      </c>
      <c r="D224" s="60" t="s">
        <v>658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1064</f>
        <v>1064</v>
      </c>
      <c r="L224" s="67" t="s">
        <v>833</v>
      </c>
      <c r="M224" s="66">
        <f>1214</f>
        <v>1214</v>
      </c>
      <c r="N224" s="67" t="s">
        <v>816</v>
      </c>
      <c r="O224" s="66">
        <f>1064</f>
        <v>1064</v>
      </c>
      <c r="P224" s="67" t="s">
        <v>833</v>
      </c>
      <c r="Q224" s="66">
        <f>1197</f>
        <v>1197</v>
      </c>
      <c r="R224" s="67" t="s">
        <v>50</v>
      </c>
      <c r="S224" s="68">
        <f>1168.16</f>
        <v>1168.1600000000001</v>
      </c>
      <c r="T224" s="65">
        <f>433450</f>
        <v>433450</v>
      </c>
      <c r="U224" s="65">
        <f>176130</f>
        <v>176130</v>
      </c>
      <c r="V224" s="65">
        <f>498676770</f>
        <v>498676770</v>
      </c>
      <c r="W224" s="65">
        <f>204091070</f>
        <v>204091070</v>
      </c>
      <c r="X224" s="69">
        <f>19</f>
        <v>19</v>
      </c>
    </row>
    <row r="225" spans="1:24">
      <c r="A225" s="60" t="s">
        <v>916</v>
      </c>
      <c r="B225" s="60" t="s">
        <v>659</v>
      </c>
      <c r="C225" s="60" t="s">
        <v>660</v>
      </c>
      <c r="D225" s="60" t="s">
        <v>661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1120</f>
        <v>1120</v>
      </c>
      <c r="L225" s="67" t="s">
        <v>833</v>
      </c>
      <c r="M225" s="66">
        <f>1268</f>
        <v>1268</v>
      </c>
      <c r="N225" s="67" t="s">
        <v>816</v>
      </c>
      <c r="O225" s="66">
        <f>1120</f>
        <v>1120</v>
      </c>
      <c r="P225" s="67" t="s">
        <v>833</v>
      </c>
      <c r="Q225" s="66">
        <f>1255</f>
        <v>1255</v>
      </c>
      <c r="R225" s="67" t="s">
        <v>50</v>
      </c>
      <c r="S225" s="68">
        <f>1226.37</f>
        <v>1226.3699999999999</v>
      </c>
      <c r="T225" s="65">
        <f>70200</f>
        <v>70200</v>
      </c>
      <c r="U225" s="65" t="str">
        <f>"－"</f>
        <v>－</v>
      </c>
      <c r="V225" s="65">
        <f>85975190</f>
        <v>85975190</v>
      </c>
      <c r="W225" s="65" t="str">
        <f>"－"</f>
        <v>－</v>
      </c>
      <c r="X225" s="69">
        <f>19</f>
        <v>19</v>
      </c>
    </row>
    <row r="226" spans="1:24">
      <c r="A226" s="60" t="s">
        <v>916</v>
      </c>
      <c r="B226" s="60" t="s">
        <v>662</v>
      </c>
      <c r="C226" s="60" t="s">
        <v>663</v>
      </c>
      <c r="D226" s="60" t="s">
        <v>664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10</v>
      </c>
      <c r="K226" s="66">
        <f>796</f>
        <v>796</v>
      </c>
      <c r="L226" s="67" t="s">
        <v>833</v>
      </c>
      <c r="M226" s="66">
        <f>913</f>
        <v>913</v>
      </c>
      <c r="N226" s="67" t="s">
        <v>822</v>
      </c>
      <c r="O226" s="66">
        <f>794</f>
        <v>794</v>
      </c>
      <c r="P226" s="67" t="s">
        <v>833</v>
      </c>
      <c r="Q226" s="66">
        <f>895</f>
        <v>895</v>
      </c>
      <c r="R226" s="67" t="s">
        <v>50</v>
      </c>
      <c r="S226" s="68">
        <f>877.63</f>
        <v>877.63</v>
      </c>
      <c r="T226" s="65">
        <f>492910</f>
        <v>492910</v>
      </c>
      <c r="U226" s="65">
        <f>1100</f>
        <v>1100</v>
      </c>
      <c r="V226" s="65">
        <f>430215860</f>
        <v>430215860</v>
      </c>
      <c r="W226" s="65">
        <f>993300</f>
        <v>993300</v>
      </c>
      <c r="X226" s="69">
        <f>19</f>
        <v>19</v>
      </c>
    </row>
    <row r="227" spans="1:24">
      <c r="A227" s="60" t="s">
        <v>916</v>
      </c>
      <c r="B227" s="60" t="s">
        <v>665</v>
      </c>
      <c r="C227" s="60" t="s">
        <v>666</v>
      </c>
      <c r="D227" s="60" t="s">
        <v>667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905</f>
        <v>905</v>
      </c>
      <c r="L227" s="67" t="s">
        <v>833</v>
      </c>
      <c r="M227" s="66">
        <f>978</f>
        <v>978</v>
      </c>
      <c r="N227" s="67" t="s">
        <v>119</v>
      </c>
      <c r="O227" s="66">
        <f>882</f>
        <v>882</v>
      </c>
      <c r="P227" s="67" t="s">
        <v>834</v>
      </c>
      <c r="Q227" s="66">
        <f>952</f>
        <v>952</v>
      </c>
      <c r="R227" s="67" t="s">
        <v>50</v>
      </c>
      <c r="S227" s="68">
        <f>935.26</f>
        <v>935.26</v>
      </c>
      <c r="T227" s="65">
        <f>20767330</f>
        <v>20767330</v>
      </c>
      <c r="U227" s="65">
        <f>77180</f>
        <v>77180</v>
      </c>
      <c r="V227" s="65">
        <f>19378574000</f>
        <v>19378574000</v>
      </c>
      <c r="W227" s="65">
        <f>73468740</f>
        <v>73468740</v>
      </c>
      <c r="X227" s="69">
        <f>19</f>
        <v>19</v>
      </c>
    </row>
    <row r="228" spans="1:24">
      <c r="A228" s="60" t="s">
        <v>916</v>
      </c>
      <c r="B228" s="60" t="s">
        <v>668</v>
      </c>
      <c r="C228" s="60" t="s">
        <v>669</v>
      </c>
      <c r="D228" s="60" t="s">
        <v>670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10</v>
      </c>
      <c r="K228" s="66">
        <f>969</f>
        <v>969</v>
      </c>
      <c r="L228" s="67" t="s">
        <v>833</v>
      </c>
      <c r="M228" s="66">
        <f>1022</f>
        <v>1022</v>
      </c>
      <c r="N228" s="67" t="s">
        <v>834</v>
      </c>
      <c r="O228" s="66">
        <f>964</f>
        <v>964</v>
      </c>
      <c r="P228" s="67" t="s">
        <v>833</v>
      </c>
      <c r="Q228" s="66">
        <f>983</f>
        <v>983</v>
      </c>
      <c r="R228" s="67" t="s">
        <v>50</v>
      </c>
      <c r="S228" s="68">
        <f>992.16</f>
        <v>992.16</v>
      </c>
      <c r="T228" s="65">
        <f>60040</f>
        <v>60040</v>
      </c>
      <c r="U228" s="65" t="str">
        <f>"－"</f>
        <v>－</v>
      </c>
      <c r="V228" s="65">
        <f>59547100</f>
        <v>59547100</v>
      </c>
      <c r="W228" s="65" t="str">
        <f>"－"</f>
        <v>－</v>
      </c>
      <c r="X228" s="69">
        <f>19</f>
        <v>19</v>
      </c>
    </row>
    <row r="229" spans="1:24">
      <c r="A229" s="60" t="s">
        <v>916</v>
      </c>
      <c r="B229" s="60" t="s">
        <v>671</v>
      </c>
      <c r="C229" s="60" t="s">
        <v>672</v>
      </c>
      <c r="D229" s="60" t="s">
        <v>673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</v>
      </c>
      <c r="K229" s="66">
        <f>937</f>
        <v>937</v>
      </c>
      <c r="L229" s="67" t="s">
        <v>833</v>
      </c>
      <c r="M229" s="66">
        <f>1060</f>
        <v>1060</v>
      </c>
      <c r="N229" s="67" t="s">
        <v>816</v>
      </c>
      <c r="O229" s="66">
        <f>937</f>
        <v>937</v>
      </c>
      <c r="P229" s="67" t="s">
        <v>833</v>
      </c>
      <c r="Q229" s="66">
        <f>1039</f>
        <v>1039</v>
      </c>
      <c r="R229" s="67" t="s">
        <v>50</v>
      </c>
      <c r="S229" s="68">
        <f>1012.53</f>
        <v>1012.53</v>
      </c>
      <c r="T229" s="65">
        <f>278572</f>
        <v>278572</v>
      </c>
      <c r="U229" s="65">
        <f>1</f>
        <v>1</v>
      </c>
      <c r="V229" s="65">
        <f>290948534</f>
        <v>290948534</v>
      </c>
      <c r="W229" s="65">
        <f>1025</f>
        <v>1025</v>
      </c>
      <c r="X229" s="69">
        <f>19</f>
        <v>19</v>
      </c>
    </row>
    <row r="230" spans="1:24">
      <c r="A230" s="60" t="s">
        <v>916</v>
      </c>
      <c r="B230" s="60" t="s">
        <v>674</v>
      </c>
      <c r="C230" s="60" t="s">
        <v>675</v>
      </c>
      <c r="D230" s="60" t="s">
        <v>676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10</v>
      </c>
      <c r="K230" s="66">
        <f>992</f>
        <v>992</v>
      </c>
      <c r="L230" s="67" t="s">
        <v>833</v>
      </c>
      <c r="M230" s="66">
        <f>1041</f>
        <v>1041</v>
      </c>
      <c r="N230" s="67" t="s">
        <v>72</v>
      </c>
      <c r="O230" s="66">
        <f>986</f>
        <v>986</v>
      </c>
      <c r="P230" s="67" t="s">
        <v>833</v>
      </c>
      <c r="Q230" s="66">
        <f>1023</f>
        <v>1023</v>
      </c>
      <c r="R230" s="67" t="s">
        <v>50</v>
      </c>
      <c r="S230" s="68">
        <f>1020.26</f>
        <v>1020.26</v>
      </c>
      <c r="T230" s="65">
        <f>65870</f>
        <v>65870</v>
      </c>
      <c r="U230" s="65">
        <f>140</f>
        <v>140</v>
      </c>
      <c r="V230" s="65">
        <f>67484290</f>
        <v>67484290</v>
      </c>
      <c r="W230" s="65">
        <f>143500</f>
        <v>143500</v>
      </c>
      <c r="X230" s="69">
        <f>19</f>
        <v>19</v>
      </c>
    </row>
    <row r="231" spans="1:24">
      <c r="A231" s="60" t="s">
        <v>916</v>
      </c>
      <c r="B231" s="60" t="s">
        <v>677</v>
      </c>
      <c r="C231" s="60" t="s">
        <v>678</v>
      </c>
      <c r="D231" s="60" t="s">
        <v>679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988</f>
        <v>988</v>
      </c>
      <c r="L231" s="67" t="s">
        <v>833</v>
      </c>
      <c r="M231" s="66">
        <f>1113</f>
        <v>1113</v>
      </c>
      <c r="N231" s="67" t="s">
        <v>816</v>
      </c>
      <c r="O231" s="66">
        <f>987</f>
        <v>987</v>
      </c>
      <c r="P231" s="67" t="s">
        <v>833</v>
      </c>
      <c r="Q231" s="66">
        <f>1094</f>
        <v>1094</v>
      </c>
      <c r="R231" s="67" t="s">
        <v>50</v>
      </c>
      <c r="S231" s="68">
        <f>1065.84</f>
        <v>1065.8399999999999</v>
      </c>
      <c r="T231" s="65">
        <f>53880</f>
        <v>53880</v>
      </c>
      <c r="U231" s="65">
        <f>10</f>
        <v>10</v>
      </c>
      <c r="V231" s="65">
        <f>57634270</f>
        <v>57634270</v>
      </c>
      <c r="W231" s="65">
        <f>10770</f>
        <v>10770</v>
      </c>
      <c r="X231" s="69">
        <f>19</f>
        <v>19</v>
      </c>
    </row>
    <row r="232" spans="1:24">
      <c r="A232" s="60" t="s">
        <v>916</v>
      </c>
      <c r="B232" s="60" t="s">
        <v>680</v>
      </c>
      <c r="C232" s="60" t="s">
        <v>681</v>
      </c>
      <c r="D232" s="60" t="s">
        <v>682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10</v>
      </c>
      <c r="K232" s="66">
        <f>1144</f>
        <v>1144</v>
      </c>
      <c r="L232" s="67" t="s">
        <v>833</v>
      </c>
      <c r="M232" s="66">
        <f>1283</f>
        <v>1283</v>
      </c>
      <c r="N232" s="67" t="s">
        <v>816</v>
      </c>
      <c r="O232" s="66">
        <f>1142</f>
        <v>1142</v>
      </c>
      <c r="P232" s="67" t="s">
        <v>833</v>
      </c>
      <c r="Q232" s="66">
        <f>1269</f>
        <v>1269</v>
      </c>
      <c r="R232" s="67" t="s">
        <v>50</v>
      </c>
      <c r="S232" s="68">
        <f>1244.84</f>
        <v>1244.8399999999999</v>
      </c>
      <c r="T232" s="65">
        <f>16546990</f>
        <v>16546990</v>
      </c>
      <c r="U232" s="65">
        <f>7083880</f>
        <v>7083880</v>
      </c>
      <c r="V232" s="65">
        <f>20499465450</f>
        <v>20499465450</v>
      </c>
      <c r="W232" s="65">
        <f>8824001060</f>
        <v>8824001060</v>
      </c>
      <c r="X232" s="69">
        <f>19</f>
        <v>19</v>
      </c>
    </row>
    <row r="233" spans="1:24">
      <c r="A233" s="60" t="s">
        <v>916</v>
      </c>
      <c r="B233" s="60" t="s">
        <v>683</v>
      </c>
      <c r="C233" s="60" t="s">
        <v>684</v>
      </c>
      <c r="D233" s="60" t="s">
        <v>685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</v>
      </c>
      <c r="K233" s="66">
        <f>2716</f>
        <v>2716</v>
      </c>
      <c r="L233" s="67" t="s">
        <v>833</v>
      </c>
      <c r="M233" s="66">
        <f>3120</f>
        <v>3120</v>
      </c>
      <c r="N233" s="67" t="s">
        <v>50</v>
      </c>
      <c r="O233" s="66">
        <f>2708</f>
        <v>2708</v>
      </c>
      <c r="P233" s="67" t="s">
        <v>833</v>
      </c>
      <c r="Q233" s="66">
        <f>3095</f>
        <v>3095</v>
      </c>
      <c r="R233" s="67" t="s">
        <v>50</v>
      </c>
      <c r="S233" s="68">
        <f>2974.84</f>
        <v>2974.84</v>
      </c>
      <c r="T233" s="65">
        <f>72380</f>
        <v>72380</v>
      </c>
      <c r="U233" s="65" t="str">
        <f>"－"</f>
        <v>－</v>
      </c>
      <c r="V233" s="65">
        <f>211412455</f>
        <v>211412455</v>
      </c>
      <c r="W233" s="65" t="str">
        <f>"－"</f>
        <v>－</v>
      </c>
      <c r="X233" s="69">
        <f>19</f>
        <v>19</v>
      </c>
    </row>
    <row r="234" spans="1:24">
      <c r="A234" s="60" t="s">
        <v>916</v>
      </c>
      <c r="B234" s="60" t="s">
        <v>686</v>
      </c>
      <c r="C234" s="60" t="s">
        <v>687</v>
      </c>
      <c r="D234" s="60" t="s">
        <v>688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10</v>
      </c>
      <c r="K234" s="66">
        <f>1440</f>
        <v>1440</v>
      </c>
      <c r="L234" s="67" t="s">
        <v>833</v>
      </c>
      <c r="M234" s="66">
        <f>1839</f>
        <v>1839</v>
      </c>
      <c r="N234" s="67" t="s">
        <v>50</v>
      </c>
      <c r="O234" s="66">
        <f>1440</f>
        <v>1440</v>
      </c>
      <c r="P234" s="67" t="s">
        <v>833</v>
      </c>
      <c r="Q234" s="66">
        <f>1839</f>
        <v>1839</v>
      </c>
      <c r="R234" s="67" t="s">
        <v>50</v>
      </c>
      <c r="S234" s="68">
        <f>1590.43</f>
        <v>1590.43</v>
      </c>
      <c r="T234" s="65">
        <f>5300</f>
        <v>5300</v>
      </c>
      <c r="U234" s="65" t="str">
        <f>"－"</f>
        <v>－</v>
      </c>
      <c r="V234" s="65">
        <f>8702690</f>
        <v>8702690</v>
      </c>
      <c r="W234" s="65" t="str">
        <f>"－"</f>
        <v>－</v>
      </c>
      <c r="X234" s="69">
        <f>14</f>
        <v>14</v>
      </c>
    </row>
    <row r="235" spans="1:24">
      <c r="A235" s="60" t="s">
        <v>916</v>
      </c>
      <c r="B235" s="60" t="s">
        <v>689</v>
      </c>
      <c r="C235" s="60" t="s">
        <v>690</v>
      </c>
      <c r="D235" s="60" t="s">
        <v>691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10</v>
      </c>
      <c r="K235" s="66">
        <f>1680</f>
        <v>1680</v>
      </c>
      <c r="L235" s="67" t="s">
        <v>817</v>
      </c>
      <c r="M235" s="66">
        <f>1808</f>
        <v>1808</v>
      </c>
      <c r="N235" s="67" t="s">
        <v>91</v>
      </c>
      <c r="O235" s="66">
        <f>1680</f>
        <v>1680</v>
      </c>
      <c r="P235" s="67" t="s">
        <v>817</v>
      </c>
      <c r="Q235" s="66">
        <f>1808</f>
        <v>1808</v>
      </c>
      <c r="R235" s="67" t="s">
        <v>91</v>
      </c>
      <c r="S235" s="68">
        <f>1746.23</f>
        <v>1746.23</v>
      </c>
      <c r="T235" s="65">
        <f>174460</f>
        <v>174460</v>
      </c>
      <c r="U235" s="65" t="str">
        <f>"－"</f>
        <v>－</v>
      </c>
      <c r="V235" s="65">
        <f>304290180</f>
        <v>304290180</v>
      </c>
      <c r="W235" s="65" t="str">
        <f>"－"</f>
        <v>－</v>
      </c>
      <c r="X235" s="69">
        <f>13</f>
        <v>13</v>
      </c>
    </row>
    <row r="236" spans="1:24">
      <c r="A236" s="60" t="s">
        <v>916</v>
      </c>
      <c r="B236" s="60" t="s">
        <v>692</v>
      </c>
      <c r="C236" s="60" t="s">
        <v>693</v>
      </c>
      <c r="D236" s="60" t="s">
        <v>694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</v>
      </c>
      <c r="K236" s="66">
        <f>24280</f>
        <v>24280</v>
      </c>
      <c r="L236" s="67" t="s">
        <v>817</v>
      </c>
      <c r="M236" s="66">
        <f>26940</f>
        <v>26940</v>
      </c>
      <c r="N236" s="67" t="s">
        <v>50</v>
      </c>
      <c r="O236" s="66">
        <f>24280</f>
        <v>24280</v>
      </c>
      <c r="P236" s="67" t="s">
        <v>817</v>
      </c>
      <c r="Q236" s="66">
        <f>26760</f>
        <v>26760</v>
      </c>
      <c r="R236" s="67" t="s">
        <v>50</v>
      </c>
      <c r="S236" s="68">
        <f>25876.43</f>
        <v>25876.43</v>
      </c>
      <c r="T236" s="65">
        <f>2671</f>
        <v>2671</v>
      </c>
      <c r="U236" s="65">
        <f>1</f>
        <v>1</v>
      </c>
      <c r="V236" s="65">
        <f>67565540</f>
        <v>67565540</v>
      </c>
      <c r="W236" s="65">
        <f>25610</f>
        <v>25610</v>
      </c>
      <c r="X236" s="69">
        <f>14</f>
        <v>14</v>
      </c>
    </row>
    <row r="237" spans="1:24">
      <c r="A237" s="60" t="s">
        <v>916</v>
      </c>
      <c r="B237" s="60" t="s">
        <v>695</v>
      </c>
      <c r="C237" s="60" t="s">
        <v>696</v>
      </c>
      <c r="D237" s="60" t="s">
        <v>697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</v>
      </c>
      <c r="K237" s="66">
        <f>14510</f>
        <v>14510</v>
      </c>
      <c r="L237" s="67" t="s">
        <v>833</v>
      </c>
      <c r="M237" s="66">
        <f>16460</f>
        <v>16460</v>
      </c>
      <c r="N237" s="67" t="s">
        <v>50</v>
      </c>
      <c r="O237" s="66">
        <f>14510</f>
        <v>14510</v>
      </c>
      <c r="P237" s="67" t="s">
        <v>833</v>
      </c>
      <c r="Q237" s="66">
        <f>16150</f>
        <v>16150</v>
      </c>
      <c r="R237" s="67" t="s">
        <v>50</v>
      </c>
      <c r="S237" s="68">
        <f>15677.22</f>
        <v>15677.22</v>
      </c>
      <c r="T237" s="65">
        <f>156778</f>
        <v>156778</v>
      </c>
      <c r="U237" s="65">
        <f>40000</f>
        <v>40000</v>
      </c>
      <c r="V237" s="65">
        <f>2444411240</f>
        <v>2444411240</v>
      </c>
      <c r="W237" s="65">
        <f>636920000</f>
        <v>636920000</v>
      </c>
      <c r="X237" s="69">
        <f>18</f>
        <v>18</v>
      </c>
    </row>
    <row r="238" spans="1:24">
      <c r="A238" s="60" t="s">
        <v>916</v>
      </c>
      <c r="B238" s="60" t="s">
        <v>698</v>
      </c>
      <c r="C238" s="60" t="s">
        <v>699</v>
      </c>
      <c r="D238" s="60" t="s">
        <v>700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10</v>
      </c>
      <c r="K238" s="66">
        <f>972</f>
        <v>972</v>
      </c>
      <c r="L238" s="67" t="s">
        <v>833</v>
      </c>
      <c r="M238" s="66">
        <f>1034</f>
        <v>1034</v>
      </c>
      <c r="N238" s="67" t="s">
        <v>815</v>
      </c>
      <c r="O238" s="66">
        <f>972</f>
        <v>972</v>
      </c>
      <c r="P238" s="67" t="s">
        <v>833</v>
      </c>
      <c r="Q238" s="66">
        <f>1004</f>
        <v>1004</v>
      </c>
      <c r="R238" s="67" t="s">
        <v>50</v>
      </c>
      <c r="S238" s="68">
        <f>1007.19</f>
        <v>1007.19</v>
      </c>
      <c r="T238" s="65">
        <f>205910</f>
        <v>205910</v>
      </c>
      <c r="U238" s="65">
        <f>140000</f>
        <v>140000</v>
      </c>
      <c r="V238" s="65">
        <f>206422160</f>
        <v>206422160</v>
      </c>
      <c r="W238" s="65">
        <f>140553000</f>
        <v>140553000</v>
      </c>
      <c r="X238" s="69">
        <f>16</f>
        <v>16</v>
      </c>
    </row>
    <row r="239" spans="1:24">
      <c r="A239" s="60" t="s">
        <v>916</v>
      </c>
      <c r="B239" s="60" t="s">
        <v>701</v>
      </c>
      <c r="C239" s="60" t="s">
        <v>702</v>
      </c>
      <c r="D239" s="60" t="s">
        <v>703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10</v>
      </c>
      <c r="K239" s="66">
        <f>971</f>
        <v>971</v>
      </c>
      <c r="L239" s="67" t="s">
        <v>833</v>
      </c>
      <c r="M239" s="66">
        <f>1025</f>
        <v>1025</v>
      </c>
      <c r="N239" s="67" t="s">
        <v>61</v>
      </c>
      <c r="O239" s="66">
        <f>958</f>
        <v>958</v>
      </c>
      <c r="P239" s="67" t="s">
        <v>833</v>
      </c>
      <c r="Q239" s="66">
        <f>997</f>
        <v>997</v>
      </c>
      <c r="R239" s="67" t="s">
        <v>50</v>
      </c>
      <c r="S239" s="68">
        <f>993.32</f>
        <v>993.32</v>
      </c>
      <c r="T239" s="65">
        <f>67500</f>
        <v>67500</v>
      </c>
      <c r="U239" s="65">
        <f>45000</f>
        <v>45000</v>
      </c>
      <c r="V239" s="65">
        <f>67103700</f>
        <v>67103700</v>
      </c>
      <c r="W239" s="65">
        <f>44858250</f>
        <v>44858250</v>
      </c>
      <c r="X239" s="69">
        <f>19</f>
        <v>19</v>
      </c>
    </row>
    <row r="240" spans="1:24">
      <c r="A240" s="60" t="s">
        <v>916</v>
      </c>
      <c r="B240" s="60" t="s">
        <v>704</v>
      </c>
      <c r="C240" s="60" t="s">
        <v>705</v>
      </c>
      <c r="D240" s="60" t="s">
        <v>706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</v>
      </c>
      <c r="K240" s="66">
        <f>850</f>
        <v>850</v>
      </c>
      <c r="L240" s="67" t="s">
        <v>833</v>
      </c>
      <c r="M240" s="66">
        <f>960</f>
        <v>960</v>
      </c>
      <c r="N240" s="67" t="s">
        <v>816</v>
      </c>
      <c r="O240" s="66">
        <f>850</f>
        <v>850</v>
      </c>
      <c r="P240" s="67" t="s">
        <v>833</v>
      </c>
      <c r="Q240" s="66">
        <f>926</f>
        <v>926</v>
      </c>
      <c r="R240" s="67" t="s">
        <v>50</v>
      </c>
      <c r="S240" s="68">
        <f>913.84</f>
        <v>913.84</v>
      </c>
      <c r="T240" s="65">
        <f>52813</f>
        <v>52813</v>
      </c>
      <c r="U240" s="65" t="str">
        <f>"－"</f>
        <v>－</v>
      </c>
      <c r="V240" s="65">
        <f>48160356</f>
        <v>48160356</v>
      </c>
      <c r="W240" s="65" t="str">
        <f>"－"</f>
        <v>－</v>
      </c>
      <c r="X240" s="69">
        <f>19</f>
        <v>19</v>
      </c>
    </row>
    <row r="241" spans="1:24">
      <c r="A241" s="60" t="s">
        <v>916</v>
      </c>
      <c r="B241" s="60" t="s">
        <v>707</v>
      </c>
      <c r="C241" s="60" t="s">
        <v>708</v>
      </c>
      <c r="D241" s="60" t="s">
        <v>709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</v>
      </c>
      <c r="K241" s="66">
        <f>11960</f>
        <v>11960</v>
      </c>
      <c r="L241" s="67" t="s">
        <v>833</v>
      </c>
      <c r="M241" s="66">
        <f>12950</f>
        <v>12950</v>
      </c>
      <c r="N241" s="67" t="s">
        <v>50</v>
      </c>
      <c r="O241" s="66">
        <f>11920</f>
        <v>11920</v>
      </c>
      <c r="P241" s="67" t="s">
        <v>48</v>
      </c>
      <c r="Q241" s="66">
        <f>12800</f>
        <v>12800</v>
      </c>
      <c r="R241" s="67" t="s">
        <v>50</v>
      </c>
      <c r="S241" s="68">
        <f>12428.95</f>
        <v>12428.95</v>
      </c>
      <c r="T241" s="65">
        <f>3393</f>
        <v>3393</v>
      </c>
      <c r="U241" s="65" t="str">
        <f>"－"</f>
        <v>－</v>
      </c>
      <c r="V241" s="65">
        <f>42288320</f>
        <v>42288320</v>
      </c>
      <c r="W241" s="65" t="str">
        <f>"－"</f>
        <v>－</v>
      </c>
      <c r="X241" s="69">
        <f>19</f>
        <v>19</v>
      </c>
    </row>
    <row r="242" spans="1:24">
      <c r="A242" s="60" t="s">
        <v>916</v>
      </c>
      <c r="B242" s="60" t="s">
        <v>710</v>
      </c>
      <c r="C242" s="60" t="s">
        <v>711</v>
      </c>
      <c r="D242" s="60" t="s">
        <v>712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</v>
      </c>
      <c r="K242" s="66">
        <f>1745</f>
        <v>1745</v>
      </c>
      <c r="L242" s="67" t="s">
        <v>833</v>
      </c>
      <c r="M242" s="66">
        <f>1853</f>
        <v>1853</v>
      </c>
      <c r="N242" s="67" t="s">
        <v>815</v>
      </c>
      <c r="O242" s="66">
        <f>1733</f>
        <v>1733</v>
      </c>
      <c r="P242" s="67" t="s">
        <v>833</v>
      </c>
      <c r="Q242" s="66">
        <f>1798</f>
        <v>1798</v>
      </c>
      <c r="R242" s="67" t="s">
        <v>50</v>
      </c>
      <c r="S242" s="68">
        <f>1799.42</f>
        <v>1799.42</v>
      </c>
      <c r="T242" s="65">
        <f>8967</f>
        <v>8967</v>
      </c>
      <c r="U242" s="65" t="str">
        <f>"－"</f>
        <v>－</v>
      </c>
      <c r="V242" s="65">
        <f>16148923</f>
        <v>16148923</v>
      </c>
      <c r="W242" s="65" t="str">
        <f>"－"</f>
        <v>－</v>
      </c>
      <c r="X242" s="69">
        <f>19</f>
        <v>19</v>
      </c>
    </row>
    <row r="243" spans="1:24">
      <c r="A243" s="60" t="s">
        <v>916</v>
      </c>
      <c r="B243" s="60" t="s">
        <v>713</v>
      </c>
      <c r="C243" s="60" t="s">
        <v>714</v>
      </c>
      <c r="D243" s="60" t="s">
        <v>715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f>1400</f>
        <v>1400</v>
      </c>
      <c r="L243" s="67" t="s">
        <v>833</v>
      </c>
      <c r="M243" s="66">
        <f>1792</f>
        <v>1792</v>
      </c>
      <c r="N243" s="67" t="s">
        <v>50</v>
      </c>
      <c r="O243" s="66">
        <f>1329</f>
        <v>1329</v>
      </c>
      <c r="P243" s="67" t="s">
        <v>61</v>
      </c>
      <c r="Q243" s="66">
        <f>1777</f>
        <v>1777</v>
      </c>
      <c r="R243" s="67" t="s">
        <v>50</v>
      </c>
      <c r="S243" s="68">
        <f>1450.33</f>
        <v>1450.33</v>
      </c>
      <c r="T243" s="65">
        <f>2990</f>
        <v>2990</v>
      </c>
      <c r="U243" s="65" t="str">
        <f>"－"</f>
        <v>－</v>
      </c>
      <c r="V243" s="65">
        <f>4533260</f>
        <v>4533260</v>
      </c>
      <c r="W243" s="65" t="str">
        <f>"－"</f>
        <v>－</v>
      </c>
      <c r="X243" s="69">
        <f>12</f>
        <v>12</v>
      </c>
    </row>
    <row r="244" spans="1:24">
      <c r="A244" s="60" t="s">
        <v>916</v>
      </c>
      <c r="B244" s="60" t="s">
        <v>716</v>
      </c>
      <c r="C244" s="60" t="s">
        <v>717</v>
      </c>
      <c r="D244" s="60" t="s">
        <v>718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1022</f>
        <v>1022</v>
      </c>
      <c r="L244" s="67" t="s">
        <v>833</v>
      </c>
      <c r="M244" s="66">
        <f>1035</f>
        <v>1035</v>
      </c>
      <c r="N244" s="67" t="s">
        <v>50</v>
      </c>
      <c r="O244" s="66">
        <f>1021</f>
        <v>1021</v>
      </c>
      <c r="P244" s="67" t="s">
        <v>834</v>
      </c>
      <c r="Q244" s="66">
        <f>1033</f>
        <v>1033</v>
      </c>
      <c r="R244" s="67" t="s">
        <v>50</v>
      </c>
      <c r="S244" s="68">
        <f>1027.84</f>
        <v>1027.8399999999999</v>
      </c>
      <c r="T244" s="65">
        <f>275710</f>
        <v>275710</v>
      </c>
      <c r="U244" s="65">
        <f>1970</f>
        <v>1970</v>
      </c>
      <c r="V244" s="65">
        <f>283297630</f>
        <v>283297630</v>
      </c>
      <c r="W244" s="65">
        <f>2031060</f>
        <v>2031060</v>
      </c>
      <c r="X244" s="69">
        <f>19</f>
        <v>19</v>
      </c>
    </row>
    <row r="245" spans="1:24">
      <c r="A245" s="60" t="s">
        <v>916</v>
      </c>
      <c r="B245" s="60" t="s">
        <v>719</v>
      </c>
      <c r="C245" s="60" t="s">
        <v>720</v>
      </c>
      <c r="D245" s="60" t="s">
        <v>721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10</v>
      </c>
      <c r="K245" s="66">
        <f>1658</f>
        <v>1658</v>
      </c>
      <c r="L245" s="67" t="s">
        <v>833</v>
      </c>
      <c r="M245" s="66">
        <f>1763</f>
        <v>1763</v>
      </c>
      <c r="N245" s="67" t="s">
        <v>834</v>
      </c>
      <c r="O245" s="66">
        <f>1658</f>
        <v>1658</v>
      </c>
      <c r="P245" s="67" t="s">
        <v>833</v>
      </c>
      <c r="Q245" s="66">
        <f>1720</f>
        <v>1720</v>
      </c>
      <c r="R245" s="67" t="s">
        <v>50</v>
      </c>
      <c r="S245" s="68">
        <f>1718.11</f>
        <v>1718.11</v>
      </c>
      <c r="T245" s="65">
        <f>31370</f>
        <v>31370</v>
      </c>
      <c r="U245" s="65" t="str">
        <f>"－"</f>
        <v>－</v>
      </c>
      <c r="V245" s="65">
        <f>53971100</f>
        <v>53971100</v>
      </c>
      <c r="W245" s="65" t="str">
        <f>"－"</f>
        <v>－</v>
      </c>
      <c r="X245" s="69">
        <f>19</f>
        <v>19</v>
      </c>
    </row>
    <row r="246" spans="1:24">
      <c r="A246" s="60" t="s">
        <v>916</v>
      </c>
      <c r="B246" s="60" t="s">
        <v>722</v>
      </c>
      <c r="C246" s="60" t="s">
        <v>723</v>
      </c>
      <c r="D246" s="60" t="s">
        <v>724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10</v>
      </c>
      <c r="K246" s="66">
        <f>1661</f>
        <v>1661</v>
      </c>
      <c r="L246" s="67" t="s">
        <v>833</v>
      </c>
      <c r="M246" s="66">
        <f>1764</f>
        <v>1764</v>
      </c>
      <c r="N246" s="67" t="s">
        <v>834</v>
      </c>
      <c r="O246" s="66">
        <f>1652</f>
        <v>1652</v>
      </c>
      <c r="P246" s="67" t="s">
        <v>833</v>
      </c>
      <c r="Q246" s="66">
        <f>1714</f>
        <v>1714</v>
      </c>
      <c r="R246" s="67" t="s">
        <v>50</v>
      </c>
      <c r="S246" s="68">
        <f>1712.58</f>
        <v>1712.58</v>
      </c>
      <c r="T246" s="65">
        <f>668970</f>
        <v>668970</v>
      </c>
      <c r="U246" s="65">
        <f>545000</f>
        <v>545000</v>
      </c>
      <c r="V246" s="65">
        <f>1158635790</f>
        <v>1158635790</v>
      </c>
      <c r="W246" s="65">
        <f>946379890</f>
        <v>946379890</v>
      </c>
      <c r="X246" s="69">
        <f>19</f>
        <v>19</v>
      </c>
    </row>
    <row r="247" spans="1:24">
      <c r="A247" s="60" t="s">
        <v>916</v>
      </c>
      <c r="B247" s="60" t="s">
        <v>725</v>
      </c>
      <c r="C247" s="60" t="s">
        <v>726</v>
      </c>
      <c r="D247" s="60" t="s">
        <v>727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10</v>
      </c>
      <c r="K247" s="66">
        <f>1719</f>
        <v>1719</v>
      </c>
      <c r="L247" s="67" t="s">
        <v>61</v>
      </c>
      <c r="M247" s="66">
        <f>1739</f>
        <v>1739</v>
      </c>
      <c r="N247" s="67" t="s">
        <v>72</v>
      </c>
      <c r="O247" s="66">
        <f>1709</f>
        <v>1709</v>
      </c>
      <c r="P247" s="67" t="s">
        <v>61</v>
      </c>
      <c r="Q247" s="66">
        <f>1739</f>
        <v>1739</v>
      </c>
      <c r="R247" s="67" t="s">
        <v>72</v>
      </c>
      <c r="S247" s="68">
        <f>1724.33</f>
        <v>1724.33</v>
      </c>
      <c r="T247" s="65">
        <f>600320</f>
        <v>600320</v>
      </c>
      <c r="U247" s="65">
        <f>600000</f>
        <v>600000</v>
      </c>
      <c r="V247" s="65">
        <f>1037020640</f>
        <v>1037020640</v>
      </c>
      <c r="W247" s="65">
        <f>1036470000</f>
        <v>1036470000</v>
      </c>
      <c r="X247" s="69">
        <f>3</f>
        <v>3</v>
      </c>
    </row>
    <row r="248" spans="1:24">
      <c r="A248" s="60" t="s">
        <v>916</v>
      </c>
      <c r="B248" s="60" t="s">
        <v>728</v>
      </c>
      <c r="C248" s="60" t="s">
        <v>729</v>
      </c>
      <c r="D248" s="60" t="s">
        <v>730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</v>
      </c>
      <c r="K248" s="66">
        <f>9780</f>
        <v>9780</v>
      </c>
      <c r="L248" s="67" t="s">
        <v>833</v>
      </c>
      <c r="M248" s="66">
        <f>10970</f>
        <v>10970</v>
      </c>
      <c r="N248" s="67" t="s">
        <v>816</v>
      </c>
      <c r="O248" s="66">
        <f>9760</f>
        <v>9760</v>
      </c>
      <c r="P248" s="67" t="s">
        <v>833</v>
      </c>
      <c r="Q248" s="66">
        <f>10770</f>
        <v>10770</v>
      </c>
      <c r="R248" s="67" t="s">
        <v>50</v>
      </c>
      <c r="S248" s="68">
        <f>10618.95</f>
        <v>10618.95</v>
      </c>
      <c r="T248" s="65">
        <f>336484</f>
        <v>336484</v>
      </c>
      <c r="U248" s="65">
        <f>65509</f>
        <v>65509</v>
      </c>
      <c r="V248" s="65">
        <f>3566773360</f>
        <v>3566773360</v>
      </c>
      <c r="W248" s="65">
        <f>708105170</f>
        <v>708105170</v>
      </c>
      <c r="X248" s="69">
        <f>19</f>
        <v>19</v>
      </c>
    </row>
    <row r="249" spans="1:24">
      <c r="A249" s="60" t="s">
        <v>916</v>
      </c>
      <c r="B249" s="60" t="s">
        <v>734</v>
      </c>
      <c r="C249" s="60" t="s">
        <v>735</v>
      </c>
      <c r="D249" s="60" t="s">
        <v>736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</v>
      </c>
      <c r="K249" s="66">
        <f>9500</f>
        <v>9500</v>
      </c>
      <c r="L249" s="67" t="s">
        <v>833</v>
      </c>
      <c r="M249" s="66">
        <f>10770</f>
        <v>10770</v>
      </c>
      <c r="N249" s="67" t="s">
        <v>816</v>
      </c>
      <c r="O249" s="66">
        <f>9500</f>
        <v>9500</v>
      </c>
      <c r="P249" s="67" t="s">
        <v>833</v>
      </c>
      <c r="Q249" s="66">
        <f>10630</f>
        <v>10630</v>
      </c>
      <c r="R249" s="67" t="s">
        <v>50</v>
      </c>
      <c r="S249" s="68">
        <f>10369.47</f>
        <v>10369.469999999999</v>
      </c>
      <c r="T249" s="65">
        <f>113612</f>
        <v>113612</v>
      </c>
      <c r="U249" s="65">
        <f>31006</f>
        <v>31006</v>
      </c>
      <c r="V249" s="65">
        <f>1161052000</f>
        <v>1161052000</v>
      </c>
      <c r="W249" s="65">
        <f>307862740</f>
        <v>307862740</v>
      </c>
      <c r="X249" s="69">
        <f>19</f>
        <v>19</v>
      </c>
    </row>
    <row r="250" spans="1:24">
      <c r="A250" s="60" t="s">
        <v>916</v>
      </c>
      <c r="B250" s="60" t="s">
        <v>824</v>
      </c>
      <c r="C250" s="60" t="s">
        <v>825</v>
      </c>
      <c r="D250" s="60" t="s">
        <v>826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22180</f>
        <v>22180</v>
      </c>
      <c r="L250" s="67" t="s">
        <v>48</v>
      </c>
      <c r="M250" s="66">
        <f>23910</f>
        <v>23910</v>
      </c>
      <c r="N250" s="67" t="s">
        <v>50</v>
      </c>
      <c r="O250" s="66">
        <f>22180</f>
        <v>22180</v>
      </c>
      <c r="P250" s="67" t="s">
        <v>48</v>
      </c>
      <c r="Q250" s="66">
        <f>23520</f>
        <v>23520</v>
      </c>
      <c r="R250" s="67" t="s">
        <v>50</v>
      </c>
      <c r="S250" s="68">
        <f>22855.71</f>
        <v>22855.71</v>
      </c>
      <c r="T250" s="65">
        <f>63</f>
        <v>63</v>
      </c>
      <c r="U250" s="65" t="str">
        <f>"－"</f>
        <v>－</v>
      </c>
      <c r="V250" s="65">
        <f>1436080</f>
        <v>1436080</v>
      </c>
      <c r="W250" s="65" t="str">
        <f>"－"</f>
        <v>－</v>
      </c>
      <c r="X250" s="69">
        <f>7</f>
        <v>7</v>
      </c>
    </row>
    <row r="251" spans="1:24">
      <c r="A251" s="60" t="s">
        <v>916</v>
      </c>
      <c r="B251" s="60" t="s">
        <v>828</v>
      </c>
      <c r="C251" s="60" t="s">
        <v>829</v>
      </c>
      <c r="D251" s="60" t="s">
        <v>830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</v>
      </c>
      <c r="K251" s="66">
        <f>2727</f>
        <v>2727</v>
      </c>
      <c r="L251" s="67" t="s">
        <v>833</v>
      </c>
      <c r="M251" s="66">
        <f>2738</f>
        <v>2738</v>
      </c>
      <c r="N251" s="67" t="s">
        <v>49</v>
      </c>
      <c r="O251" s="66">
        <f>2724</f>
        <v>2724</v>
      </c>
      <c r="P251" s="67" t="s">
        <v>818</v>
      </c>
      <c r="Q251" s="66">
        <f>2728</f>
        <v>2728</v>
      </c>
      <c r="R251" s="67" t="s">
        <v>50</v>
      </c>
      <c r="S251" s="68">
        <f>2731.11</f>
        <v>2731.11</v>
      </c>
      <c r="T251" s="65">
        <f>4043329</f>
        <v>4043329</v>
      </c>
      <c r="U251" s="65">
        <f>3849019</f>
        <v>3849019</v>
      </c>
      <c r="V251" s="65">
        <f>11043655517</f>
        <v>11043655517</v>
      </c>
      <c r="W251" s="65">
        <f>10513272321</f>
        <v>10513272321</v>
      </c>
      <c r="X251" s="69">
        <f>19</f>
        <v>19</v>
      </c>
    </row>
    <row r="252" spans="1:24">
      <c r="A252" s="60" t="s">
        <v>916</v>
      </c>
      <c r="B252" s="60" t="s">
        <v>835</v>
      </c>
      <c r="C252" s="60" t="s">
        <v>836</v>
      </c>
      <c r="D252" s="60" t="s">
        <v>837</v>
      </c>
      <c r="E252" s="61" t="s">
        <v>46</v>
      </c>
      <c r="F252" s="62" t="s">
        <v>46</v>
      </c>
      <c r="G252" s="63" t="s">
        <v>46</v>
      </c>
      <c r="H252" s="64"/>
      <c r="I252" s="64" t="s">
        <v>47</v>
      </c>
      <c r="J252" s="65">
        <v>10</v>
      </c>
      <c r="K252" s="66">
        <f>2279</f>
        <v>2279</v>
      </c>
      <c r="L252" s="67" t="s">
        <v>833</v>
      </c>
      <c r="M252" s="66">
        <f>2612</f>
        <v>2612</v>
      </c>
      <c r="N252" s="67" t="s">
        <v>816</v>
      </c>
      <c r="O252" s="66">
        <f>2276</f>
        <v>2276</v>
      </c>
      <c r="P252" s="67" t="s">
        <v>833</v>
      </c>
      <c r="Q252" s="66">
        <f>2565</f>
        <v>2565</v>
      </c>
      <c r="R252" s="67" t="s">
        <v>50</v>
      </c>
      <c r="S252" s="68">
        <f>2515.84</f>
        <v>2515.84</v>
      </c>
      <c r="T252" s="65">
        <f>2414610</f>
        <v>2414610</v>
      </c>
      <c r="U252" s="65">
        <f>650000</f>
        <v>650000</v>
      </c>
      <c r="V252" s="65">
        <f>6101452720</f>
        <v>6101452720</v>
      </c>
      <c r="W252" s="65">
        <f>1621932000</f>
        <v>1621932000</v>
      </c>
      <c r="X252" s="69">
        <f>19</f>
        <v>19</v>
      </c>
    </row>
    <row r="253" spans="1:24">
      <c r="A253" s="60" t="s">
        <v>916</v>
      </c>
      <c r="B253" s="60" t="s">
        <v>849</v>
      </c>
      <c r="C253" s="60" t="s">
        <v>850</v>
      </c>
      <c r="D253" s="60" t="s">
        <v>851</v>
      </c>
      <c r="E253" s="61" t="s">
        <v>46</v>
      </c>
      <c r="F253" s="62" t="s">
        <v>46</v>
      </c>
      <c r="G253" s="63" t="s">
        <v>46</v>
      </c>
      <c r="H253" s="64"/>
      <c r="I253" s="64" t="s">
        <v>47</v>
      </c>
      <c r="J253" s="65">
        <v>1</v>
      </c>
      <c r="K253" s="66">
        <f>2111</f>
        <v>2111</v>
      </c>
      <c r="L253" s="67" t="s">
        <v>833</v>
      </c>
      <c r="M253" s="66">
        <f>2371</f>
        <v>2371</v>
      </c>
      <c r="N253" s="67" t="s">
        <v>816</v>
      </c>
      <c r="O253" s="66">
        <f>2108</f>
        <v>2108</v>
      </c>
      <c r="P253" s="67" t="s">
        <v>833</v>
      </c>
      <c r="Q253" s="66">
        <f>2345</f>
        <v>2345</v>
      </c>
      <c r="R253" s="67" t="s">
        <v>50</v>
      </c>
      <c r="S253" s="68">
        <f>2300.47</f>
        <v>2300.4699999999998</v>
      </c>
      <c r="T253" s="65">
        <f>2379083</f>
        <v>2379083</v>
      </c>
      <c r="U253" s="65">
        <f>1091002</f>
        <v>1091002</v>
      </c>
      <c r="V253" s="65">
        <f>5468842960</f>
        <v>5468842960</v>
      </c>
      <c r="W253" s="65">
        <f>2513887694</f>
        <v>2513887694</v>
      </c>
      <c r="X253" s="69">
        <f>19</f>
        <v>19</v>
      </c>
    </row>
    <row r="254" spans="1:24">
      <c r="A254" s="60" t="s">
        <v>916</v>
      </c>
      <c r="B254" s="60" t="s">
        <v>865</v>
      </c>
      <c r="C254" s="60" t="s">
        <v>866</v>
      </c>
      <c r="D254" s="60" t="s">
        <v>867</v>
      </c>
      <c r="E254" s="61" t="s">
        <v>46</v>
      </c>
      <c r="F254" s="62" t="s">
        <v>46</v>
      </c>
      <c r="G254" s="63" t="s">
        <v>46</v>
      </c>
      <c r="H254" s="64"/>
      <c r="I254" s="64" t="s">
        <v>47</v>
      </c>
      <c r="J254" s="65">
        <v>1</v>
      </c>
      <c r="K254" s="66">
        <f>1497</f>
        <v>1497</v>
      </c>
      <c r="L254" s="67" t="s">
        <v>833</v>
      </c>
      <c r="M254" s="66">
        <f>1650</f>
        <v>1650</v>
      </c>
      <c r="N254" s="67" t="s">
        <v>816</v>
      </c>
      <c r="O254" s="66">
        <f>1497</f>
        <v>1497</v>
      </c>
      <c r="P254" s="67" t="s">
        <v>833</v>
      </c>
      <c r="Q254" s="66">
        <f>1577</f>
        <v>1577</v>
      </c>
      <c r="R254" s="67" t="s">
        <v>50</v>
      </c>
      <c r="S254" s="68">
        <f>1592.37</f>
        <v>1592.37</v>
      </c>
      <c r="T254" s="65">
        <f>37668</f>
        <v>37668</v>
      </c>
      <c r="U254" s="65">
        <f>2</f>
        <v>2</v>
      </c>
      <c r="V254" s="65">
        <f>60412001</f>
        <v>60412001</v>
      </c>
      <c r="W254" s="65">
        <f>3144</f>
        <v>3144</v>
      </c>
      <c r="X254" s="69">
        <f>19</f>
        <v>19</v>
      </c>
    </row>
    <row r="255" spans="1:24">
      <c r="A255" s="60" t="s">
        <v>916</v>
      </c>
      <c r="B255" s="60" t="s">
        <v>869</v>
      </c>
      <c r="C255" s="60" t="s">
        <v>870</v>
      </c>
      <c r="D255" s="60" t="s">
        <v>871</v>
      </c>
      <c r="E255" s="61" t="s">
        <v>46</v>
      </c>
      <c r="F255" s="62" t="s">
        <v>46</v>
      </c>
      <c r="G255" s="63" t="s">
        <v>46</v>
      </c>
      <c r="H255" s="64"/>
      <c r="I255" s="64" t="s">
        <v>47</v>
      </c>
      <c r="J255" s="65">
        <v>1</v>
      </c>
      <c r="K255" s="66">
        <f>1019</f>
        <v>1019</v>
      </c>
      <c r="L255" s="67" t="s">
        <v>833</v>
      </c>
      <c r="M255" s="66">
        <f>1060</f>
        <v>1060</v>
      </c>
      <c r="N255" s="67" t="s">
        <v>119</v>
      </c>
      <c r="O255" s="66">
        <f>981</f>
        <v>981</v>
      </c>
      <c r="P255" s="67" t="s">
        <v>821</v>
      </c>
      <c r="Q255" s="66">
        <f>1005</f>
        <v>1005</v>
      </c>
      <c r="R255" s="67" t="s">
        <v>50</v>
      </c>
      <c r="S255" s="68">
        <f>1019.42</f>
        <v>1019.42</v>
      </c>
      <c r="T255" s="65">
        <f>692599</f>
        <v>692599</v>
      </c>
      <c r="U255" s="65">
        <f>300000</f>
        <v>300000</v>
      </c>
      <c r="V255" s="65">
        <f>703643202</f>
        <v>703643202</v>
      </c>
      <c r="W255" s="65">
        <f>299460000</f>
        <v>299460000</v>
      </c>
      <c r="X255" s="69">
        <f>19</f>
        <v>19</v>
      </c>
    </row>
    <row r="256" spans="1:24">
      <c r="A256" s="60" t="s">
        <v>916</v>
      </c>
      <c r="B256" s="60" t="s">
        <v>887</v>
      </c>
      <c r="C256" s="60" t="s">
        <v>888</v>
      </c>
      <c r="D256" s="60" t="s">
        <v>889</v>
      </c>
      <c r="E256" s="61" t="s">
        <v>46</v>
      </c>
      <c r="F256" s="62" t="s">
        <v>46</v>
      </c>
      <c r="G256" s="63" t="s">
        <v>46</v>
      </c>
      <c r="H256" s="64"/>
      <c r="I256" s="64" t="s">
        <v>47</v>
      </c>
      <c r="J256" s="65">
        <v>10</v>
      </c>
      <c r="K256" s="66">
        <f>912</f>
        <v>912</v>
      </c>
      <c r="L256" s="67" t="s">
        <v>833</v>
      </c>
      <c r="M256" s="66">
        <f>976</f>
        <v>976</v>
      </c>
      <c r="N256" s="67" t="s">
        <v>834</v>
      </c>
      <c r="O256" s="66">
        <f>912</f>
        <v>912</v>
      </c>
      <c r="P256" s="67" t="s">
        <v>833</v>
      </c>
      <c r="Q256" s="66">
        <f>947</f>
        <v>947</v>
      </c>
      <c r="R256" s="67" t="s">
        <v>50</v>
      </c>
      <c r="S256" s="68">
        <f>946.95</f>
        <v>946.95</v>
      </c>
      <c r="T256" s="65">
        <f>62720</f>
        <v>62720</v>
      </c>
      <c r="U256" s="65">
        <f>10</f>
        <v>10</v>
      </c>
      <c r="V256" s="65">
        <f>58598160</f>
        <v>58598160</v>
      </c>
      <c r="W256" s="65">
        <f>9460</f>
        <v>9460</v>
      </c>
      <c r="X256" s="69">
        <f>19</f>
        <v>19</v>
      </c>
    </row>
    <row r="257" spans="1:24">
      <c r="A257" s="60" t="s">
        <v>916</v>
      </c>
      <c r="B257" s="60" t="s">
        <v>891</v>
      </c>
      <c r="C257" s="60" t="s">
        <v>892</v>
      </c>
      <c r="D257" s="60" t="s">
        <v>893</v>
      </c>
      <c r="E257" s="61" t="s">
        <v>46</v>
      </c>
      <c r="F257" s="62" t="s">
        <v>46</v>
      </c>
      <c r="G257" s="63" t="s">
        <v>46</v>
      </c>
      <c r="H257" s="64"/>
      <c r="I257" s="64" t="s">
        <v>47</v>
      </c>
      <c r="J257" s="65">
        <v>10</v>
      </c>
      <c r="K257" s="66">
        <f>209</f>
        <v>209</v>
      </c>
      <c r="L257" s="67" t="s">
        <v>833</v>
      </c>
      <c r="M257" s="66">
        <f>241</f>
        <v>241</v>
      </c>
      <c r="N257" s="67" t="s">
        <v>816</v>
      </c>
      <c r="O257" s="66">
        <f>207</f>
        <v>207</v>
      </c>
      <c r="P257" s="67" t="s">
        <v>833</v>
      </c>
      <c r="Q257" s="66">
        <f>226</f>
        <v>226</v>
      </c>
      <c r="R257" s="67" t="s">
        <v>50</v>
      </c>
      <c r="S257" s="68">
        <f>220.74</f>
        <v>220.74</v>
      </c>
      <c r="T257" s="65">
        <f>193110</f>
        <v>193110</v>
      </c>
      <c r="U257" s="65" t="str">
        <f>"－"</f>
        <v>－</v>
      </c>
      <c r="V257" s="65">
        <f>43398560</f>
        <v>43398560</v>
      </c>
      <c r="W257" s="65" t="str">
        <f>"－"</f>
        <v>－</v>
      </c>
      <c r="X257" s="69">
        <f>19</f>
        <v>19</v>
      </c>
    </row>
    <row r="258" spans="1:24">
      <c r="A258" s="60" t="s">
        <v>916</v>
      </c>
      <c r="B258" s="60" t="s">
        <v>895</v>
      </c>
      <c r="C258" s="60" t="s">
        <v>896</v>
      </c>
      <c r="D258" s="60" t="s">
        <v>897</v>
      </c>
      <c r="E258" s="61" t="s">
        <v>46</v>
      </c>
      <c r="F258" s="62" t="s">
        <v>46</v>
      </c>
      <c r="G258" s="63" t="s">
        <v>46</v>
      </c>
      <c r="H258" s="64"/>
      <c r="I258" s="64" t="s">
        <v>47</v>
      </c>
      <c r="J258" s="65">
        <v>10</v>
      </c>
      <c r="K258" s="66">
        <f>1984</f>
        <v>1984</v>
      </c>
      <c r="L258" s="67" t="s">
        <v>833</v>
      </c>
      <c r="M258" s="66">
        <f>2213</f>
        <v>2213</v>
      </c>
      <c r="N258" s="67" t="s">
        <v>119</v>
      </c>
      <c r="O258" s="66">
        <f>1983</f>
        <v>1983</v>
      </c>
      <c r="P258" s="67" t="s">
        <v>833</v>
      </c>
      <c r="Q258" s="66">
        <f>2186</f>
        <v>2186</v>
      </c>
      <c r="R258" s="67" t="s">
        <v>50</v>
      </c>
      <c r="S258" s="68">
        <f>2144.89</f>
        <v>2144.89</v>
      </c>
      <c r="T258" s="65">
        <f>1043680</f>
        <v>1043680</v>
      </c>
      <c r="U258" s="65">
        <f>94000</f>
        <v>94000</v>
      </c>
      <c r="V258" s="65">
        <f>2227880940</f>
        <v>2227880940</v>
      </c>
      <c r="W258" s="65">
        <f>199562000</f>
        <v>199562000</v>
      </c>
      <c r="X258" s="69">
        <f>19</f>
        <v>19</v>
      </c>
    </row>
    <row r="259" spans="1:24">
      <c r="A259" s="60" t="s">
        <v>916</v>
      </c>
      <c r="B259" s="60" t="s">
        <v>899</v>
      </c>
      <c r="C259" s="60" t="s">
        <v>900</v>
      </c>
      <c r="D259" s="60" t="s">
        <v>901</v>
      </c>
      <c r="E259" s="61" t="s">
        <v>46</v>
      </c>
      <c r="F259" s="62" t="s">
        <v>46</v>
      </c>
      <c r="G259" s="63" t="s">
        <v>46</v>
      </c>
      <c r="H259" s="64"/>
      <c r="I259" s="64" t="s">
        <v>47</v>
      </c>
      <c r="J259" s="65">
        <v>10</v>
      </c>
      <c r="K259" s="66">
        <f>1989</f>
        <v>1989</v>
      </c>
      <c r="L259" s="67" t="s">
        <v>833</v>
      </c>
      <c r="M259" s="66">
        <f>2266</f>
        <v>2266</v>
      </c>
      <c r="N259" s="67" t="s">
        <v>817</v>
      </c>
      <c r="O259" s="66">
        <f>1987</f>
        <v>1987</v>
      </c>
      <c r="P259" s="67" t="s">
        <v>833</v>
      </c>
      <c r="Q259" s="66">
        <f>2206</f>
        <v>2206</v>
      </c>
      <c r="R259" s="67" t="s">
        <v>50</v>
      </c>
      <c r="S259" s="68">
        <f>2156.26</f>
        <v>2156.2600000000002</v>
      </c>
      <c r="T259" s="65">
        <f>1320640</f>
        <v>1320640</v>
      </c>
      <c r="U259" s="65">
        <f>278000</f>
        <v>278000</v>
      </c>
      <c r="V259" s="65">
        <f>2859619960</f>
        <v>2859619960</v>
      </c>
      <c r="W259" s="65">
        <f>601396400</f>
        <v>601396400</v>
      </c>
      <c r="X259" s="69">
        <f>19</f>
        <v>19</v>
      </c>
    </row>
    <row r="260" spans="1:24">
      <c r="A260" s="60" t="s">
        <v>916</v>
      </c>
      <c r="B260" s="60" t="s">
        <v>903</v>
      </c>
      <c r="C260" s="60" t="s">
        <v>904</v>
      </c>
      <c r="D260" s="60" t="s">
        <v>905</v>
      </c>
      <c r="E260" s="61" t="s">
        <v>46</v>
      </c>
      <c r="F260" s="62" t="s">
        <v>46</v>
      </c>
      <c r="G260" s="63" t="s">
        <v>46</v>
      </c>
      <c r="H260" s="64"/>
      <c r="I260" s="64" t="s">
        <v>47</v>
      </c>
      <c r="J260" s="65">
        <v>1</v>
      </c>
      <c r="K260" s="66">
        <f>2500</f>
        <v>2500</v>
      </c>
      <c r="L260" s="67" t="s">
        <v>818</v>
      </c>
      <c r="M260" s="66">
        <f>2573</f>
        <v>2573</v>
      </c>
      <c r="N260" s="67" t="s">
        <v>72</v>
      </c>
      <c r="O260" s="66">
        <f>2455</f>
        <v>2455</v>
      </c>
      <c r="P260" s="67" t="s">
        <v>50</v>
      </c>
      <c r="Q260" s="66">
        <f>2469</f>
        <v>2469</v>
      </c>
      <c r="R260" s="67" t="s">
        <v>50</v>
      </c>
      <c r="S260" s="68">
        <f>2484.33</f>
        <v>2484.33</v>
      </c>
      <c r="T260" s="65">
        <f>7459</f>
        <v>7459</v>
      </c>
      <c r="U260" s="65" t="str">
        <f>"－"</f>
        <v>－</v>
      </c>
      <c r="V260" s="65">
        <f>18489359</f>
        <v>18489359</v>
      </c>
      <c r="W260" s="65" t="str">
        <f>"－"</f>
        <v>－</v>
      </c>
      <c r="X260" s="69">
        <f>18</f>
        <v>18</v>
      </c>
    </row>
    <row r="261" spans="1:24">
      <c r="A261" s="60" t="s">
        <v>916</v>
      </c>
      <c r="B261" s="60" t="s">
        <v>907</v>
      </c>
      <c r="C261" s="60" t="s">
        <v>908</v>
      </c>
      <c r="D261" s="60" t="s">
        <v>909</v>
      </c>
      <c r="E261" s="61" t="s">
        <v>46</v>
      </c>
      <c r="F261" s="62" t="s">
        <v>46</v>
      </c>
      <c r="G261" s="63" t="s">
        <v>46</v>
      </c>
      <c r="H261" s="64"/>
      <c r="I261" s="64" t="s">
        <v>47</v>
      </c>
      <c r="J261" s="65">
        <v>1</v>
      </c>
      <c r="K261" s="66">
        <f>2477</f>
        <v>2477</v>
      </c>
      <c r="L261" s="67" t="s">
        <v>833</v>
      </c>
      <c r="M261" s="66">
        <f>2529</f>
        <v>2529</v>
      </c>
      <c r="N261" s="67" t="s">
        <v>61</v>
      </c>
      <c r="O261" s="66">
        <f>2404</f>
        <v>2404</v>
      </c>
      <c r="P261" s="67" t="s">
        <v>834</v>
      </c>
      <c r="Q261" s="66">
        <f>2485</f>
        <v>2485</v>
      </c>
      <c r="R261" s="67" t="s">
        <v>50</v>
      </c>
      <c r="S261" s="68">
        <f>2468.32</f>
        <v>2468.3200000000002</v>
      </c>
      <c r="T261" s="65">
        <f>828269</f>
        <v>828269</v>
      </c>
      <c r="U261" s="65">
        <f>800000</f>
        <v>800000</v>
      </c>
      <c r="V261" s="65">
        <f>2009013572</f>
        <v>2009013572</v>
      </c>
      <c r="W261" s="65">
        <f>1939080000</f>
        <v>1939080000</v>
      </c>
      <c r="X261" s="69">
        <f>19</f>
        <v>19</v>
      </c>
    </row>
    <row r="262" spans="1:24">
      <c r="A262" s="60" t="s">
        <v>916</v>
      </c>
      <c r="B262" s="60" t="s">
        <v>910</v>
      </c>
      <c r="C262" s="60" t="s">
        <v>911</v>
      </c>
      <c r="D262" s="60" t="s">
        <v>912</v>
      </c>
      <c r="E262" s="61" t="s">
        <v>46</v>
      </c>
      <c r="F262" s="62" t="s">
        <v>46</v>
      </c>
      <c r="G262" s="63" t="s">
        <v>46</v>
      </c>
      <c r="H262" s="64"/>
      <c r="I262" s="64" t="s">
        <v>47</v>
      </c>
      <c r="J262" s="65">
        <v>1</v>
      </c>
      <c r="K262" s="66">
        <f>2502</f>
        <v>2502</v>
      </c>
      <c r="L262" s="67" t="s">
        <v>833</v>
      </c>
      <c r="M262" s="66">
        <f>2625</f>
        <v>2625</v>
      </c>
      <c r="N262" s="67" t="s">
        <v>175</v>
      </c>
      <c r="O262" s="66">
        <f>2466</f>
        <v>2466</v>
      </c>
      <c r="P262" s="67" t="s">
        <v>833</v>
      </c>
      <c r="Q262" s="66">
        <f>2569</f>
        <v>2569</v>
      </c>
      <c r="R262" s="67" t="s">
        <v>50</v>
      </c>
      <c r="S262" s="68">
        <f>2558.11</f>
        <v>2558.11</v>
      </c>
      <c r="T262" s="65">
        <f>1145</f>
        <v>1145</v>
      </c>
      <c r="U262" s="65" t="str">
        <f>"－"</f>
        <v>－</v>
      </c>
      <c r="V262" s="65">
        <f>2919644</f>
        <v>2919644</v>
      </c>
      <c r="W262" s="65" t="str">
        <f>"－"</f>
        <v>－</v>
      </c>
      <c r="X262" s="69">
        <f>19</f>
        <v>19</v>
      </c>
    </row>
    <row r="263" spans="1:24">
      <c r="A263" s="60" t="s">
        <v>916</v>
      </c>
      <c r="B263" s="60" t="s">
        <v>913</v>
      </c>
      <c r="C263" s="60" t="s">
        <v>914</v>
      </c>
      <c r="D263" s="60" t="s">
        <v>915</v>
      </c>
      <c r="E263" s="61" t="s">
        <v>46</v>
      </c>
      <c r="F263" s="62" t="s">
        <v>46</v>
      </c>
      <c r="G263" s="63" t="s">
        <v>46</v>
      </c>
      <c r="H263" s="64"/>
      <c r="I263" s="64" t="s">
        <v>47</v>
      </c>
      <c r="J263" s="65">
        <v>1</v>
      </c>
      <c r="K263" s="66">
        <f>2500</f>
        <v>2500</v>
      </c>
      <c r="L263" s="67" t="s">
        <v>833</v>
      </c>
      <c r="M263" s="66">
        <f>2550</f>
        <v>2550</v>
      </c>
      <c r="N263" s="67" t="s">
        <v>119</v>
      </c>
      <c r="O263" s="66">
        <f>2490</f>
        <v>2490</v>
      </c>
      <c r="P263" s="67" t="s">
        <v>833</v>
      </c>
      <c r="Q263" s="66">
        <f>2541</f>
        <v>2541</v>
      </c>
      <c r="R263" s="67" t="s">
        <v>50</v>
      </c>
      <c r="S263" s="68">
        <f>2522.78</f>
        <v>2522.7800000000002</v>
      </c>
      <c r="T263" s="65">
        <f>1230</f>
        <v>1230</v>
      </c>
      <c r="U263" s="65" t="str">
        <f>"－"</f>
        <v>－</v>
      </c>
      <c r="V263" s="65">
        <f>3096791</f>
        <v>3096791</v>
      </c>
      <c r="W263" s="65" t="str">
        <f>"－"</f>
        <v>－</v>
      </c>
      <c r="X263" s="69">
        <f>18</f>
        <v>18</v>
      </c>
    </row>
    <row r="264" spans="1:24">
      <c r="A264" s="60" t="s">
        <v>916</v>
      </c>
      <c r="B264" s="60" t="s">
        <v>927</v>
      </c>
      <c r="C264" s="60" t="s">
        <v>928</v>
      </c>
      <c r="D264" s="60" t="s">
        <v>929</v>
      </c>
      <c r="E264" s="61" t="s">
        <v>731</v>
      </c>
      <c r="F264" s="62" t="s">
        <v>732</v>
      </c>
      <c r="G264" s="63" t="s">
        <v>930</v>
      </c>
      <c r="H264" s="64"/>
      <c r="I264" s="64" t="s">
        <v>47</v>
      </c>
      <c r="J264" s="65">
        <v>1</v>
      </c>
      <c r="K264" s="66">
        <f>2558</f>
        <v>2558</v>
      </c>
      <c r="L264" s="67" t="s">
        <v>61</v>
      </c>
      <c r="M264" s="66">
        <f>2686</f>
        <v>2686</v>
      </c>
      <c r="N264" s="67" t="s">
        <v>50</v>
      </c>
      <c r="O264" s="66">
        <f>2488</f>
        <v>2488</v>
      </c>
      <c r="P264" s="67" t="s">
        <v>61</v>
      </c>
      <c r="Q264" s="66">
        <f>2651</f>
        <v>2651</v>
      </c>
      <c r="R264" s="67" t="s">
        <v>50</v>
      </c>
      <c r="S264" s="68">
        <f>2585.57</f>
        <v>2585.5700000000002</v>
      </c>
      <c r="T264" s="65">
        <f>4888</f>
        <v>4888</v>
      </c>
      <c r="U264" s="65" t="str">
        <f>"－"</f>
        <v>－</v>
      </c>
      <c r="V264" s="65">
        <f>12442951</f>
        <v>12442951</v>
      </c>
      <c r="W264" s="65" t="str">
        <f>"－"</f>
        <v>－</v>
      </c>
      <c r="X264" s="69">
        <f>14</f>
        <v>14</v>
      </c>
    </row>
    <row r="265" spans="1:24">
      <c r="A265" s="60" t="s">
        <v>916</v>
      </c>
      <c r="B265" s="60" t="s">
        <v>931</v>
      </c>
      <c r="C265" s="60" t="s">
        <v>932</v>
      </c>
      <c r="D265" s="60" t="s">
        <v>933</v>
      </c>
      <c r="E265" s="61" t="s">
        <v>731</v>
      </c>
      <c r="F265" s="62" t="s">
        <v>732</v>
      </c>
      <c r="G265" s="63" t="s">
        <v>930</v>
      </c>
      <c r="H265" s="64"/>
      <c r="I265" s="64" t="s">
        <v>47</v>
      </c>
      <c r="J265" s="65">
        <v>1</v>
      </c>
      <c r="K265" s="66">
        <f>1722</f>
        <v>1722</v>
      </c>
      <c r="L265" s="67" t="s">
        <v>61</v>
      </c>
      <c r="M265" s="66">
        <f>1792</f>
        <v>1792</v>
      </c>
      <c r="N265" s="67" t="s">
        <v>50</v>
      </c>
      <c r="O265" s="66">
        <f>1695</f>
        <v>1695</v>
      </c>
      <c r="P265" s="67" t="s">
        <v>820</v>
      </c>
      <c r="Q265" s="66">
        <f>1758</f>
        <v>1758</v>
      </c>
      <c r="R265" s="67" t="s">
        <v>50</v>
      </c>
      <c r="S265" s="68">
        <f>1739.71</f>
        <v>1739.71</v>
      </c>
      <c r="T265" s="65">
        <f>3232</f>
        <v>3232</v>
      </c>
      <c r="U265" s="65" t="str">
        <f>"－"</f>
        <v>－</v>
      </c>
      <c r="V265" s="65">
        <f>5575273</f>
        <v>5575273</v>
      </c>
      <c r="W265" s="65" t="str">
        <f>"－"</f>
        <v>－</v>
      </c>
      <c r="X265" s="69">
        <f>14</f>
        <v>14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2E640-2832-4829-9C95-E200DD39E821}">
  <sheetPr>
    <pageSetUpPr fitToPage="1"/>
  </sheetPr>
  <dimension ref="A1:X260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RowHeight="13.5"/>
  <cols>
    <col min="1" max="1" width="13.125" style="1" bestFit="1" customWidth="1"/>
    <col min="2" max="2" width="10.75" style="1" bestFit="1" customWidth="1"/>
    <col min="3" max="4" width="27.625" style="1" customWidth="1"/>
    <col min="5" max="5" width="13.75" style="1" bestFit="1" customWidth="1"/>
    <col min="6" max="6" width="20.75" style="1" bestFit="1" customWidth="1"/>
    <col min="7" max="7" width="11.25" style="1" customWidth="1"/>
    <col min="8" max="8" width="8.75" style="1" bestFit="1" customWidth="1"/>
    <col min="9" max="9" width="11.75" style="1" bestFit="1" customWidth="1"/>
    <col min="10" max="10" width="12.625" style="1" bestFit="1" customWidth="1"/>
    <col min="11" max="11" width="16.25" style="1" customWidth="1"/>
    <col min="12" max="12" width="5.625" style="1" bestFit="1" customWidth="1"/>
    <col min="13" max="13" width="16.25" style="1" customWidth="1"/>
    <col min="14" max="14" width="5.625" style="1" bestFit="1" customWidth="1"/>
    <col min="15" max="15" width="16.25" style="1" customWidth="1"/>
    <col min="16" max="16" width="5.625" style="1" bestFit="1" customWidth="1"/>
    <col min="17" max="17" width="16.25" style="1" customWidth="1"/>
    <col min="18" max="18" width="5.625" style="1" bestFit="1" customWidth="1"/>
    <col min="19" max="19" width="23.875" style="1" bestFit="1" customWidth="1"/>
    <col min="20" max="20" width="16.25" style="1" customWidth="1"/>
    <col min="21" max="21" width="24.125" style="1" customWidth="1"/>
    <col min="22" max="22" width="19.875" style="1" bestFit="1" customWidth="1"/>
    <col min="23" max="23" width="25" style="1" bestFit="1" customWidth="1"/>
    <col min="24" max="24" width="13.12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902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1717</f>
        <v>1717</v>
      </c>
      <c r="L7" s="67" t="s">
        <v>833</v>
      </c>
      <c r="M7" s="66">
        <f>1745</f>
        <v>1745</v>
      </c>
      <c r="N7" s="67" t="s">
        <v>65</v>
      </c>
      <c r="O7" s="66">
        <f>1657</f>
        <v>1657</v>
      </c>
      <c r="P7" s="67" t="s">
        <v>50</v>
      </c>
      <c r="Q7" s="66">
        <f>1657</f>
        <v>1657</v>
      </c>
      <c r="R7" s="67" t="s">
        <v>50</v>
      </c>
      <c r="S7" s="68">
        <f>1710.43</f>
        <v>1710.43</v>
      </c>
      <c r="T7" s="65">
        <f>8951390</f>
        <v>8951390</v>
      </c>
      <c r="U7" s="65">
        <f>2000360</f>
        <v>2000360</v>
      </c>
      <c r="V7" s="65">
        <f>15345727375</f>
        <v>15345727375</v>
      </c>
      <c r="W7" s="65">
        <f>3428101465</f>
        <v>3428101465</v>
      </c>
      <c r="X7" s="69">
        <f>21</f>
        <v>21</v>
      </c>
    </row>
    <row r="8" spans="1:24">
      <c r="A8" s="60" t="s">
        <v>902</v>
      </c>
      <c r="B8" s="60" t="s">
        <v>52</v>
      </c>
      <c r="C8" s="60" t="s">
        <v>873</v>
      </c>
      <c r="D8" s="60" t="s">
        <v>874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1697</f>
        <v>1697</v>
      </c>
      <c r="L8" s="67" t="s">
        <v>833</v>
      </c>
      <c r="M8" s="66">
        <f>1724</f>
        <v>1724</v>
      </c>
      <c r="N8" s="67" t="s">
        <v>65</v>
      </c>
      <c r="O8" s="66">
        <f>1637</f>
        <v>1637</v>
      </c>
      <c r="P8" s="67" t="s">
        <v>50</v>
      </c>
      <c r="Q8" s="66">
        <f>1641</f>
        <v>1641</v>
      </c>
      <c r="R8" s="67" t="s">
        <v>50</v>
      </c>
      <c r="S8" s="68">
        <f>1690.81</f>
        <v>1690.81</v>
      </c>
      <c r="T8" s="65">
        <f>44713180</f>
        <v>44713180</v>
      </c>
      <c r="U8" s="65">
        <f>5763650</f>
        <v>5763650</v>
      </c>
      <c r="V8" s="65">
        <f>75527137344</f>
        <v>75527137344</v>
      </c>
      <c r="W8" s="65">
        <f>9788035464</f>
        <v>9788035464</v>
      </c>
      <c r="X8" s="69">
        <f>21</f>
        <v>21</v>
      </c>
    </row>
    <row r="9" spans="1:24">
      <c r="A9" s="60" t="s">
        <v>902</v>
      </c>
      <c r="B9" s="60" t="s">
        <v>55</v>
      </c>
      <c r="C9" s="60" t="s">
        <v>56</v>
      </c>
      <c r="D9" s="60" t="s">
        <v>57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1679</f>
        <v>1679</v>
      </c>
      <c r="L9" s="67" t="s">
        <v>833</v>
      </c>
      <c r="M9" s="66">
        <f>1705</f>
        <v>1705</v>
      </c>
      <c r="N9" s="67" t="s">
        <v>65</v>
      </c>
      <c r="O9" s="66">
        <f>1620</f>
        <v>1620</v>
      </c>
      <c r="P9" s="67" t="s">
        <v>50</v>
      </c>
      <c r="Q9" s="66">
        <f>1624</f>
        <v>1624</v>
      </c>
      <c r="R9" s="67" t="s">
        <v>50</v>
      </c>
      <c r="S9" s="68">
        <f>1673</f>
        <v>1673</v>
      </c>
      <c r="T9" s="65">
        <f>6165100</f>
        <v>6165100</v>
      </c>
      <c r="U9" s="65">
        <f>100600</f>
        <v>100600</v>
      </c>
      <c r="V9" s="65">
        <f>10300572723</f>
        <v>10300572723</v>
      </c>
      <c r="W9" s="65">
        <f>166437723</f>
        <v>166437723</v>
      </c>
      <c r="X9" s="69">
        <f>21</f>
        <v>21</v>
      </c>
    </row>
    <row r="10" spans="1:24">
      <c r="A10" s="60" t="s">
        <v>902</v>
      </c>
      <c r="B10" s="60" t="s">
        <v>58</v>
      </c>
      <c r="C10" s="60" t="s">
        <v>59</v>
      </c>
      <c r="D10" s="60" t="s">
        <v>60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37900</f>
        <v>37900</v>
      </c>
      <c r="L10" s="67" t="s">
        <v>833</v>
      </c>
      <c r="M10" s="66">
        <f>40900</f>
        <v>40900</v>
      </c>
      <c r="N10" s="67" t="s">
        <v>819</v>
      </c>
      <c r="O10" s="66">
        <f>37850</f>
        <v>37850</v>
      </c>
      <c r="P10" s="67" t="s">
        <v>833</v>
      </c>
      <c r="Q10" s="66">
        <f>38800</f>
        <v>38800</v>
      </c>
      <c r="R10" s="67" t="s">
        <v>50</v>
      </c>
      <c r="S10" s="68">
        <f>39571.43</f>
        <v>39571.43</v>
      </c>
      <c r="T10" s="65">
        <f>7784</f>
        <v>7784</v>
      </c>
      <c r="U10" s="65" t="str">
        <f>"－"</f>
        <v>－</v>
      </c>
      <c r="V10" s="65">
        <f>309130300</f>
        <v>309130300</v>
      </c>
      <c r="W10" s="65" t="str">
        <f>"－"</f>
        <v>－</v>
      </c>
      <c r="X10" s="69">
        <f>21</f>
        <v>21</v>
      </c>
    </row>
    <row r="11" spans="1:24">
      <c r="A11" s="60" t="s">
        <v>902</v>
      </c>
      <c r="B11" s="60" t="s">
        <v>62</v>
      </c>
      <c r="C11" s="60" t="s">
        <v>875</v>
      </c>
      <c r="D11" s="60" t="s">
        <v>876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738</f>
        <v>738</v>
      </c>
      <c r="L11" s="67" t="s">
        <v>833</v>
      </c>
      <c r="M11" s="66">
        <f>747</f>
        <v>747</v>
      </c>
      <c r="N11" s="67" t="s">
        <v>65</v>
      </c>
      <c r="O11" s="66">
        <f>718</f>
        <v>718</v>
      </c>
      <c r="P11" s="67" t="s">
        <v>50</v>
      </c>
      <c r="Q11" s="66">
        <f>720</f>
        <v>720</v>
      </c>
      <c r="R11" s="67" t="s">
        <v>50</v>
      </c>
      <c r="S11" s="68">
        <f>735.05</f>
        <v>735.05</v>
      </c>
      <c r="T11" s="65">
        <f>76910</f>
        <v>76910</v>
      </c>
      <c r="U11" s="65">
        <f>20</f>
        <v>20</v>
      </c>
      <c r="V11" s="65">
        <f>56392680</f>
        <v>56392680</v>
      </c>
      <c r="W11" s="65">
        <f>14720</f>
        <v>14720</v>
      </c>
      <c r="X11" s="69">
        <f>21</f>
        <v>21</v>
      </c>
    </row>
    <row r="12" spans="1:24">
      <c r="A12" s="60" t="s">
        <v>902</v>
      </c>
      <c r="B12" s="60" t="s">
        <v>66</v>
      </c>
      <c r="C12" s="60" t="s">
        <v>877</v>
      </c>
      <c r="D12" s="60" t="s">
        <v>878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19520</f>
        <v>19520</v>
      </c>
      <c r="L12" s="67" t="s">
        <v>833</v>
      </c>
      <c r="M12" s="66">
        <f>19660</f>
        <v>19660</v>
      </c>
      <c r="N12" s="67" t="s">
        <v>119</v>
      </c>
      <c r="O12" s="66">
        <f>18760</f>
        <v>18760</v>
      </c>
      <c r="P12" s="67" t="s">
        <v>245</v>
      </c>
      <c r="Q12" s="66">
        <f>19160</f>
        <v>19160</v>
      </c>
      <c r="R12" s="67" t="s">
        <v>50</v>
      </c>
      <c r="S12" s="68">
        <f>19304.12</f>
        <v>19304.12</v>
      </c>
      <c r="T12" s="65">
        <f>481</f>
        <v>481</v>
      </c>
      <c r="U12" s="65" t="str">
        <f>"－"</f>
        <v>－</v>
      </c>
      <c r="V12" s="65">
        <f>9367000</f>
        <v>9367000</v>
      </c>
      <c r="W12" s="65" t="str">
        <f>"－"</f>
        <v>－</v>
      </c>
      <c r="X12" s="69">
        <f>17</f>
        <v>17</v>
      </c>
    </row>
    <row r="13" spans="1:24">
      <c r="A13" s="60" t="s">
        <v>902</v>
      </c>
      <c r="B13" s="60" t="s">
        <v>69</v>
      </c>
      <c r="C13" s="60" t="s">
        <v>70</v>
      </c>
      <c r="D13" s="60" t="s">
        <v>71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2825</f>
        <v>2825</v>
      </c>
      <c r="L13" s="67" t="s">
        <v>833</v>
      </c>
      <c r="M13" s="66">
        <f>3000</f>
        <v>3000</v>
      </c>
      <c r="N13" s="67" t="s">
        <v>119</v>
      </c>
      <c r="O13" s="66">
        <f>2762</f>
        <v>2762</v>
      </c>
      <c r="P13" s="67" t="s">
        <v>817</v>
      </c>
      <c r="Q13" s="66">
        <f>2879</f>
        <v>2879</v>
      </c>
      <c r="R13" s="67" t="s">
        <v>50</v>
      </c>
      <c r="S13" s="68">
        <f>2900.39</f>
        <v>2900.39</v>
      </c>
      <c r="T13" s="65">
        <f>3030</f>
        <v>3030</v>
      </c>
      <c r="U13" s="65" t="str">
        <f>"－"</f>
        <v>－</v>
      </c>
      <c r="V13" s="65">
        <f>8760170</f>
        <v>8760170</v>
      </c>
      <c r="W13" s="65" t="str">
        <f>"－"</f>
        <v>－</v>
      </c>
      <c r="X13" s="69">
        <f>18</f>
        <v>18</v>
      </c>
    </row>
    <row r="14" spans="1:24">
      <c r="A14" s="60" t="s">
        <v>902</v>
      </c>
      <c r="B14" s="60" t="s">
        <v>73</v>
      </c>
      <c r="C14" s="60" t="s">
        <v>879</v>
      </c>
      <c r="D14" s="60" t="s">
        <v>880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324</f>
        <v>324</v>
      </c>
      <c r="L14" s="67" t="s">
        <v>833</v>
      </c>
      <c r="M14" s="66">
        <f>324</f>
        <v>324</v>
      </c>
      <c r="N14" s="67" t="s">
        <v>833</v>
      </c>
      <c r="O14" s="66">
        <f>305</f>
        <v>305</v>
      </c>
      <c r="P14" s="67" t="s">
        <v>50</v>
      </c>
      <c r="Q14" s="66">
        <f>305</f>
        <v>305</v>
      </c>
      <c r="R14" s="67" t="s">
        <v>50</v>
      </c>
      <c r="S14" s="68">
        <f>315.56</f>
        <v>315.56</v>
      </c>
      <c r="T14" s="65">
        <f>406000</f>
        <v>406000</v>
      </c>
      <c r="U14" s="65" t="str">
        <f>"－"</f>
        <v>－</v>
      </c>
      <c r="V14" s="65">
        <f>127209000</f>
        <v>127209000</v>
      </c>
      <c r="W14" s="65" t="str">
        <f>"－"</f>
        <v>－</v>
      </c>
      <c r="X14" s="69">
        <f>18</f>
        <v>18</v>
      </c>
    </row>
    <row r="15" spans="1:24">
      <c r="A15" s="60" t="s">
        <v>902</v>
      </c>
      <c r="B15" s="60" t="s">
        <v>76</v>
      </c>
      <c r="C15" s="60" t="s">
        <v>77</v>
      </c>
      <c r="D15" s="60" t="s">
        <v>78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23970</f>
        <v>23970</v>
      </c>
      <c r="L15" s="67" t="s">
        <v>833</v>
      </c>
      <c r="M15" s="66">
        <f>24380</f>
        <v>24380</v>
      </c>
      <c r="N15" s="67" t="s">
        <v>119</v>
      </c>
      <c r="O15" s="66">
        <f>23590</f>
        <v>23590</v>
      </c>
      <c r="P15" s="67" t="s">
        <v>50</v>
      </c>
      <c r="Q15" s="66">
        <f>23630</f>
        <v>23630</v>
      </c>
      <c r="R15" s="67" t="s">
        <v>50</v>
      </c>
      <c r="S15" s="68">
        <f>24110.48</f>
        <v>24110.48</v>
      </c>
      <c r="T15" s="65">
        <f>842835</f>
        <v>842835</v>
      </c>
      <c r="U15" s="65">
        <f>260544</f>
        <v>260544</v>
      </c>
      <c r="V15" s="65">
        <f>20293719329</f>
        <v>20293719329</v>
      </c>
      <c r="W15" s="65">
        <f>6280495809</f>
        <v>6280495809</v>
      </c>
      <c r="X15" s="69">
        <f>21</f>
        <v>21</v>
      </c>
    </row>
    <row r="16" spans="1:24">
      <c r="A16" s="60" t="s">
        <v>902</v>
      </c>
      <c r="B16" s="60" t="s">
        <v>80</v>
      </c>
      <c r="C16" s="60" t="s">
        <v>881</v>
      </c>
      <c r="D16" s="60" t="s">
        <v>882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24010</f>
        <v>24010</v>
      </c>
      <c r="L16" s="67" t="s">
        <v>833</v>
      </c>
      <c r="M16" s="66">
        <f>24440</f>
        <v>24440</v>
      </c>
      <c r="N16" s="67" t="s">
        <v>119</v>
      </c>
      <c r="O16" s="66">
        <f>23640</f>
        <v>23640</v>
      </c>
      <c r="P16" s="67" t="s">
        <v>50</v>
      </c>
      <c r="Q16" s="66">
        <f>23680</f>
        <v>23680</v>
      </c>
      <c r="R16" s="67" t="s">
        <v>50</v>
      </c>
      <c r="S16" s="68">
        <f>24165.24</f>
        <v>24165.24</v>
      </c>
      <c r="T16" s="65">
        <f>4306128</f>
        <v>4306128</v>
      </c>
      <c r="U16" s="65">
        <f>482668</f>
        <v>482668</v>
      </c>
      <c r="V16" s="65">
        <f>103928686780</f>
        <v>103928686780</v>
      </c>
      <c r="W16" s="65">
        <f>11676018310</f>
        <v>11676018310</v>
      </c>
      <c r="X16" s="69">
        <f>21</f>
        <v>21</v>
      </c>
    </row>
    <row r="17" spans="1:24">
      <c r="A17" s="60" t="s">
        <v>902</v>
      </c>
      <c r="B17" s="60" t="s">
        <v>83</v>
      </c>
      <c r="C17" s="60" t="s">
        <v>84</v>
      </c>
      <c r="D17" s="60" t="s">
        <v>85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6940</f>
        <v>6940</v>
      </c>
      <c r="L17" s="67" t="s">
        <v>833</v>
      </c>
      <c r="M17" s="66">
        <f>7490</f>
        <v>7490</v>
      </c>
      <c r="N17" s="67" t="s">
        <v>91</v>
      </c>
      <c r="O17" s="66">
        <f>6780</f>
        <v>6780</v>
      </c>
      <c r="P17" s="67" t="s">
        <v>833</v>
      </c>
      <c r="Q17" s="66">
        <f>7070</f>
        <v>7070</v>
      </c>
      <c r="R17" s="67" t="s">
        <v>50</v>
      </c>
      <c r="S17" s="68">
        <f>7164.29</f>
        <v>7164.29</v>
      </c>
      <c r="T17" s="65">
        <f>16010</f>
        <v>16010</v>
      </c>
      <c r="U17" s="65" t="str">
        <f>"－"</f>
        <v>－</v>
      </c>
      <c r="V17" s="65">
        <f>115564600</f>
        <v>115564600</v>
      </c>
      <c r="W17" s="65" t="str">
        <f>"－"</f>
        <v>－</v>
      </c>
      <c r="X17" s="69">
        <f>21</f>
        <v>21</v>
      </c>
    </row>
    <row r="18" spans="1:24">
      <c r="A18" s="60" t="s">
        <v>902</v>
      </c>
      <c r="B18" s="60" t="s">
        <v>87</v>
      </c>
      <c r="C18" s="60" t="s">
        <v>88</v>
      </c>
      <c r="D18" s="60" t="s">
        <v>89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323</f>
        <v>323</v>
      </c>
      <c r="L18" s="67" t="s">
        <v>833</v>
      </c>
      <c r="M18" s="66">
        <f>323</f>
        <v>323</v>
      </c>
      <c r="N18" s="67" t="s">
        <v>833</v>
      </c>
      <c r="O18" s="66">
        <f>310</f>
        <v>310</v>
      </c>
      <c r="P18" s="67" t="s">
        <v>245</v>
      </c>
      <c r="Q18" s="66">
        <f>311</f>
        <v>311</v>
      </c>
      <c r="R18" s="67" t="s">
        <v>50</v>
      </c>
      <c r="S18" s="68">
        <f>316.35</f>
        <v>316.35000000000002</v>
      </c>
      <c r="T18" s="65">
        <f>18700</f>
        <v>18700</v>
      </c>
      <c r="U18" s="65">
        <f>100</f>
        <v>100</v>
      </c>
      <c r="V18" s="65">
        <f>5921200</f>
        <v>5921200</v>
      </c>
      <c r="W18" s="65">
        <f>31500</f>
        <v>31500</v>
      </c>
      <c r="X18" s="69">
        <f>20</f>
        <v>20</v>
      </c>
    </row>
    <row r="19" spans="1:24">
      <c r="A19" s="60" t="s">
        <v>902</v>
      </c>
      <c r="B19" s="60" t="s">
        <v>92</v>
      </c>
      <c r="C19" s="60" t="s">
        <v>93</v>
      </c>
      <c r="D19" s="60" t="s">
        <v>94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130</f>
        <v>130</v>
      </c>
      <c r="L19" s="67" t="s">
        <v>833</v>
      </c>
      <c r="M19" s="66">
        <f>132</f>
        <v>132</v>
      </c>
      <c r="N19" s="67" t="s">
        <v>815</v>
      </c>
      <c r="O19" s="66">
        <f>127</f>
        <v>127</v>
      </c>
      <c r="P19" s="67" t="s">
        <v>50</v>
      </c>
      <c r="Q19" s="66">
        <f>128</f>
        <v>128</v>
      </c>
      <c r="R19" s="67" t="s">
        <v>50</v>
      </c>
      <c r="S19" s="68">
        <f>129.19</f>
        <v>129.19</v>
      </c>
      <c r="T19" s="65">
        <f>284000</f>
        <v>284000</v>
      </c>
      <c r="U19" s="65">
        <f>4400</f>
        <v>4400</v>
      </c>
      <c r="V19" s="65">
        <f>36682100</f>
        <v>36682100</v>
      </c>
      <c r="W19" s="65">
        <f>563200</f>
        <v>563200</v>
      </c>
      <c r="X19" s="69">
        <f>21</f>
        <v>21</v>
      </c>
    </row>
    <row r="20" spans="1:24">
      <c r="A20" s="60" t="s">
        <v>902</v>
      </c>
      <c r="B20" s="60" t="s">
        <v>96</v>
      </c>
      <c r="C20" s="60" t="s">
        <v>97</v>
      </c>
      <c r="D20" s="60" t="s">
        <v>98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150</f>
        <v>150</v>
      </c>
      <c r="L20" s="67" t="s">
        <v>833</v>
      </c>
      <c r="M20" s="66">
        <f>153</f>
        <v>153</v>
      </c>
      <c r="N20" s="67" t="s">
        <v>48</v>
      </c>
      <c r="O20" s="66">
        <f>142</f>
        <v>142</v>
      </c>
      <c r="P20" s="67" t="s">
        <v>245</v>
      </c>
      <c r="Q20" s="66">
        <f>143</f>
        <v>143</v>
      </c>
      <c r="R20" s="67" t="s">
        <v>50</v>
      </c>
      <c r="S20" s="68">
        <f>149.1</f>
        <v>149.1</v>
      </c>
      <c r="T20" s="65">
        <f>328300</f>
        <v>328300</v>
      </c>
      <c r="U20" s="65">
        <f>200</f>
        <v>200</v>
      </c>
      <c r="V20" s="65">
        <f>48830900</f>
        <v>48830900</v>
      </c>
      <c r="W20" s="65">
        <f>29800</f>
        <v>29800</v>
      </c>
      <c r="X20" s="69">
        <f>21</f>
        <v>21</v>
      </c>
    </row>
    <row r="21" spans="1:24">
      <c r="A21" s="60" t="s">
        <v>902</v>
      </c>
      <c r="B21" s="60" t="s">
        <v>101</v>
      </c>
      <c r="C21" s="60" t="s">
        <v>102</v>
      </c>
      <c r="D21" s="60" t="s">
        <v>103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18880</f>
        <v>18880</v>
      </c>
      <c r="L21" s="67" t="s">
        <v>833</v>
      </c>
      <c r="M21" s="66">
        <f>19150</f>
        <v>19150</v>
      </c>
      <c r="N21" s="67" t="s">
        <v>815</v>
      </c>
      <c r="O21" s="66">
        <f>18270</f>
        <v>18270</v>
      </c>
      <c r="P21" s="67" t="s">
        <v>50</v>
      </c>
      <c r="Q21" s="66">
        <f>18280</f>
        <v>18280</v>
      </c>
      <c r="R21" s="67" t="s">
        <v>50</v>
      </c>
      <c r="S21" s="68">
        <f>18790.95</f>
        <v>18790.95</v>
      </c>
      <c r="T21" s="65">
        <f>278549</f>
        <v>278549</v>
      </c>
      <c r="U21" s="65" t="str">
        <f>"－"</f>
        <v>－</v>
      </c>
      <c r="V21" s="65">
        <f>5211631680</f>
        <v>5211631680</v>
      </c>
      <c r="W21" s="65" t="str">
        <f>"－"</f>
        <v>－</v>
      </c>
      <c r="X21" s="69">
        <f>21</f>
        <v>21</v>
      </c>
    </row>
    <row r="22" spans="1:24">
      <c r="A22" s="60" t="s">
        <v>902</v>
      </c>
      <c r="B22" s="60" t="s">
        <v>104</v>
      </c>
      <c r="C22" s="60" t="s">
        <v>105</v>
      </c>
      <c r="D22" s="60" t="s">
        <v>106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2796</f>
        <v>2796</v>
      </c>
      <c r="L22" s="67" t="s">
        <v>833</v>
      </c>
      <c r="M22" s="66">
        <f>2798</f>
        <v>2798</v>
      </c>
      <c r="N22" s="67" t="s">
        <v>817</v>
      </c>
      <c r="O22" s="66">
        <f>2531</f>
        <v>2531</v>
      </c>
      <c r="P22" s="67" t="s">
        <v>821</v>
      </c>
      <c r="Q22" s="66">
        <f>2608</f>
        <v>2608</v>
      </c>
      <c r="R22" s="67" t="s">
        <v>50</v>
      </c>
      <c r="S22" s="68">
        <f>2713.67</f>
        <v>2713.67</v>
      </c>
      <c r="T22" s="65">
        <f>2569</f>
        <v>2569</v>
      </c>
      <c r="U22" s="65" t="str">
        <f>"－"</f>
        <v>－</v>
      </c>
      <c r="V22" s="65">
        <f>6888237</f>
        <v>6888237</v>
      </c>
      <c r="W22" s="65" t="str">
        <f>"－"</f>
        <v>－</v>
      </c>
      <c r="X22" s="69">
        <f>21</f>
        <v>21</v>
      </c>
    </row>
    <row r="23" spans="1:24">
      <c r="A23" s="60" t="s">
        <v>902</v>
      </c>
      <c r="B23" s="60" t="s">
        <v>107</v>
      </c>
      <c r="C23" s="60" t="s">
        <v>883</v>
      </c>
      <c r="D23" s="60" t="s">
        <v>884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5170</f>
        <v>5170</v>
      </c>
      <c r="L23" s="67" t="s">
        <v>833</v>
      </c>
      <c r="M23" s="66">
        <f>5270</f>
        <v>5270</v>
      </c>
      <c r="N23" s="67" t="s">
        <v>815</v>
      </c>
      <c r="O23" s="66">
        <f>4995</f>
        <v>4995</v>
      </c>
      <c r="P23" s="67" t="s">
        <v>50</v>
      </c>
      <c r="Q23" s="66">
        <f>5000</f>
        <v>5000</v>
      </c>
      <c r="R23" s="67" t="s">
        <v>50</v>
      </c>
      <c r="S23" s="68">
        <f>5144.29</f>
        <v>5144.29</v>
      </c>
      <c r="T23" s="65">
        <f>181500</f>
        <v>181500</v>
      </c>
      <c r="U23" s="65">
        <f>10</f>
        <v>10</v>
      </c>
      <c r="V23" s="65">
        <f>932768150</f>
        <v>932768150</v>
      </c>
      <c r="W23" s="65">
        <f>51500</f>
        <v>51500</v>
      </c>
      <c r="X23" s="69">
        <f>21</f>
        <v>21</v>
      </c>
    </row>
    <row r="24" spans="1:24">
      <c r="A24" s="60" t="s">
        <v>902</v>
      </c>
      <c r="B24" s="60" t="s">
        <v>110</v>
      </c>
      <c r="C24" s="60" t="s">
        <v>111</v>
      </c>
      <c r="D24" s="60" t="s">
        <v>112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24120</f>
        <v>24120</v>
      </c>
      <c r="L24" s="67" t="s">
        <v>833</v>
      </c>
      <c r="M24" s="66">
        <f>24540</f>
        <v>24540</v>
      </c>
      <c r="N24" s="67" t="s">
        <v>119</v>
      </c>
      <c r="O24" s="66">
        <f>23740</f>
        <v>23740</v>
      </c>
      <c r="P24" s="67" t="s">
        <v>833</v>
      </c>
      <c r="Q24" s="66">
        <f>23790</f>
        <v>23790</v>
      </c>
      <c r="R24" s="67" t="s">
        <v>50</v>
      </c>
      <c r="S24" s="68">
        <f>24268.1</f>
        <v>24268.1</v>
      </c>
      <c r="T24" s="65">
        <f>341782</f>
        <v>341782</v>
      </c>
      <c r="U24" s="65">
        <f>9115</f>
        <v>9115</v>
      </c>
      <c r="V24" s="65">
        <f>8286837874</f>
        <v>8286837874</v>
      </c>
      <c r="W24" s="65">
        <f>220846554</f>
        <v>220846554</v>
      </c>
      <c r="X24" s="69">
        <f>21</f>
        <v>21</v>
      </c>
    </row>
    <row r="25" spans="1:24">
      <c r="A25" s="60" t="s">
        <v>902</v>
      </c>
      <c r="B25" s="60" t="s">
        <v>113</v>
      </c>
      <c r="C25" s="60" t="s">
        <v>114</v>
      </c>
      <c r="D25" s="60" t="s">
        <v>115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24070</f>
        <v>24070</v>
      </c>
      <c r="L25" s="67" t="s">
        <v>833</v>
      </c>
      <c r="M25" s="66">
        <f>24480</f>
        <v>24480</v>
      </c>
      <c r="N25" s="67" t="s">
        <v>119</v>
      </c>
      <c r="O25" s="66">
        <f>23680</f>
        <v>23680</v>
      </c>
      <c r="P25" s="67" t="s">
        <v>50</v>
      </c>
      <c r="Q25" s="66">
        <f>23720</f>
        <v>23720</v>
      </c>
      <c r="R25" s="67" t="s">
        <v>50</v>
      </c>
      <c r="S25" s="68">
        <f>24207.62</f>
        <v>24207.62</v>
      </c>
      <c r="T25" s="65">
        <f>1643160</f>
        <v>1643160</v>
      </c>
      <c r="U25" s="65">
        <f>836540</f>
        <v>836540</v>
      </c>
      <c r="V25" s="65">
        <f>39903729927</f>
        <v>39903729927</v>
      </c>
      <c r="W25" s="65">
        <f>20398997427</f>
        <v>20398997427</v>
      </c>
      <c r="X25" s="69">
        <f>21</f>
        <v>21</v>
      </c>
    </row>
    <row r="26" spans="1:24">
      <c r="A26" s="60" t="s">
        <v>902</v>
      </c>
      <c r="B26" s="60" t="s">
        <v>116</v>
      </c>
      <c r="C26" s="60" t="s">
        <v>117</v>
      </c>
      <c r="D26" s="60" t="s">
        <v>118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1863</f>
        <v>1863</v>
      </c>
      <c r="L26" s="67" t="s">
        <v>833</v>
      </c>
      <c r="M26" s="66">
        <f>1892</f>
        <v>1892</v>
      </c>
      <c r="N26" s="67" t="s">
        <v>100</v>
      </c>
      <c r="O26" s="66">
        <f>1747</f>
        <v>1747</v>
      </c>
      <c r="P26" s="67" t="s">
        <v>245</v>
      </c>
      <c r="Q26" s="66">
        <f>1758</f>
        <v>1758</v>
      </c>
      <c r="R26" s="67" t="s">
        <v>50</v>
      </c>
      <c r="S26" s="68">
        <f>1827.62</f>
        <v>1827.62</v>
      </c>
      <c r="T26" s="65">
        <f>8928300</f>
        <v>8928300</v>
      </c>
      <c r="U26" s="65">
        <f>1250180</f>
        <v>1250180</v>
      </c>
      <c r="V26" s="65">
        <f>16360613809</f>
        <v>16360613809</v>
      </c>
      <c r="W26" s="65">
        <f>2301561909</f>
        <v>2301561909</v>
      </c>
      <c r="X26" s="69">
        <f>21</f>
        <v>21</v>
      </c>
    </row>
    <row r="27" spans="1:24">
      <c r="A27" s="60" t="s">
        <v>902</v>
      </c>
      <c r="B27" s="60" t="s">
        <v>120</v>
      </c>
      <c r="C27" s="60" t="s">
        <v>121</v>
      </c>
      <c r="D27" s="60" t="s">
        <v>122</v>
      </c>
      <c r="E27" s="61" t="s">
        <v>46</v>
      </c>
      <c r="F27" s="62" t="s">
        <v>46</v>
      </c>
      <c r="G27" s="63" t="s">
        <v>46</v>
      </c>
      <c r="H27" s="64"/>
      <c r="I27" s="64" t="s">
        <v>47</v>
      </c>
      <c r="J27" s="65">
        <v>10</v>
      </c>
      <c r="K27" s="66">
        <f>715</f>
        <v>715</v>
      </c>
      <c r="L27" s="67" t="s">
        <v>833</v>
      </c>
      <c r="M27" s="66">
        <f>727</f>
        <v>727</v>
      </c>
      <c r="N27" s="67" t="s">
        <v>815</v>
      </c>
      <c r="O27" s="66">
        <f>698</f>
        <v>698</v>
      </c>
      <c r="P27" s="67" t="s">
        <v>50</v>
      </c>
      <c r="Q27" s="66">
        <f>698</f>
        <v>698</v>
      </c>
      <c r="R27" s="67" t="s">
        <v>50</v>
      </c>
      <c r="S27" s="68">
        <f>714.57</f>
        <v>714.57</v>
      </c>
      <c r="T27" s="65">
        <f>20110</f>
        <v>20110</v>
      </c>
      <c r="U27" s="65">
        <f>20</f>
        <v>20</v>
      </c>
      <c r="V27" s="65">
        <f>14335100</f>
        <v>14335100</v>
      </c>
      <c r="W27" s="65">
        <f>14360</f>
        <v>14360</v>
      </c>
      <c r="X27" s="69">
        <f>21</f>
        <v>21</v>
      </c>
    </row>
    <row r="28" spans="1:24">
      <c r="A28" s="60" t="s">
        <v>902</v>
      </c>
      <c r="B28" s="60" t="s">
        <v>123</v>
      </c>
      <c r="C28" s="60" t="s">
        <v>124</v>
      </c>
      <c r="D28" s="60" t="s">
        <v>125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1752</f>
        <v>1752</v>
      </c>
      <c r="L28" s="67" t="s">
        <v>833</v>
      </c>
      <c r="M28" s="66">
        <f>1780</f>
        <v>1780</v>
      </c>
      <c r="N28" s="67" t="s">
        <v>100</v>
      </c>
      <c r="O28" s="66">
        <f>1646</f>
        <v>1646</v>
      </c>
      <c r="P28" s="67" t="s">
        <v>245</v>
      </c>
      <c r="Q28" s="66">
        <f>1653</f>
        <v>1653</v>
      </c>
      <c r="R28" s="67" t="s">
        <v>50</v>
      </c>
      <c r="S28" s="68">
        <f>1719.9</f>
        <v>1719.9</v>
      </c>
      <c r="T28" s="65">
        <f>1396600</f>
        <v>1396600</v>
      </c>
      <c r="U28" s="65">
        <f>157500</f>
        <v>157500</v>
      </c>
      <c r="V28" s="65">
        <f>2390050200</f>
        <v>2390050200</v>
      </c>
      <c r="W28" s="65">
        <f>269451500</f>
        <v>269451500</v>
      </c>
      <c r="X28" s="69">
        <f>21</f>
        <v>21</v>
      </c>
    </row>
    <row r="29" spans="1:24">
      <c r="A29" s="60" t="s">
        <v>902</v>
      </c>
      <c r="B29" s="60" t="s">
        <v>126</v>
      </c>
      <c r="C29" s="60" t="s">
        <v>127</v>
      </c>
      <c r="D29" s="60" t="s">
        <v>128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24140</f>
        <v>24140</v>
      </c>
      <c r="L29" s="67" t="s">
        <v>833</v>
      </c>
      <c r="M29" s="66">
        <f>24540</f>
        <v>24540</v>
      </c>
      <c r="N29" s="67" t="s">
        <v>119</v>
      </c>
      <c r="O29" s="66">
        <f>23750</f>
        <v>23750</v>
      </c>
      <c r="P29" s="67" t="s">
        <v>833</v>
      </c>
      <c r="Q29" s="66">
        <f>23810</f>
        <v>23810</v>
      </c>
      <c r="R29" s="67" t="s">
        <v>50</v>
      </c>
      <c r="S29" s="68">
        <f>24275.71</f>
        <v>24275.71</v>
      </c>
      <c r="T29" s="65">
        <f>541763</f>
        <v>541763</v>
      </c>
      <c r="U29" s="65">
        <f>212200</f>
        <v>212200</v>
      </c>
      <c r="V29" s="65">
        <f>13097653780</f>
        <v>13097653780</v>
      </c>
      <c r="W29" s="65">
        <f>5099055700</f>
        <v>5099055700</v>
      </c>
      <c r="X29" s="69">
        <f>21</f>
        <v>21</v>
      </c>
    </row>
    <row r="30" spans="1:24">
      <c r="A30" s="60" t="s">
        <v>902</v>
      </c>
      <c r="B30" s="60" t="s">
        <v>129</v>
      </c>
      <c r="C30" s="60" t="s">
        <v>130</v>
      </c>
      <c r="D30" s="60" t="s">
        <v>131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1697</f>
        <v>1697</v>
      </c>
      <c r="L30" s="67" t="s">
        <v>833</v>
      </c>
      <c r="M30" s="66">
        <f>1725</f>
        <v>1725</v>
      </c>
      <c r="N30" s="67" t="s">
        <v>65</v>
      </c>
      <c r="O30" s="66">
        <f>1638</f>
        <v>1638</v>
      </c>
      <c r="P30" s="67" t="s">
        <v>50</v>
      </c>
      <c r="Q30" s="66">
        <f>1642</f>
        <v>1642</v>
      </c>
      <c r="R30" s="67" t="s">
        <v>50</v>
      </c>
      <c r="S30" s="68">
        <f>1691.81</f>
        <v>1691.81</v>
      </c>
      <c r="T30" s="65">
        <f>1295360</f>
        <v>1295360</v>
      </c>
      <c r="U30" s="65" t="str">
        <f>"－"</f>
        <v>－</v>
      </c>
      <c r="V30" s="65">
        <f>2195060220</f>
        <v>2195060220</v>
      </c>
      <c r="W30" s="65" t="str">
        <f>"－"</f>
        <v>－</v>
      </c>
      <c r="X30" s="69">
        <f>21</f>
        <v>21</v>
      </c>
    </row>
    <row r="31" spans="1:24">
      <c r="A31" s="60" t="s">
        <v>902</v>
      </c>
      <c r="B31" s="60" t="s">
        <v>132</v>
      </c>
      <c r="C31" s="60" t="s">
        <v>133</v>
      </c>
      <c r="D31" s="60" t="s">
        <v>134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12740</f>
        <v>12740</v>
      </c>
      <c r="L31" s="67" t="s">
        <v>833</v>
      </c>
      <c r="M31" s="66">
        <f>12940</f>
        <v>12940</v>
      </c>
      <c r="N31" s="67" t="s">
        <v>150</v>
      </c>
      <c r="O31" s="66">
        <f>12720</f>
        <v>12720</v>
      </c>
      <c r="P31" s="67" t="s">
        <v>833</v>
      </c>
      <c r="Q31" s="66">
        <f>12870</f>
        <v>12870</v>
      </c>
      <c r="R31" s="67" t="s">
        <v>50</v>
      </c>
      <c r="S31" s="68">
        <f>12855</f>
        <v>12855</v>
      </c>
      <c r="T31" s="65">
        <f>473</f>
        <v>473</v>
      </c>
      <c r="U31" s="65" t="str">
        <f>"－"</f>
        <v>－</v>
      </c>
      <c r="V31" s="65">
        <f>6089420</f>
        <v>6089420</v>
      </c>
      <c r="W31" s="65" t="str">
        <f>"－"</f>
        <v>－</v>
      </c>
      <c r="X31" s="69">
        <f>20</f>
        <v>20</v>
      </c>
    </row>
    <row r="32" spans="1:24">
      <c r="A32" s="60" t="s">
        <v>902</v>
      </c>
      <c r="B32" s="60" t="s">
        <v>135</v>
      </c>
      <c r="C32" s="60" t="s">
        <v>136</v>
      </c>
      <c r="D32" s="60" t="s">
        <v>137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1776</f>
        <v>1776</v>
      </c>
      <c r="L32" s="67" t="s">
        <v>833</v>
      </c>
      <c r="M32" s="66">
        <f>1899</f>
        <v>1899</v>
      </c>
      <c r="N32" s="67" t="s">
        <v>50</v>
      </c>
      <c r="O32" s="66">
        <f>1718</f>
        <v>1718</v>
      </c>
      <c r="P32" s="67" t="s">
        <v>65</v>
      </c>
      <c r="Q32" s="66">
        <f>1896</f>
        <v>1896</v>
      </c>
      <c r="R32" s="67" t="s">
        <v>50</v>
      </c>
      <c r="S32" s="68">
        <f>1785.1</f>
        <v>1785.1</v>
      </c>
      <c r="T32" s="65">
        <f>5209190</f>
        <v>5209190</v>
      </c>
      <c r="U32" s="65">
        <f>18260</f>
        <v>18260</v>
      </c>
      <c r="V32" s="65">
        <f>9372878690</f>
        <v>9372878690</v>
      </c>
      <c r="W32" s="65">
        <f>32984700</f>
        <v>32984700</v>
      </c>
      <c r="X32" s="69">
        <f>21</f>
        <v>21</v>
      </c>
    </row>
    <row r="33" spans="1:24">
      <c r="A33" s="60" t="s">
        <v>902</v>
      </c>
      <c r="B33" s="60" t="s">
        <v>138</v>
      </c>
      <c r="C33" s="60" t="s">
        <v>139</v>
      </c>
      <c r="D33" s="60" t="s">
        <v>140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703</f>
        <v>703</v>
      </c>
      <c r="L33" s="67" t="s">
        <v>833</v>
      </c>
      <c r="M33" s="66">
        <f>726</f>
        <v>726</v>
      </c>
      <c r="N33" s="67" t="s">
        <v>833</v>
      </c>
      <c r="O33" s="66">
        <f>678</f>
        <v>678</v>
      </c>
      <c r="P33" s="67" t="s">
        <v>119</v>
      </c>
      <c r="Q33" s="66">
        <f>720</f>
        <v>720</v>
      </c>
      <c r="R33" s="67" t="s">
        <v>50</v>
      </c>
      <c r="S33" s="68">
        <f>693.29</f>
        <v>693.29</v>
      </c>
      <c r="T33" s="65">
        <f>769462357</f>
        <v>769462357</v>
      </c>
      <c r="U33" s="65">
        <f>1447381</f>
        <v>1447381</v>
      </c>
      <c r="V33" s="65">
        <f>534988751612</f>
        <v>534988751612</v>
      </c>
      <c r="W33" s="65">
        <f>1012893070</f>
        <v>1012893070</v>
      </c>
      <c r="X33" s="69">
        <f>21</f>
        <v>21</v>
      </c>
    </row>
    <row r="34" spans="1:24">
      <c r="A34" s="60" t="s">
        <v>902</v>
      </c>
      <c r="B34" s="60" t="s">
        <v>141</v>
      </c>
      <c r="C34" s="60" t="s">
        <v>142</v>
      </c>
      <c r="D34" s="60" t="s">
        <v>143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19560</f>
        <v>19560</v>
      </c>
      <c r="L34" s="67" t="s">
        <v>833</v>
      </c>
      <c r="M34" s="66">
        <f>20220</f>
        <v>20220</v>
      </c>
      <c r="N34" s="67" t="s">
        <v>119</v>
      </c>
      <c r="O34" s="66">
        <f>18910</f>
        <v>18910</v>
      </c>
      <c r="P34" s="67" t="s">
        <v>50</v>
      </c>
      <c r="Q34" s="66">
        <f>19020</f>
        <v>19020</v>
      </c>
      <c r="R34" s="67" t="s">
        <v>50</v>
      </c>
      <c r="S34" s="68">
        <f>19773.81</f>
        <v>19773.810000000001</v>
      </c>
      <c r="T34" s="65">
        <f>210946</f>
        <v>210946</v>
      </c>
      <c r="U34" s="65" t="str">
        <f>"－"</f>
        <v>－</v>
      </c>
      <c r="V34" s="65">
        <f>4164629880</f>
        <v>4164629880</v>
      </c>
      <c r="W34" s="65" t="str">
        <f>"－"</f>
        <v>－</v>
      </c>
      <c r="X34" s="69">
        <f>21</f>
        <v>21</v>
      </c>
    </row>
    <row r="35" spans="1:24">
      <c r="A35" s="60" t="s">
        <v>902</v>
      </c>
      <c r="B35" s="60" t="s">
        <v>144</v>
      </c>
      <c r="C35" s="60" t="s">
        <v>145</v>
      </c>
      <c r="D35" s="60" t="s">
        <v>146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1711</f>
        <v>1711</v>
      </c>
      <c r="L35" s="67" t="s">
        <v>833</v>
      </c>
      <c r="M35" s="66">
        <f>1764</f>
        <v>1764</v>
      </c>
      <c r="N35" s="67" t="s">
        <v>833</v>
      </c>
      <c r="O35" s="66">
        <f>1652</f>
        <v>1652</v>
      </c>
      <c r="P35" s="67" t="s">
        <v>119</v>
      </c>
      <c r="Q35" s="66">
        <f>1752</f>
        <v>1752</v>
      </c>
      <c r="R35" s="67" t="s">
        <v>50</v>
      </c>
      <c r="S35" s="68">
        <f>1686.9</f>
        <v>1686.9</v>
      </c>
      <c r="T35" s="65">
        <f>63106620</f>
        <v>63106620</v>
      </c>
      <c r="U35" s="65">
        <f>2780</f>
        <v>2780</v>
      </c>
      <c r="V35" s="65">
        <f>106395301110</f>
        <v>106395301110</v>
      </c>
      <c r="W35" s="65">
        <f>4855540</f>
        <v>4855540</v>
      </c>
      <c r="X35" s="69">
        <f>21</f>
        <v>21</v>
      </c>
    </row>
    <row r="36" spans="1:24">
      <c r="A36" s="60" t="s">
        <v>902</v>
      </c>
      <c r="B36" s="60" t="s">
        <v>147</v>
      </c>
      <c r="C36" s="60" t="s">
        <v>148</v>
      </c>
      <c r="D36" s="60" t="s">
        <v>149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15010</f>
        <v>15010</v>
      </c>
      <c r="L36" s="67" t="s">
        <v>833</v>
      </c>
      <c r="M36" s="66">
        <f>15260</f>
        <v>15260</v>
      </c>
      <c r="N36" s="67" t="s">
        <v>65</v>
      </c>
      <c r="O36" s="66">
        <f>14550</f>
        <v>14550</v>
      </c>
      <c r="P36" s="67" t="s">
        <v>50</v>
      </c>
      <c r="Q36" s="66">
        <f>14630</f>
        <v>14630</v>
      </c>
      <c r="R36" s="67" t="s">
        <v>50</v>
      </c>
      <c r="S36" s="68">
        <f>14983.33</f>
        <v>14983.33</v>
      </c>
      <c r="T36" s="65">
        <f>4723</f>
        <v>4723</v>
      </c>
      <c r="U36" s="65">
        <f>1</f>
        <v>1</v>
      </c>
      <c r="V36" s="65">
        <f>71016030</f>
        <v>71016030</v>
      </c>
      <c r="W36" s="65">
        <f>15260</f>
        <v>15260</v>
      </c>
      <c r="X36" s="69">
        <f>21</f>
        <v>21</v>
      </c>
    </row>
    <row r="37" spans="1:24">
      <c r="A37" s="60" t="s">
        <v>902</v>
      </c>
      <c r="B37" s="60" t="s">
        <v>151</v>
      </c>
      <c r="C37" s="60" t="s">
        <v>152</v>
      </c>
      <c r="D37" s="60" t="s">
        <v>153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16070</f>
        <v>16070</v>
      </c>
      <c r="L37" s="67" t="s">
        <v>833</v>
      </c>
      <c r="M37" s="66">
        <f>16610</f>
        <v>16610</v>
      </c>
      <c r="N37" s="67" t="s">
        <v>119</v>
      </c>
      <c r="O37" s="66">
        <f>15530</f>
        <v>15530</v>
      </c>
      <c r="P37" s="67" t="s">
        <v>50</v>
      </c>
      <c r="Q37" s="66">
        <f>15610</f>
        <v>15610</v>
      </c>
      <c r="R37" s="67" t="s">
        <v>50</v>
      </c>
      <c r="S37" s="68">
        <f>16241.9</f>
        <v>16241.9</v>
      </c>
      <c r="T37" s="65">
        <f>711701</f>
        <v>711701</v>
      </c>
      <c r="U37" s="65" t="str">
        <f>"－"</f>
        <v>－</v>
      </c>
      <c r="V37" s="65">
        <f>11520270300</f>
        <v>11520270300</v>
      </c>
      <c r="W37" s="65" t="str">
        <f>"－"</f>
        <v>－</v>
      </c>
      <c r="X37" s="69">
        <f>21</f>
        <v>21</v>
      </c>
    </row>
    <row r="38" spans="1:24">
      <c r="A38" s="60" t="s">
        <v>902</v>
      </c>
      <c r="B38" s="60" t="s">
        <v>154</v>
      </c>
      <c r="C38" s="60" t="s">
        <v>155</v>
      </c>
      <c r="D38" s="60" t="s">
        <v>156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1831</f>
        <v>1831</v>
      </c>
      <c r="L38" s="67" t="s">
        <v>833</v>
      </c>
      <c r="M38" s="66">
        <f>1890</f>
        <v>1890</v>
      </c>
      <c r="N38" s="67" t="s">
        <v>833</v>
      </c>
      <c r="O38" s="66">
        <f>1767</f>
        <v>1767</v>
      </c>
      <c r="P38" s="67" t="s">
        <v>119</v>
      </c>
      <c r="Q38" s="66">
        <f>1878</f>
        <v>1878</v>
      </c>
      <c r="R38" s="67" t="s">
        <v>50</v>
      </c>
      <c r="S38" s="68">
        <f>1806.52</f>
        <v>1806.52</v>
      </c>
      <c r="T38" s="65">
        <f>6876709</f>
        <v>6876709</v>
      </c>
      <c r="U38" s="65">
        <f>202</f>
        <v>202</v>
      </c>
      <c r="V38" s="65">
        <f>12465634849</f>
        <v>12465634849</v>
      </c>
      <c r="W38" s="65">
        <f>358062</f>
        <v>358062</v>
      </c>
      <c r="X38" s="69">
        <f>21</f>
        <v>21</v>
      </c>
    </row>
    <row r="39" spans="1:24">
      <c r="A39" s="60" t="s">
        <v>902</v>
      </c>
      <c r="B39" s="60" t="s">
        <v>157</v>
      </c>
      <c r="C39" s="60" t="s">
        <v>158</v>
      </c>
      <c r="D39" s="60" t="s">
        <v>159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13130</f>
        <v>13130</v>
      </c>
      <c r="L39" s="67" t="s">
        <v>833</v>
      </c>
      <c r="M39" s="66">
        <f>13530</f>
        <v>13530</v>
      </c>
      <c r="N39" s="67" t="s">
        <v>65</v>
      </c>
      <c r="O39" s="66">
        <f>12170</f>
        <v>12170</v>
      </c>
      <c r="P39" s="67" t="s">
        <v>50</v>
      </c>
      <c r="Q39" s="66">
        <f>12200</f>
        <v>12200</v>
      </c>
      <c r="R39" s="67" t="s">
        <v>50</v>
      </c>
      <c r="S39" s="68">
        <f>13003.81</f>
        <v>13003.81</v>
      </c>
      <c r="T39" s="65">
        <f>206094</f>
        <v>206094</v>
      </c>
      <c r="U39" s="65">
        <f>12200</f>
        <v>12200</v>
      </c>
      <c r="V39" s="65">
        <f>2665623060</f>
        <v>2665623060</v>
      </c>
      <c r="W39" s="65">
        <f>154609200</f>
        <v>154609200</v>
      </c>
      <c r="X39" s="69">
        <f>21</f>
        <v>21</v>
      </c>
    </row>
    <row r="40" spans="1:24">
      <c r="A40" s="60" t="s">
        <v>902</v>
      </c>
      <c r="B40" s="60" t="s">
        <v>160</v>
      </c>
      <c r="C40" s="60" t="s">
        <v>161</v>
      </c>
      <c r="D40" s="60" t="s">
        <v>162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2578</f>
        <v>2578</v>
      </c>
      <c r="L40" s="67" t="s">
        <v>833</v>
      </c>
      <c r="M40" s="66">
        <f>2756</f>
        <v>2756</v>
      </c>
      <c r="N40" s="67" t="s">
        <v>50</v>
      </c>
      <c r="O40" s="66">
        <f>2494</f>
        <v>2494</v>
      </c>
      <c r="P40" s="67" t="s">
        <v>65</v>
      </c>
      <c r="Q40" s="66">
        <f>2746</f>
        <v>2746</v>
      </c>
      <c r="R40" s="67" t="s">
        <v>50</v>
      </c>
      <c r="S40" s="68">
        <f>2589.71</f>
        <v>2589.71</v>
      </c>
      <c r="T40" s="65">
        <f>862104</f>
        <v>862104</v>
      </c>
      <c r="U40" s="65">
        <f>3870</f>
        <v>3870</v>
      </c>
      <c r="V40" s="65">
        <f>2245656590</f>
        <v>2245656590</v>
      </c>
      <c r="W40" s="65">
        <f>10160780</f>
        <v>10160780</v>
      </c>
      <c r="X40" s="69">
        <f>21</f>
        <v>21</v>
      </c>
    </row>
    <row r="41" spans="1:24">
      <c r="A41" s="60" t="s">
        <v>902</v>
      </c>
      <c r="B41" s="60" t="s">
        <v>163</v>
      </c>
      <c r="C41" s="60" t="s">
        <v>164</v>
      </c>
      <c r="D41" s="60" t="s">
        <v>165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23490</f>
        <v>23490</v>
      </c>
      <c r="L41" s="67" t="s">
        <v>833</v>
      </c>
      <c r="M41" s="66">
        <f>23860</f>
        <v>23860</v>
      </c>
      <c r="N41" s="67" t="s">
        <v>119</v>
      </c>
      <c r="O41" s="66">
        <f>23110</f>
        <v>23110</v>
      </c>
      <c r="P41" s="67" t="s">
        <v>50</v>
      </c>
      <c r="Q41" s="66">
        <f>23120</f>
        <v>23120</v>
      </c>
      <c r="R41" s="67" t="s">
        <v>50</v>
      </c>
      <c r="S41" s="68">
        <f>23602.38</f>
        <v>23602.38</v>
      </c>
      <c r="T41" s="65">
        <f>25733</f>
        <v>25733</v>
      </c>
      <c r="U41" s="65" t="str">
        <f t="shared" ref="U41:U48" si="0">"－"</f>
        <v>－</v>
      </c>
      <c r="V41" s="65">
        <f>604425620</f>
        <v>604425620</v>
      </c>
      <c r="W41" s="65" t="str">
        <f t="shared" ref="W41:W48" si="1">"－"</f>
        <v>－</v>
      </c>
      <c r="X41" s="69">
        <f>21</f>
        <v>21</v>
      </c>
    </row>
    <row r="42" spans="1:24">
      <c r="A42" s="60" t="s">
        <v>902</v>
      </c>
      <c r="B42" s="60" t="s">
        <v>166</v>
      </c>
      <c r="C42" s="60" t="s">
        <v>167</v>
      </c>
      <c r="D42" s="60" t="s">
        <v>168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4080</f>
        <v>4080</v>
      </c>
      <c r="L42" s="67" t="s">
        <v>833</v>
      </c>
      <c r="M42" s="66">
        <f>4220</f>
        <v>4220</v>
      </c>
      <c r="N42" s="67" t="s">
        <v>820</v>
      </c>
      <c r="O42" s="66">
        <f>3650</f>
        <v>3650</v>
      </c>
      <c r="P42" s="67" t="s">
        <v>50</v>
      </c>
      <c r="Q42" s="66">
        <f>3650</f>
        <v>3650</v>
      </c>
      <c r="R42" s="67" t="s">
        <v>50</v>
      </c>
      <c r="S42" s="68">
        <f>4025.24</f>
        <v>4025.24</v>
      </c>
      <c r="T42" s="65">
        <f>8384</f>
        <v>8384</v>
      </c>
      <c r="U42" s="65" t="str">
        <f t="shared" si="0"/>
        <v>－</v>
      </c>
      <c r="V42" s="65">
        <f>32640070</f>
        <v>32640070</v>
      </c>
      <c r="W42" s="65" t="str">
        <f t="shared" si="1"/>
        <v>－</v>
      </c>
      <c r="X42" s="69">
        <f>21</f>
        <v>21</v>
      </c>
    </row>
    <row r="43" spans="1:24">
      <c r="A43" s="60" t="s">
        <v>902</v>
      </c>
      <c r="B43" s="60" t="s">
        <v>169</v>
      </c>
      <c r="C43" s="60" t="s">
        <v>170</v>
      </c>
      <c r="D43" s="60" t="s">
        <v>171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7470</f>
        <v>7470</v>
      </c>
      <c r="L43" s="67" t="s">
        <v>833</v>
      </c>
      <c r="M43" s="66">
        <f>7700</f>
        <v>7700</v>
      </c>
      <c r="N43" s="67" t="s">
        <v>820</v>
      </c>
      <c r="O43" s="66">
        <f>6950</f>
        <v>6950</v>
      </c>
      <c r="P43" s="67" t="s">
        <v>50</v>
      </c>
      <c r="Q43" s="66">
        <f>6950</f>
        <v>6950</v>
      </c>
      <c r="R43" s="67" t="s">
        <v>50</v>
      </c>
      <c r="S43" s="68">
        <f>7445.24</f>
        <v>7445.24</v>
      </c>
      <c r="T43" s="65">
        <f>1714</f>
        <v>1714</v>
      </c>
      <c r="U43" s="65" t="str">
        <f t="shared" si="0"/>
        <v>－</v>
      </c>
      <c r="V43" s="65">
        <f>12670190</f>
        <v>12670190</v>
      </c>
      <c r="W43" s="65" t="str">
        <f t="shared" si="1"/>
        <v>－</v>
      </c>
      <c r="X43" s="69">
        <f>21</f>
        <v>21</v>
      </c>
    </row>
    <row r="44" spans="1:24">
      <c r="A44" s="60" t="s">
        <v>902</v>
      </c>
      <c r="B44" s="60" t="s">
        <v>172</v>
      </c>
      <c r="C44" s="60" t="s">
        <v>173</v>
      </c>
      <c r="D44" s="60" t="s">
        <v>174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14380</f>
        <v>14380</v>
      </c>
      <c r="L44" s="67" t="s">
        <v>833</v>
      </c>
      <c r="M44" s="66">
        <f>14640</f>
        <v>14640</v>
      </c>
      <c r="N44" s="67" t="s">
        <v>72</v>
      </c>
      <c r="O44" s="66">
        <f>13200</f>
        <v>13200</v>
      </c>
      <c r="P44" s="67" t="s">
        <v>50</v>
      </c>
      <c r="Q44" s="66">
        <f>13200</f>
        <v>13200</v>
      </c>
      <c r="R44" s="67" t="s">
        <v>50</v>
      </c>
      <c r="S44" s="68">
        <f>14020</f>
        <v>14020</v>
      </c>
      <c r="T44" s="65">
        <f>266</f>
        <v>266</v>
      </c>
      <c r="U44" s="65" t="str">
        <f t="shared" si="0"/>
        <v>－</v>
      </c>
      <c r="V44" s="65">
        <f>3784180</f>
        <v>3784180</v>
      </c>
      <c r="W44" s="65" t="str">
        <f t="shared" si="1"/>
        <v>－</v>
      </c>
      <c r="X44" s="69">
        <f>12</f>
        <v>12</v>
      </c>
    </row>
    <row r="45" spans="1:24">
      <c r="A45" s="60" t="s">
        <v>902</v>
      </c>
      <c r="B45" s="60" t="s">
        <v>176</v>
      </c>
      <c r="C45" s="60" t="s">
        <v>177</v>
      </c>
      <c r="D45" s="60" t="s">
        <v>178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11870</f>
        <v>11870</v>
      </c>
      <c r="L45" s="67" t="s">
        <v>833</v>
      </c>
      <c r="M45" s="66">
        <f>12080</f>
        <v>12080</v>
      </c>
      <c r="N45" s="67" t="s">
        <v>65</v>
      </c>
      <c r="O45" s="66">
        <f>11000</f>
        <v>11000</v>
      </c>
      <c r="P45" s="67" t="s">
        <v>95</v>
      </c>
      <c r="Q45" s="66">
        <f>11000</f>
        <v>11000</v>
      </c>
      <c r="R45" s="67" t="s">
        <v>95</v>
      </c>
      <c r="S45" s="68">
        <f>11652.5</f>
        <v>11652.5</v>
      </c>
      <c r="T45" s="65">
        <f>112</f>
        <v>112</v>
      </c>
      <c r="U45" s="65" t="str">
        <f t="shared" si="0"/>
        <v>－</v>
      </c>
      <c r="V45" s="65">
        <f>1308520</f>
        <v>1308520</v>
      </c>
      <c r="W45" s="65" t="str">
        <f t="shared" si="1"/>
        <v>－</v>
      </c>
      <c r="X45" s="69">
        <f>8</f>
        <v>8</v>
      </c>
    </row>
    <row r="46" spans="1:24">
      <c r="A46" s="60" t="s">
        <v>902</v>
      </c>
      <c r="B46" s="60" t="s">
        <v>179</v>
      </c>
      <c r="C46" s="60" t="s">
        <v>180</v>
      </c>
      <c r="D46" s="60" t="s">
        <v>181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7700</f>
        <v>7700</v>
      </c>
      <c r="L46" s="67" t="s">
        <v>833</v>
      </c>
      <c r="M46" s="66">
        <f>8150</f>
        <v>8150</v>
      </c>
      <c r="N46" s="67" t="s">
        <v>815</v>
      </c>
      <c r="O46" s="66">
        <f>7200</f>
        <v>7200</v>
      </c>
      <c r="P46" s="67" t="s">
        <v>50</v>
      </c>
      <c r="Q46" s="66">
        <f>7440</f>
        <v>7440</v>
      </c>
      <c r="R46" s="67" t="s">
        <v>50</v>
      </c>
      <c r="S46" s="68">
        <f>7732.38</f>
        <v>7732.38</v>
      </c>
      <c r="T46" s="65">
        <f>4394</f>
        <v>4394</v>
      </c>
      <c r="U46" s="65" t="str">
        <f t="shared" si="0"/>
        <v>－</v>
      </c>
      <c r="V46" s="65">
        <f>33960400</f>
        <v>33960400</v>
      </c>
      <c r="W46" s="65" t="str">
        <f t="shared" si="1"/>
        <v>－</v>
      </c>
      <c r="X46" s="69">
        <f>21</f>
        <v>21</v>
      </c>
    </row>
    <row r="47" spans="1:24">
      <c r="A47" s="60" t="s">
        <v>902</v>
      </c>
      <c r="B47" s="60" t="s">
        <v>182</v>
      </c>
      <c r="C47" s="60" t="s">
        <v>183</v>
      </c>
      <c r="D47" s="60" t="s">
        <v>184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4295</f>
        <v>4295</v>
      </c>
      <c r="L47" s="67" t="s">
        <v>833</v>
      </c>
      <c r="M47" s="66">
        <f>4600</f>
        <v>4600</v>
      </c>
      <c r="N47" s="67" t="s">
        <v>72</v>
      </c>
      <c r="O47" s="66">
        <f>4200</f>
        <v>4200</v>
      </c>
      <c r="P47" s="67" t="s">
        <v>100</v>
      </c>
      <c r="Q47" s="66">
        <f>4210</f>
        <v>4210</v>
      </c>
      <c r="R47" s="67" t="s">
        <v>50</v>
      </c>
      <c r="S47" s="68">
        <f>4361.5</f>
        <v>4361.5</v>
      </c>
      <c r="T47" s="65">
        <f>1206</f>
        <v>1206</v>
      </c>
      <c r="U47" s="65" t="str">
        <f t="shared" si="0"/>
        <v>－</v>
      </c>
      <c r="V47" s="65">
        <f>5313225</f>
        <v>5313225</v>
      </c>
      <c r="W47" s="65" t="str">
        <f t="shared" si="1"/>
        <v>－</v>
      </c>
      <c r="X47" s="69">
        <f>20</f>
        <v>20</v>
      </c>
    </row>
    <row r="48" spans="1:24">
      <c r="A48" s="60" t="s">
        <v>902</v>
      </c>
      <c r="B48" s="60" t="s">
        <v>185</v>
      </c>
      <c r="C48" s="60" t="s">
        <v>186</v>
      </c>
      <c r="D48" s="60" t="s">
        <v>187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2316</f>
        <v>2316</v>
      </c>
      <c r="L48" s="67" t="s">
        <v>833</v>
      </c>
      <c r="M48" s="66">
        <f>2340</f>
        <v>2340</v>
      </c>
      <c r="N48" s="67" t="s">
        <v>833</v>
      </c>
      <c r="O48" s="66">
        <f>2120</f>
        <v>2120</v>
      </c>
      <c r="P48" s="67" t="s">
        <v>50</v>
      </c>
      <c r="Q48" s="66">
        <f>2120</f>
        <v>2120</v>
      </c>
      <c r="R48" s="67" t="s">
        <v>50</v>
      </c>
      <c r="S48" s="68">
        <f>2265.33</f>
        <v>2265.33</v>
      </c>
      <c r="T48" s="65">
        <f>2299</f>
        <v>2299</v>
      </c>
      <c r="U48" s="65" t="str">
        <f t="shared" si="0"/>
        <v>－</v>
      </c>
      <c r="V48" s="65">
        <f>5146410</f>
        <v>5146410</v>
      </c>
      <c r="W48" s="65" t="str">
        <f t="shared" si="1"/>
        <v>－</v>
      </c>
      <c r="X48" s="69">
        <f>21</f>
        <v>21</v>
      </c>
    </row>
    <row r="49" spans="1:24">
      <c r="A49" s="60" t="s">
        <v>902</v>
      </c>
      <c r="B49" s="60" t="s">
        <v>188</v>
      </c>
      <c r="C49" s="60" t="s">
        <v>189</v>
      </c>
      <c r="D49" s="60" t="s">
        <v>190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2075</f>
        <v>2075</v>
      </c>
      <c r="L49" s="67" t="s">
        <v>833</v>
      </c>
      <c r="M49" s="66">
        <f>2224</f>
        <v>2224</v>
      </c>
      <c r="N49" s="67" t="s">
        <v>48</v>
      </c>
      <c r="O49" s="66">
        <f>1920</f>
        <v>1920</v>
      </c>
      <c r="P49" s="67" t="s">
        <v>50</v>
      </c>
      <c r="Q49" s="66">
        <f>1928</f>
        <v>1928</v>
      </c>
      <c r="R49" s="67" t="s">
        <v>50</v>
      </c>
      <c r="S49" s="68">
        <f>2053.19</f>
        <v>2053.19</v>
      </c>
      <c r="T49" s="65">
        <f>10392</f>
        <v>10392</v>
      </c>
      <c r="U49" s="65">
        <f>1</f>
        <v>1</v>
      </c>
      <c r="V49" s="65">
        <f>21516350</f>
        <v>21516350</v>
      </c>
      <c r="W49" s="65">
        <f>2027</f>
        <v>2027</v>
      </c>
      <c r="X49" s="69">
        <f>21</f>
        <v>21</v>
      </c>
    </row>
    <row r="50" spans="1:24">
      <c r="A50" s="60" t="s">
        <v>902</v>
      </c>
      <c r="B50" s="60" t="s">
        <v>191</v>
      </c>
      <c r="C50" s="60" t="s">
        <v>192</v>
      </c>
      <c r="D50" s="60" t="s">
        <v>193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34650</f>
        <v>34650</v>
      </c>
      <c r="L50" s="67" t="s">
        <v>833</v>
      </c>
      <c r="M50" s="66">
        <f>36850</f>
        <v>36850</v>
      </c>
      <c r="N50" s="67" t="s">
        <v>820</v>
      </c>
      <c r="O50" s="66">
        <f>33750</f>
        <v>33750</v>
      </c>
      <c r="P50" s="67" t="s">
        <v>833</v>
      </c>
      <c r="Q50" s="66">
        <f>33900</f>
        <v>33900</v>
      </c>
      <c r="R50" s="67" t="s">
        <v>50</v>
      </c>
      <c r="S50" s="68">
        <f>35257.5</f>
        <v>35257.5</v>
      </c>
      <c r="T50" s="65">
        <f>612</f>
        <v>612</v>
      </c>
      <c r="U50" s="65" t="str">
        <f>"－"</f>
        <v>－</v>
      </c>
      <c r="V50" s="65">
        <f>21633750</f>
        <v>21633750</v>
      </c>
      <c r="W50" s="65" t="str">
        <f>"－"</f>
        <v>－</v>
      </c>
      <c r="X50" s="69">
        <f>20</f>
        <v>20</v>
      </c>
    </row>
    <row r="51" spans="1:24">
      <c r="A51" s="60" t="s">
        <v>902</v>
      </c>
      <c r="B51" s="60" t="s">
        <v>194</v>
      </c>
      <c r="C51" s="60" t="s">
        <v>195</v>
      </c>
      <c r="D51" s="60" t="s">
        <v>196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25060</f>
        <v>25060</v>
      </c>
      <c r="L51" s="67" t="s">
        <v>833</v>
      </c>
      <c r="M51" s="66">
        <f>26000</f>
        <v>26000</v>
      </c>
      <c r="N51" s="67" t="s">
        <v>820</v>
      </c>
      <c r="O51" s="66">
        <f>24140</f>
        <v>24140</v>
      </c>
      <c r="P51" s="67" t="s">
        <v>50</v>
      </c>
      <c r="Q51" s="66">
        <f>24140</f>
        <v>24140</v>
      </c>
      <c r="R51" s="67" t="s">
        <v>50</v>
      </c>
      <c r="S51" s="68">
        <f>25501.33</f>
        <v>25501.33</v>
      </c>
      <c r="T51" s="65">
        <f>404</f>
        <v>404</v>
      </c>
      <c r="U51" s="65" t="str">
        <f>"－"</f>
        <v>－</v>
      </c>
      <c r="V51" s="65">
        <f>10170780</f>
        <v>10170780</v>
      </c>
      <c r="W51" s="65" t="str">
        <f>"－"</f>
        <v>－</v>
      </c>
      <c r="X51" s="69">
        <f>15</f>
        <v>15</v>
      </c>
    </row>
    <row r="52" spans="1:24">
      <c r="A52" s="60" t="s">
        <v>902</v>
      </c>
      <c r="B52" s="60" t="s">
        <v>197</v>
      </c>
      <c r="C52" s="60" t="s">
        <v>198</v>
      </c>
      <c r="D52" s="60" t="s">
        <v>199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23630</f>
        <v>23630</v>
      </c>
      <c r="L52" s="67" t="s">
        <v>833</v>
      </c>
      <c r="M52" s="66">
        <f>23900</f>
        <v>23900</v>
      </c>
      <c r="N52" s="67" t="s">
        <v>119</v>
      </c>
      <c r="O52" s="66">
        <f>23140</f>
        <v>23140</v>
      </c>
      <c r="P52" s="67" t="s">
        <v>50</v>
      </c>
      <c r="Q52" s="66">
        <f>23140</f>
        <v>23140</v>
      </c>
      <c r="R52" s="67" t="s">
        <v>50</v>
      </c>
      <c r="S52" s="68">
        <f>23646.67</f>
        <v>23646.67</v>
      </c>
      <c r="T52" s="65">
        <f>83966</f>
        <v>83966</v>
      </c>
      <c r="U52" s="65">
        <f>72001</f>
        <v>72001</v>
      </c>
      <c r="V52" s="65">
        <f>1978684120</f>
        <v>1978684120</v>
      </c>
      <c r="W52" s="65">
        <f>1695263740</f>
        <v>1695263740</v>
      </c>
      <c r="X52" s="69">
        <f>21</f>
        <v>21</v>
      </c>
    </row>
    <row r="53" spans="1:24">
      <c r="A53" s="60" t="s">
        <v>902</v>
      </c>
      <c r="B53" s="60" t="s">
        <v>200</v>
      </c>
      <c r="C53" s="60" t="s">
        <v>201</v>
      </c>
      <c r="D53" s="60" t="s">
        <v>202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1764</f>
        <v>1764</v>
      </c>
      <c r="L53" s="67" t="s">
        <v>833</v>
      </c>
      <c r="M53" s="66">
        <f>1790</f>
        <v>1790</v>
      </c>
      <c r="N53" s="67" t="s">
        <v>100</v>
      </c>
      <c r="O53" s="66">
        <f>1660</f>
        <v>1660</v>
      </c>
      <c r="P53" s="67" t="s">
        <v>245</v>
      </c>
      <c r="Q53" s="66">
        <f>1670</f>
        <v>1670</v>
      </c>
      <c r="R53" s="67" t="s">
        <v>50</v>
      </c>
      <c r="S53" s="68">
        <f>1730.14</f>
        <v>1730.14</v>
      </c>
      <c r="T53" s="65">
        <f>24910</f>
        <v>24910</v>
      </c>
      <c r="U53" s="65">
        <f>20000</f>
        <v>20000</v>
      </c>
      <c r="V53" s="65">
        <f>42071220</f>
        <v>42071220</v>
      </c>
      <c r="W53" s="65">
        <f>33526400</f>
        <v>33526400</v>
      </c>
      <c r="X53" s="69">
        <f>21</f>
        <v>21</v>
      </c>
    </row>
    <row r="54" spans="1:24">
      <c r="A54" s="60" t="s">
        <v>902</v>
      </c>
      <c r="B54" s="60" t="s">
        <v>203</v>
      </c>
      <c r="C54" s="60" t="s">
        <v>204</v>
      </c>
      <c r="D54" s="60" t="s">
        <v>205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1350</f>
        <v>1350</v>
      </c>
      <c r="L54" s="67" t="s">
        <v>833</v>
      </c>
      <c r="M54" s="66">
        <f>1374</f>
        <v>1374</v>
      </c>
      <c r="N54" s="67" t="s">
        <v>48</v>
      </c>
      <c r="O54" s="66">
        <f>1287</f>
        <v>1287</v>
      </c>
      <c r="P54" s="67" t="s">
        <v>50</v>
      </c>
      <c r="Q54" s="66">
        <f>1287</f>
        <v>1287</v>
      </c>
      <c r="R54" s="67" t="s">
        <v>50</v>
      </c>
      <c r="S54" s="68">
        <f>1339.33</f>
        <v>1339.33</v>
      </c>
      <c r="T54" s="65">
        <f>53010</f>
        <v>53010</v>
      </c>
      <c r="U54" s="65" t="str">
        <f>"－"</f>
        <v>－</v>
      </c>
      <c r="V54" s="65">
        <f>70147430</f>
        <v>70147430</v>
      </c>
      <c r="W54" s="65" t="str">
        <f>"－"</f>
        <v>－</v>
      </c>
      <c r="X54" s="69">
        <f>18</f>
        <v>18</v>
      </c>
    </row>
    <row r="55" spans="1:24">
      <c r="A55" s="60" t="s">
        <v>902</v>
      </c>
      <c r="B55" s="60" t="s">
        <v>206</v>
      </c>
      <c r="C55" s="60" t="s">
        <v>207</v>
      </c>
      <c r="D55" s="60" t="s">
        <v>208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5610</f>
        <v>5610</v>
      </c>
      <c r="L55" s="67" t="s">
        <v>833</v>
      </c>
      <c r="M55" s="66">
        <f>5700</f>
        <v>5700</v>
      </c>
      <c r="N55" s="67" t="s">
        <v>833</v>
      </c>
      <c r="O55" s="66">
        <f>5510</f>
        <v>5510</v>
      </c>
      <c r="P55" s="67" t="s">
        <v>119</v>
      </c>
      <c r="Q55" s="66">
        <f>5690</f>
        <v>5690</v>
      </c>
      <c r="R55" s="67" t="s">
        <v>50</v>
      </c>
      <c r="S55" s="68">
        <f>5578.1</f>
        <v>5578.1</v>
      </c>
      <c r="T55" s="65">
        <f>238152</f>
        <v>238152</v>
      </c>
      <c r="U55" s="65" t="str">
        <f>"－"</f>
        <v>－</v>
      </c>
      <c r="V55" s="65">
        <f>1331093420</f>
        <v>1331093420</v>
      </c>
      <c r="W55" s="65" t="str">
        <f>"－"</f>
        <v>－</v>
      </c>
      <c r="X55" s="69">
        <f>21</f>
        <v>21</v>
      </c>
    </row>
    <row r="56" spans="1:24">
      <c r="A56" s="60" t="s">
        <v>902</v>
      </c>
      <c r="B56" s="60" t="s">
        <v>209</v>
      </c>
      <c r="C56" s="60" t="s">
        <v>210</v>
      </c>
      <c r="D56" s="60" t="s">
        <v>211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6590</f>
        <v>6590</v>
      </c>
      <c r="L56" s="67" t="s">
        <v>833</v>
      </c>
      <c r="M56" s="66">
        <f>6800</f>
        <v>6800</v>
      </c>
      <c r="N56" s="67" t="s">
        <v>50</v>
      </c>
      <c r="O56" s="66">
        <f>6480</f>
        <v>6480</v>
      </c>
      <c r="P56" s="67" t="s">
        <v>65</v>
      </c>
      <c r="Q56" s="66">
        <f>6790</f>
        <v>6790</v>
      </c>
      <c r="R56" s="67" t="s">
        <v>50</v>
      </c>
      <c r="S56" s="68">
        <f>6599.52</f>
        <v>6599.52</v>
      </c>
      <c r="T56" s="65">
        <f>110952</f>
        <v>110952</v>
      </c>
      <c r="U56" s="65" t="str">
        <f>"－"</f>
        <v>－</v>
      </c>
      <c r="V56" s="65">
        <f>741103970</f>
        <v>741103970</v>
      </c>
      <c r="W56" s="65" t="str">
        <f>"－"</f>
        <v>－</v>
      </c>
      <c r="X56" s="69">
        <f>21</f>
        <v>21</v>
      </c>
    </row>
    <row r="57" spans="1:24">
      <c r="A57" s="60" t="s">
        <v>902</v>
      </c>
      <c r="B57" s="60" t="s">
        <v>212</v>
      </c>
      <c r="C57" s="60" t="s">
        <v>213</v>
      </c>
      <c r="D57" s="60" t="s">
        <v>214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12170</f>
        <v>12170</v>
      </c>
      <c r="L57" s="67" t="s">
        <v>833</v>
      </c>
      <c r="M57" s="66">
        <f>12600</f>
        <v>12600</v>
      </c>
      <c r="N57" s="67" t="s">
        <v>119</v>
      </c>
      <c r="O57" s="66">
        <f>11770</f>
        <v>11770</v>
      </c>
      <c r="P57" s="67" t="s">
        <v>50</v>
      </c>
      <c r="Q57" s="66">
        <f>11830</f>
        <v>11830</v>
      </c>
      <c r="R57" s="67" t="s">
        <v>50</v>
      </c>
      <c r="S57" s="68">
        <f>12316.19</f>
        <v>12316.19</v>
      </c>
      <c r="T57" s="65">
        <f>6229102</f>
        <v>6229102</v>
      </c>
      <c r="U57" s="65">
        <f>199</f>
        <v>199</v>
      </c>
      <c r="V57" s="65">
        <f>76409216090</f>
        <v>76409216090</v>
      </c>
      <c r="W57" s="65">
        <f>2435910</f>
        <v>2435910</v>
      </c>
      <c r="X57" s="69">
        <f>21</f>
        <v>21</v>
      </c>
    </row>
    <row r="58" spans="1:24">
      <c r="A58" s="60" t="s">
        <v>902</v>
      </c>
      <c r="B58" s="60" t="s">
        <v>215</v>
      </c>
      <c r="C58" s="60" t="s">
        <v>216</v>
      </c>
      <c r="D58" s="60" t="s">
        <v>217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2798</f>
        <v>2798</v>
      </c>
      <c r="L58" s="67" t="s">
        <v>833</v>
      </c>
      <c r="M58" s="66">
        <f>2884</f>
        <v>2884</v>
      </c>
      <c r="N58" s="67" t="s">
        <v>833</v>
      </c>
      <c r="O58" s="66">
        <f>2699</f>
        <v>2699</v>
      </c>
      <c r="P58" s="67" t="s">
        <v>119</v>
      </c>
      <c r="Q58" s="66">
        <f>2864</f>
        <v>2864</v>
      </c>
      <c r="R58" s="67" t="s">
        <v>50</v>
      </c>
      <c r="S58" s="68">
        <f>2758.52</f>
        <v>2758.52</v>
      </c>
      <c r="T58" s="65">
        <f>34059617</f>
        <v>34059617</v>
      </c>
      <c r="U58" s="65">
        <f>1041</f>
        <v>1041</v>
      </c>
      <c r="V58" s="65">
        <f>93778976390</f>
        <v>93778976390</v>
      </c>
      <c r="W58" s="65">
        <f>2948449</f>
        <v>2948449</v>
      </c>
      <c r="X58" s="69">
        <f>21</f>
        <v>21</v>
      </c>
    </row>
    <row r="59" spans="1:24">
      <c r="A59" s="60" t="s">
        <v>902</v>
      </c>
      <c r="B59" s="60" t="s">
        <v>218</v>
      </c>
      <c r="C59" s="60" t="s">
        <v>219</v>
      </c>
      <c r="D59" s="60" t="s">
        <v>220</v>
      </c>
      <c r="E59" s="61" t="s">
        <v>46</v>
      </c>
      <c r="F59" s="62" t="s">
        <v>46</v>
      </c>
      <c r="G59" s="63" t="s">
        <v>46</v>
      </c>
      <c r="H59" s="64"/>
      <c r="I59" s="64" t="s">
        <v>47</v>
      </c>
      <c r="J59" s="65">
        <v>1</v>
      </c>
      <c r="K59" s="66">
        <f>20590</f>
        <v>20590</v>
      </c>
      <c r="L59" s="67" t="s">
        <v>119</v>
      </c>
      <c r="M59" s="66">
        <f>21080</f>
        <v>21080</v>
      </c>
      <c r="N59" s="67" t="s">
        <v>90</v>
      </c>
      <c r="O59" s="66">
        <f>20590</f>
        <v>20590</v>
      </c>
      <c r="P59" s="67" t="s">
        <v>119</v>
      </c>
      <c r="Q59" s="66">
        <f>20950</f>
        <v>20950</v>
      </c>
      <c r="R59" s="67" t="s">
        <v>50</v>
      </c>
      <c r="S59" s="68">
        <f>20946.67</f>
        <v>20946.669999999998</v>
      </c>
      <c r="T59" s="65">
        <f>38</f>
        <v>38</v>
      </c>
      <c r="U59" s="65" t="str">
        <f t="shared" ref="U59:U64" si="2">"－"</f>
        <v>－</v>
      </c>
      <c r="V59" s="65">
        <f>795070</f>
        <v>795070</v>
      </c>
      <c r="W59" s="65" t="str">
        <f t="shared" ref="W59:W64" si="3">"－"</f>
        <v>－</v>
      </c>
      <c r="X59" s="69">
        <f>9</f>
        <v>9</v>
      </c>
    </row>
    <row r="60" spans="1:24">
      <c r="A60" s="60" t="s">
        <v>902</v>
      </c>
      <c r="B60" s="60" t="s">
        <v>221</v>
      </c>
      <c r="C60" s="60" t="s">
        <v>222</v>
      </c>
      <c r="D60" s="60" t="s">
        <v>223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10410</f>
        <v>10410</v>
      </c>
      <c r="L60" s="67" t="s">
        <v>833</v>
      </c>
      <c r="M60" s="66">
        <f>10700</f>
        <v>10700</v>
      </c>
      <c r="N60" s="67" t="s">
        <v>119</v>
      </c>
      <c r="O60" s="66">
        <f>9670</f>
        <v>9670</v>
      </c>
      <c r="P60" s="67" t="s">
        <v>50</v>
      </c>
      <c r="Q60" s="66">
        <f>9740</f>
        <v>9740</v>
      </c>
      <c r="R60" s="67" t="s">
        <v>50</v>
      </c>
      <c r="S60" s="68">
        <f>10329.05</f>
        <v>10329.049999999999</v>
      </c>
      <c r="T60" s="65">
        <f>1244</f>
        <v>1244</v>
      </c>
      <c r="U60" s="65" t="str">
        <f t="shared" si="2"/>
        <v>－</v>
      </c>
      <c r="V60" s="65">
        <f>12650220</f>
        <v>12650220</v>
      </c>
      <c r="W60" s="65" t="str">
        <f t="shared" si="3"/>
        <v>－</v>
      </c>
      <c r="X60" s="69">
        <f>21</f>
        <v>21</v>
      </c>
    </row>
    <row r="61" spans="1:24">
      <c r="A61" s="60" t="s">
        <v>902</v>
      </c>
      <c r="B61" s="60" t="s">
        <v>224</v>
      </c>
      <c r="C61" s="60" t="s">
        <v>225</v>
      </c>
      <c r="D61" s="60" t="s">
        <v>226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6460</f>
        <v>6460</v>
      </c>
      <c r="L61" s="67" t="s">
        <v>833</v>
      </c>
      <c r="M61" s="66">
        <f>6640</f>
        <v>6640</v>
      </c>
      <c r="N61" s="67" t="s">
        <v>50</v>
      </c>
      <c r="O61" s="66">
        <f>6410</f>
        <v>6410</v>
      </c>
      <c r="P61" s="67" t="s">
        <v>119</v>
      </c>
      <c r="Q61" s="66">
        <f>6640</f>
        <v>6640</v>
      </c>
      <c r="R61" s="67" t="s">
        <v>50</v>
      </c>
      <c r="S61" s="68">
        <f>6480.71</f>
        <v>6480.71</v>
      </c>
      <c r="T61" s="65">
        <f>452</f>
        <v>452</v>
      </c>
      <c r="U61" s="65" t="str">
        <f t="shared" si="2"/>
        <v>－</v>
      </c>
      <c r="V61" s="65">
        <f>2941730</f>
        <v>2941730</v>
      </c>
      <c r="W61" s="65" t="str">
        <f t="shared" si="3"/>
        <v>－</v>
      </c>
      <c r="X61" s="69">
        <f>14</f>
        <v>14</v>
      </c>
    </row>
    <row r="62" spans="1:24">
      <c r="A62" s="60" t="s">
        <v>902</v>
      </c>
      <c r="B62" s="60" t="s">
        <v>227</v>
      </c>
      <c r="C62" s="60" t="s">
        <v>228</v>
      </c>
      <c r="D62" s="60" t="s">
        <v>229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3340</f>
        <v>3340</v>
      </c>
      <c r="L62" s="67" t="s">
        <v>833</v>
      </c>
      <c r="M62" s="66">
        <f>3575</f>
        <v>3575</v>
      </c>
      <c r="N62" s="67" t="s">
        <v>50</v>
      </c>
      <c r="O62" s="66">
        <f>3250</f>
        <v>3250</v>
      </c>
      <c r="P62" s="67" t="s">
        <v>65</v>
      </c>
      <c r="Q62" s="66">
        <f>3565</f>
        <v>3565</v>
      </c>
      <c r="R62" s="67" t="s">
        <v>50</v>
      </c>
      <c r="S62" s="68">
        <f>3369.29</f>
        <v>3369.29</v>
      </c>
      <c r="T62" s="65">
        <f>10631</f>
        <v>10631</v>
      </c>
      <c r="U62" s="65" t="str">
        <f t="shared" si="2"/>
        <v>－</v>
      </c>
      <c r="V62" s="65">
        <f>36194125</f>
        <v>36194125</v>
      </c>
      <c r="W62" s="65" t="str">
        <f t="shared" si="3"/>
        <v>－</v>
      </c>
      <c r="X62" s="69">
        <f>21</f>
        <v>21</v>
      </c>
    </row>
    <row r="63" spans="1:24">
      <c r="A63" s="60" t="s">
        <v>902</v>
      </c>
      <c r="B63" s="60" t="s">
        <v>230</v>
      </c>
      <c r="C63" s="60" t="s">
        <v>231</v>
      </c>
      <c r="D63" s="60" t="s">
        <v>232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10050</f>
        <v>10050</v>
      </c>
      <c r="L63" s="67" t="s">
        <v>833</v>
      </c>
      <c r="M63" s="66">
        <f>10100</f>
        <v>10100</v>
      </c>
      <c r="N63" s="67" t="s">
        <v>817</v>
      </c>
      <c r="O63" s="66">
        <f>9410</f>
        <v>9410</v>
      </c>
      <c r="P63" s="67" t="s">
        <v>50</v>
      </c>
      <c r="Q63" s="66">
        <f>9410</f>
        <v>9410</v>
      </c>
      <c r="R63" s="67" t="s">
        <v>50</v>
      </c>
      <c r="S63" s="68">
        <f>9837.22</f>
        <v>9837.2199999999993</v>
      </c>
      <c r="T63" s="65">
        <f>3960</f>
        <v>3960</v>
      </c>
      <c r="U63" s="65" t="str">
        <f t="shared" si="2"/>
        <v>－</v>
      </c>
      <c r="V63" s="65">
        <f>39035400</f>
        <v>39035400</v>
      </c>
      <c r="W63" s="65" t="str">
        <f t="shared" si="3"/>
        <v>－</v>
      </c>
      <c r="X63" s="69">
        <f>18</f>
        <v>18</v>
      </c>
    </row>
    <row r="64" spans="1:24">
      <c r="A64" s="60" t="s">
        <v>902</v>
      </c>
      <c r="B64" s="60" t="s">
        <v>233</v>
      </c>
      <c r="C64" s="60" t="s">
        <v>234</v>
      </c>
      <c r="D64" s="60" t="s">
        <v>235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6400</f>
        <v>6400</v>
      </c>
      <c r="L64" s="67" t="s">
        <v>833</v>
      </c>
      <c r="M64" s="66">
        <f>6490</f>
        <v>6490</v>
      </c>
      <c r="N64" s="67" t="s">
        <v>50</v>
      </c>
      <c r="O64" s="66">
        <f>6230</f>
        <v>6230</v>
      </c>
      <c r="P64" s="67" t="s">
        <v>820</v>
      </c>
      <c r="Q64" s="66">
        <f>6490</f>
        <v>6490</v>
      </c>
      <c r="R64" s="67" t="s">
        <v>50</v>
      </c>
      <c r="S64" s="68">
        <f>6328.75</f>
        <v>6328.75</v>
      </c>
      <c r="T64" s="65">
        <f>450</f>
        <v>450</v>
      </c>
      <c r="U64" s="65" t="str">
        <f t="shared" si="2"/>
        <v>－</v>
      </c>
      <c r="V64" s="65">
        <f>2862200</f>
        <v>2862200</v>
      </c>
      <c r="W64" s="65" t="str">
        <f t="shared" si="3"/>
        <v>－</v>
      </c>
      <c r="X64" s="69">
        <f>8</f>
        <v>8</v>
      </c>
    </row>
    <row r="65" spans="1:24">
      <c r="A65" s="60" t="s">
        <v>902</v>
      </c>
      <c r="B65" s="60" t="s">
        <v>236</v>
      </c>
      <c r="C65" s="60" t="s">
        <v>237</v>
      </c>
      <c r="D65" s="60" t="s">
        <v>238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3360</f>
        <v>3360</v>
      </c>
      <c r="L65" s="67" t="s">
        <v>833</v>
      </c>
      <c r="M65" s="66">
        <f>3560</f>
        <v>3560</v>
      </c>
      <c r="N65" s="67" t="s">
        <v>50</v>
      </c>
      <c r="O65" s="66">
        <f>3260</f>
        <v>3260</v>
      </c>
      <c r="P65" s="67" t="s">
        <v>65</v>
      </c>
      <c r="Q65" s="66">
        <f>3540</f>
        <v>3540</v>
      </c>
      <c r="R65" s="67" t="s">
        <v>50</v>
      </c>
      <c r="S65" s="68">
        <f>3369.05</f>
        <v>3369.05</v>
      </c>
      <c r="T65" s="65">
        <f>24910</f>
        <v>24910</v>
      </c>
      <c r="U65" s="65">
        <f>20</f>
        <v>20</v>
      </c>
      <c r="V65" s="65">
        <f>84865050</f>
        <v>84865050</v>
      </c>
      <c r="W65" s="65">
        <f>69800</f>
        <v>69800</v>
      </c>
      <c r="X65" s="69">
        <f>21</f>
        <v>21</v>
      </c>
    </row>
    <row r="66" spans="1:24">
      <c r="A66" s="60" t="s">
        <v>902</v>
      </c>
      <c r="B66" s="60" t="s">
        <v>239</v>
      </c>
      <c r="C66" s="60" t="s">
        <v>240</v>
      </c>
      <c r="D66" s="60" t="s">
        <v>241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f>20650</f>
        <v>20650</v>
      </c>
      <c r="L66" s="67" t="s">
        <v>833</v>
      </c>
      <c r="M66" s="66">
        <f>21000</f>
        <v>21000</v>
      </c>
      <c r="N66" s="67" t="s">
        <v>65</v>
      </c>
      <c r="O66" s="66">
        <f>19300</f>
        <v>19300</v>
      </c>
      <c r="P66" s="67" t="s">
        <v>833</v>
      </c>
      <c r="Q66" s="66">
        <f>19630</f>
        <v>19630</v>
      </c>
      <c r="R66" s="67" t="s">
        <v>50</v>
      </c>
      <c r="S66" s="68">
        <f>20532.86</f>
        <v>20532.86</v>
      </c>
      <c r="T66" s="65">
        <f>2308</f>
        <v>2308</v>
      </c>
      <c r="U66" s="65" t="str">
        <f>"－"</f>
        <v>－</v>
      </c>
      <c r="V66" s="65">
        <f>47121210</f>
        <v>47121210</v>
      </c>
      <c r="W66" s="65" t="str">
        <f>"－"</f>
        <v>－</v>
      </c>
      <c r="X66" s="69">
        <f>21</f>
        <v>21</v>
      </c>
    </row>
    <row r="67" spans="1:24">
      <c r="A67" s="60" t="s">
        <v>902</v>
      </c>
      <c r="B67" s="60" t="s">
        <v>242</v>
      </c>
      <c r="C67" s="60" t="s">
        <v>243</v>
      </c>
      <c r="D67" s="60" t="s">
        <v>244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4150</f>
        <v>4150</v>
      </c>
      <c r="L67" s="67" t="s">
        <v>833</v>
      </c>
      <c r="M67" s="66">
        <f>4425</f>
        <v>4425</v>
      </c>
      <c r="N67" s="67" t="s">
        <v>817</v>
      </c>
      <c r="O67" s="66">
        <f>4075</f>
        <v>4075</v>
      </c>
      <c r="P67" s="67" t="s">
        <v>119</v>
      </c>
      <c r="Q67" s="66">
        <f>4240</f>
        <v>4240</v>
      </c>
      <c r="R67" s="67" t="s">
        <v>50</v>
      </c>
      <c r="S67" s="68">
        <f>4169.05</f>
        <v>4169.05</v>
      </c>
      <c r="T67" s="65">
        <f>1992</f>
        <v>1992</v>
      </c>
      <c r="U67" s="65" t="str">
        <f>"－"</f>
        <v>－</v>
      </c>
      <c r="V67" s="65">
        <f>8277340</f>
        <v>8277340</v>
      </c>
      <c r="W67" s="65" t="str">
        <f>"－"</f>
        <v>－</v>
      </c>
      <c r="X67" s="69">
        <f>21</f>
        <v>21</v>
      </c>
    </row>
    <row r="68" spans="1:24">
      <c r="A68" s="60" t="s">
        <v>902</v>
      </c>
      <c r="B68" s="60" t="s">
        <v>246</v>
      </c>
      <c r="C68" s="60" t="s">
        <v>247</v>
      </c>
      <c r="D68" s="60" t="s">
        <v>248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f>1325</f>
        <v>1325</v>
      </c>
      <c r="L68" s="67" t="s">
        <v>833</v>
      </c>
      <c r="M68" s="66">
        <f>1414</f>
        <v>1414</v>
      </c>
      <c r="N68" s="67" t="s">
        <v>50</v>
      </c>
      <c r="O68" s="66">
        <f>1299</f>
        <v>1299</v>
      </c>
      <c r="P68" s="67" t="s">
        <v>65</v>
      </c>
      <c r="Q68" s="66">
        <f>1395</f>
        <v>1395</v>
      </c>
      <c r="R68" s="67" t="s">
        <v>50</v>
      </c>
      <c r="S68" s="68">
        <f>1340.67</f>
        <v>1340.67</v>
      </c>
      <c r="T68" s="65">
        <f>53609</f>
        <v>53609</v>
      </c>
      <c r="U68" s="65">
        <f>12</f>
        <v>12</v>
      </c>
      <c r="V68" s="65">
        <f>72946327</f>
        <v>72946327</v>
      </c>
      <c r="W68" s="65">
        <f>16164</f>
        <v>16164</v>
      </c>
      <c r="X68" s="69">
        <f>21</f>
        <v>21</v>
      </c>
    </row>
    <row r="69" spans="1:24">
      <c r="A69" s="60" t="s">
        <v>902</v>
      </c>
      <c r="B69" s="60" t="s">
        <v>249</v>
      </c>
      <c r="C69" s="60" t="s">
        <v>250</v>
      </c>
      <c r="D69" s="60" t="s">
        <v>251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10</v>
      </c>
      <c r="K69" s="66">
        <f>1661</f>
        <v>1661</v>
      </c>
      <c r="L69" s="67" t="s">
        <v>833</v>
      </c>
      <c r="M69" s="66">
        <f>1688</f>
        <v>1688</v>
      </c>
      <c r="N69" s="67" t="s">
        <v>65</v>
      </c>
      <c r="O69" s="66">
        <f>1605</f>
        <v>1605</v>
      </c>
      <c r="P69" s="67" t="s">
        <v>50</v>
      </c>
      <c r="Q69" s="66">
        <f>1605</f>
        <v>1605</v>
      </c>
      <c r="R69" s="67" t="s">
        <v>50</v>
      </c>
      <c r="S69" s="68">
        <f>1656.9</f>
        <v>1656.9</v>
      </c>
      <c r="T69" s="65">
        <f>813920</f>
        <v>813920</v>
      </c>
      <c r="U69" s="65" t="str">
        <f>"－"</f>
        <v>－</v>
      </c>
      <c r="V69" s="65">
        <f>1353742840</f>
        <v>1353742840</v>
      </c>
      <c r="W69" s="65" t="str">
        <f>"－"</f>
        <v>－</v>
      </c>
      <c r="X69" s="69">
        <f>21</f>
        <v>21</v>
      </c>
    </row>
    <row r="70" spans="1:24">
      <c r="A70" s="60" t="s">
        <v>902</v>
      </c>
      <c r="B70" s="60" t="s">
        <v>252</v>
      </c>
      <c r="C70" s="60" t="s">
        <v>253</v>
      </c>
      <c r="D70" s="60" t="s">
        <v>254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14900</f>
        <v>14900</v>
      </c>
      <c r="L70" s="67" t="s">
        <v>833</v>
      </c>
      <c r="M70" s="66">
        <f>15220</f>
        <v>15220</v>
      </c>
      <c r="N70" s="67" t="s">
        <v>119</v>
      </c>
      <c r="O70" s="66">
        <f>14420</f>
        <v>14420</v>
      </c>
      <c r="P70" s="67" t="s">
        <v>50</v>
      </c>
      <c r="Q70" s="66">
        <f>14440</f>
        <v>14440</v>
      </c>
      <c r="R70" s="67" t="s">
        <v>50</v>
      </c>
      <c r="S70" s="68">
        <f>14880.48</f>
        <v>14880.48</v>
      </c>
      <c r="T70" s="65">
        <f>91772</f>
        <v>91772</v>
      </c>
      <c r="U70" s="65">
        <f>34200</f>
        <v>34200</v>
      </c>
      <c r="V70" s="65">
        <f>1354686530</f>
        <v>1354686530</v>
      </c>
      <c r="W70" s="65">
        <f>500688000</f>
        <v>500688000</v>
      </c>
      <c r="X70" s="69">
        <f>21</f>
        <v>21</v>
      </c>
    </row>
    <row r="71" spans="1:24">
      <c r="A71" s="60" t="s">
        <v>902</v>
      </c>
      <c r="B71" s="60" t="s">
        <v>255</v>
      </c>
      <c r="C71" s="60" t="s">
        <v>256</v>
      </c>
      <c r="D71" s="60" t="s">
        <v>257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1675</f>
        <v>1675</v>
      </c>
      <c r="L71" s="67" t="s">
        <v>833</v>
      </c>
      <c r="M71" s="66">
        <f>1701</f>
        <v>1701</v>
      </c>
      <c r="N71" s="67" t="s">
        <v>65</v>
      </c>
      <c r="O71" s="66">
        <f>1614</f>
        <v>1614</v>
      </c>
      <c r="P71" s="67" t="s">
        <v>50</v>
      </c>
      <c r="Q71" s="66">
        <f>1619</f>
        <v>1619</v>
      </c>
      <c r="R71" s="67" t="s">
        <v>50</v>
      </c>
      <c r="S71" s="68">
        <f>1667.76</f>
        <v>1667.76</v>
      </c>
      <c r="T71" s="65">
        <f>1708994</f>
        <v>1708994</v>
      </c>
      <c r="U71" s="65">
        <f>29495</f>
        <v>29495</v>
      </c>
      <c r="V71" s="65">
        <f>2849158480</f>
        <v>2849158480</v>
      </c>
      <c r="W71" s="65">
        <f>49637127</f>
        <v>49637127</v>
      </c>
      <c r="X71" s="69">
        <f>21</f>
        <v>21</v>
      </c>
    </row>
    <row r="72" spans="1:24">
      <c r="A72" s="60" t="s">
        <v>902</v>
      </c>
      <c r="B72" s="60" t="s">
        <v>258</v>
      </c>
      <c r="C72" s="60" t="s">
        <v>259</v>
      </c>
      <c r="D72" s="60" t="s">
        <v>260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1787</f>
        <v>1787</v>
      </c>
      <c r="L72" s="67" t="s">
        <v>833</v>
      </c>
      <c r="M72" s="66">
        <f>1817</f>
        <v>1817</v>
      </c>
      <c r="N72" s="67" t="s">
        <v>100</v>
      </c>
      <c r="O72" s="66">
        <f>1675</f>
        <v>1675</v>
      </c>
      <c r="P72" s="67" t="s">
        <v>245</v>
      </c>
      <c r="Q72" s="66">
        <f>1692</f>
        <v>1692</v>
      </c>
      <c r="R72" s="67" t="s">
        <v>50</v>
      </c>
      <c r="S72" s="68">
        <f>1754.19</f>
        <v>1754.19</v>
      </c>
      <c r="T72" s="65">
        <f>2472253</f>
        <v>2472253</v>
      </c>
      <c r="U72" s="65">
        <f>898721</f>
        <v>898721</v>
      </c>
      <c r="V72" s="65">
        <f>4306535634</f>
        <v>4306535634</v>
      </c>
      <c r="W72" s="65">
        <f>1558737232</f>
        <v>1558737232</v>
      </c>
      <c r="X72" s="69">
        <f>21</f>
        <v>21</v>
      </c>
    </row>
    <row r="73" spans="1:24">
      <c r="A73" s="60" t="s">
        <v>902</v>
      </c>
      <c r="B73" s="60" t="s">
        <v>261</v>
      </c>
      <c r="C73" s="60" t="s">
        <v>262</v>
      </c>
      <c r="D73" s="60" t="s">
        <v>263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1731</f>
        <v>1731</v>
      </c>
      <c r="L73" s="67" t="s">
        <v>833</v>
      </c>
      <c r="M73" s="66">
        <f>1739</f>
        <v>1739</v>
      </c>
      <c r="N73" s="67" t="s">
        <v>65</v>
      </c>
      <c r="O73" s="66">
        <f>1656</f>
        <v>1656</v>
      </c>
      <c r="P73" s="67" t="s">
        <v>50</v>
      </c>
      <c r="Q73" s="66">
        <f>1659</f>
        <v>1659</v>
      </c>
      <c r="R73" s="67" t="s">
        <v>50</v>
      </c>
      <c r="S73" s="68">
        <f>1709</f>
        <v>1709</v>
      </c>
      <c r="T73" s="65">
        <f>141482</f>
        <v>141482</v>
      </c>
      <c r="U73" s="65">
        <f>131887</f>
        <v>131887</v>
      </c>
      <c r="V73" s="65">
        <f>234710367</f>
        <v>234710367</v>
      </c>
      <c r="W73" s="65">
        <f>218290130</f>
        <v>218290130</v>
      </c>
      <c r="X73" s="69">
        <f>21</f>
        <v>21</v>
      </c>
    </row>
    <row r="74" spans="1:24">
      <c r="A74" s="60" t="s">
        <v>902</v>
      </c>
      <c r="B74" s="60" t="s">
        <v>264</v>
      </c>
      <c r="C74" s="60" t="s">
        <v>265</v>
      </c>
      <c r="D74" s="60" t="s">
        <v>266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1717</f>
        <v>1717</v>
      </c>
      <c r="L74" s="67" t="s">
        <v>833</v>
      </c>
      <c r="M74" s="66">
        <f>1777</f>
        <v>1777</v>
      </c>
      <c r="N74" s="67" t="s">
        <v>65</v>
      </c>
      <c r="O74" s="66">
        <f>1699</f>
        <v>1699</v>
      </c>
      <c r="P74" s="67" t="s">
        <v>833</v>
      </c>
      <c r="Q74" s="66">
        <f>1704</f>
        <v>1704</v>
      </c>
      <c r="R74" s="67" t="s">
        <v>50</v>
      </c>
      <c r="S74" s="68">
        <f>1743.38</f>
        <v>1743.38</v>
      </c>
      <c r="T74" s="65">
        <f>158972</f>
        <v>158972</v>
      </c>
      <c r="U74" s="65">
        <f>8500</f>
        <v>8500</v>
      </c>
      <c r="V74" s="65">
        <f>275938735</f>
        <v>275938735</v>
      </c>
      <c r="W74" s="65">
        <f>14964603</f>
        <v>14964603</v>
      </c>
      <c r="X74" s="69">
        <f>21</f>
        <v>21</v>
      </c>
    </row>
    <row r="75" spans="1:24">
      <c r="A75" s="60" t="s">
        <v>902</v>
      </c>
      <c r="B75" s="60" t="s">
        <v>267</v>
      </c>
      <c r="C75" s="60" t="s">
        <v>268</v>
      </c>
      <c r="D75" s="60" t="s">
        <v>269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19980</f>
        <v>19980</v>
      </c>
      <c r="L75" s="67" t="s">
        <v>833</v>
      </c>
      <c r="M75" s="66">
        <f>20200</f>
        <v>20200</v>
      </c>
      <c r="N75" s="67" t="s">
        <v>65</v>
      </c>
      <c r="O75" s="66">
        <f>19330</f>
        <v>19330</v>
      </c>
      <c r="P75" s="67" t="s">
        <v>50</v>
      </c>
      <c r="Q75" s="66">
        <f>19330</f>
        <v>19330</v>
      </c>
      <c r="R75" s="67" t="s">
        <v>50</v>
      </c>
      <c r="S75" s="68">
        <f>19841.11</f>
        <v>19841.11</v>
      </c>
      <c r="T75" s="65">
        <f>1745</f>
        <v>1745</v>
      </c>
      <c r="U75" s="65" t="str">
        <f>"－"</f>
        <v>－</v>
      </c>
      <c r="V75" s="65">
        <f>34352590</f>
        <v>34352590</v>
      </c>
      <c r="W75" s="65" t="str">
        <f>"－"</f>
        <v>－</v>
      </c>
      <c r="X75" s="69">
        <f>9</f>
        <v>9</v>
      </c>
    </row>
    <row r="76" spans="1:24">
      <c r="A76" s="60" t="s">
        <v>902</v>
      </c>
      <c r="B76" s="60" t="s">
        <v>270</v>
      </c>
      <c r="C76" s="60" t="s">
        <v>271</v>
      </c>
      <c r="D76" s="60" t="s">
        <v>272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16850</f>
        <v>16850</v>
      </c>
      <c r="L76" s="67" t="s">
        <v>833</v>
      </c>
      <c r="M76" s="66">
        <f>16850</f>
        <v>16850</v>
      </c>
      <c r="N76" s="67" t="s">
        <v>833</v>
      </c>
      <c r="O76" s="66">
        <f>15780</f>
        <v>15780</v>
      </c>
      <c r="P76" s="67" t="s">
        <v>50</v>
      </c>
      <c r="Q76" s="66">
        <f>15780</f>
        <v>15780</v>
      </c>
      <c r="R76" s="67" t="s">
        <v>50</v>
      </c>
      <c r="S76" s="68">
        <f>16223.85</f>
        <v>16223.85</v>
      </c>
      <c r="T76" s="65">
        <f>1530</f>
        <v>1530</v>
      </c>
      <c r="U76" s="65" t="str">
        <f>"－"</f>
        <v>－</v>
      </c>
      <c r="V76" s="65">
        <f>24417960</f>
        <v>24417960</v>
      </c>
      <c r="W76" s="65" t="str">
        <f>"－"</f>
        <v>－</v>
      </c>
      <c r="X76" s="69">
        <f>13</f>
        <v>13</v>
      </c>
    </row>
    <row r="77" spans="1:24">
      <c r="A77" s="60" t="s">
        <v>902</v>
      </c>
      <c r="B77" s="60" t="s">
        <v>273</v>
      </c>
      <c r="C77" s="60" t="s">
        <v>274</v>
      </c>
      <c r="D77" s="60" t="s">
        <v>275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1643</f>
        <v>1643</v>
      </c>
      <c r="L77" s="67" t="s">
        <v>833</v>
      </c>
      <c r="M77" s="66">
        <f>1651</f>
        <v>1651</v>
      </c>
      <c r="N77" s="67" t="s">
        <v>815</v>
      </c>
      <c r="O77" s="66">
        <f>1571</f>
        <v>1571</v>
      </c>
      <c r="P77" s="67" t="s">
        <v>50</v>
      </c>
      <c r="Q77" s="66">
        <f>1571</f>
        <v>1571</v>
      </c>
      <c r="R77" s="67" t="s">
        <v>50</v>
      </c>
      <c r="S77" s="68">
        <f>1625.32</f>
        <v>1625.32</v>
      </c>
      <c r="T77" s="65">
        <f>1019</f>
        <v>1019</v>
      </c>
      <c r="U77" s="65" t="str">
        <f>"－"</f>
        <v>－</v>
      </c>
      <c r="V77" s="65">
        <f>1629800</f>
        <v>1629800</v>
      </c>
      <c r="W77" s="65" t="str">
        <f>"－"</f>
        <v>－</v>
      </c>
      <c r="X77" s="69">
        <f>19</f>
        <v>19</v>
      </c>
    </row>
    <row r="78" spans="1:24">
      <c r="A78" s="60" t="s">
        <v>902</v>
      </c>
      <c r="B78" s="60" t="s">
        <v>276</v>
      </c>
      <c r="C78" s="60" t="s">
        <v>277</v>
      </c>
      <c r="D78" s="60" t="s">
        <v>278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2513</f>
        <v>2513</v>
      </c>
      <c r="L78" s="67" t="s">
        <v>833</v>
      </c>
      <c r="M78" s="66">
        <f>2521</f>
        <v>2521</v>
      </c>
      <c r="N78" s="67" t="s">
        <v>833</v>
      </c>
      <c r="O78" s="66">
        <f>2472</f>
        <v>2472</v>
      </c>
      <c r="P78" s="67" t="s">
        <v>99</v>
      </c>
      <c r="Q78" s="66">
        <f>2482</f>
        <v>2482</v>
      </c>
      <c r="R78" s="67" t="s">
        <v>50</v>
      </c>
      <c r="S78" s="68">
        <f>2492.52</f>
        <v>2492.52</v>
      </c>
      <c r="T78" s="65">
        <f>2395376</f>
        <v>2395376</v>
      </c>
      <c r="U78" s="65">
        <f>360800</f>
        <v>360800</v>
      </c>
      <c r="V78" s="65">
        <f>5977699335</f>
        <v>5977699335</v>
      </c>
      <c r="W78" s="65">
        <f>895832028</f>
        <v>895832028</v>
      </c>
      <c r="X78" s="69">
        <f>21</f>
        <v>21</v>
      </c>
    </row>
    <row r="79" spans="1:24">
      <c r="A79" s="60" t="s">
        <v>902</v>
      </c>
      <c r="B79" s="60" t="s">
        <v>279</v>
      </c>
      <c r="C79" s="60" t="s">
        <v>280</v>
      </c>
      <c r="D79" s="60" t="s">
        <v>281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f>1624</f>
        <v>1624</v>
      </c>
      <c r="L79" s="67" t="s">
        <v>833</v>
      </c>
      <c r="M79" s="66">
        <f>1630</f>
        <v>1630</v>
      </c>
      <c r="N79" s="67" t="s">
        <v>49</v>
      </c>
      <c r="O79" s="66">
        <f>1540</f>
        <v>1540</v>
      </c>
      <c r="P79" s="67" t="s">
        <v>245</v>
      </c>
      <c r="Q79" s="66">
        <f>1552</f>
        <v>1552</v>
      </c>
      <c r="R79" s="67" t="s">
        <v>50</v>
      </c>
      <c r="S79" s="68">
        <f>1597</f>
        <v>1597</v>
      </c>
      <c r="T79" s="65">
        <f>555</f>
        <v>555</v>
      </c>
      <c r="U79" s="65" t="str">
        <f>"－"</f>
        <v>－</v>
      </c>
      <c r="V79" s="65">
        <f>883283</f>
        <v>883283</v>
      </c>
      <c r="W79" s="65" t="str">
        <f>"－"</f>
        <v>－</v>
      </c>
      <c r="X79" s="69">
        <f>21</f>
        <v>21</v>
      </c>
    </row>
    <row r="80" spans="1:24">
      <c r="A80" s="60" t="s">
        <v>902</v>
      </c>
      <c r="B80" s="60" t="s">
        <v>282</v>
      </c>
      <c r="C80" s="60" t="s">
        <v>283</v>
      </c>
      <c r="D80" s="60" t="s">
        <v>284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10</v>
      </c>
      <c r="K80" s="66">
        <f>1608</f>
        <v>1608</v>
      </c>
      <c r="L80" s="67" t="s">
        <v>833</v>
      </c>
      <c r="M80" s="66">
        <f>1634</f>
        <v>1634</v>
      </c>
      <c r="N80" s="67" t="s">
        <v>65</v>
      </c>
      <c r="O80" s="66">
        <f>1549</f>
        <v>1549</v>
      </c>
      <c r="P80" s="67" t="s">
        <v>50</v>
      </c>
      <c r="Q80" s="66">
        <f>1549</f>
        <v>1549</v>
      </c>
      <c r="R80" s="67" t="s">
        <v>50</v>
      </c>
      <c r="S80" s="68">
        <f>1605.29</f>
        <v>1605.29</v>
      </c>
      <c r="T80" s="65">
        <f>14120</f>
        <v>14120</v>
      </c>
      <c r="U80" s="65" t="str">
        <f>"－"</f>
        <v>－</v>
      </c>
      <c r="V80" s="65">
        <f>22280540</f>
        <v>22280540</v>
      </c>
      <c r="W80" s="65" t="str">
        <f>"－"</f>
        <v>－</v>
      </c>
      <c r="X80" s="69">
        <f>21</f>
        <v>21</v>
      </c>
    </row>
    <row r="81" spans="1:24">
      <c r="A81" s="60" t="s">
        <v>902</v>
      </c>
      <c r="B81" s="60" t="s">
        <v>285</v>
      </c>
      <c r="C81" s="60" t="s">
        <v>286</v>
      </c>
      <c r="D81" s="60" t="s">
        <v>287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25800</f>
        <v>25800</v>
      </c>
      <c r="L81" s="67" t="s">
        <v>119</v>
      </c>
      <c r="M81" s="66">
        <f>26310</f>
        <v>26310</v>
      </c>
      <c r="N81" s="67" t="s">
        <v>90</v>
      </c>
      <c r="O81" s="66">
        <f>25800</f>
        <v>25800</v>
      </c>
      <c r="P81" s="67" t="s">
        <v>119</v>
      </c>
      <c r="Q81" s="66">
        <f>26310</f>
        <v>26310</v>
      </c>
      <c r="R81" s="67" t="s">
        <v>90</v>
      </c>
      <c r="S81" s="68">
        <f>26055</f>
        <v>26055</v>
      </c>
      <c r="T81" s="65">
        <f>11</f>
        <v>11</v>
      </c>
      <c r="U81" s="65" t="str">
        <f>"－"</f>
        <v>－</v>
      </c>
      <c r="V81" s="65">
        <f>287310</f>
        <v>287310</v>
      </c>
      <c r="W81" s="65" t="str">
        <f>"－"</f>
        <v>－</v>
      </c>
      <c r="X81" s="69">
        <f>2</f>
        <v>2</v>
      </c>
    </row>
    <row r="82" spans="1:24">
      <c r="A82" s="60" t="s">
        <v>902</v>
      </c>
      <c r="B82" s="60" t="s">
        <v>288</v>
      </c>
      <c r="C82" s="60" t="s">
        <v>289</v>
      </c>
      <c r="D82" s="60" t="s">
        <v>290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21970</f>
        <v>21970</v>
      </c>
      <c r="L82" s="67" t="s">
        <v>833</v>
      </c>
      <c r="M82" s="66">
        <f>21970</f>
        <v>21970</v>
      </c>
      <c r="N82" s="67" t="s">
        <v>833</v>
      </c>
      <c r="O82" s="66">
        <f>21460</f>
        <v>21460</v>
      </c>
      <c r="P82" s="67" t="s">
        <v>50</v>
      </c>
      <c r="Q82" s="66">
        <f>21470</f>
        <v>21470</v>
      </c>
      <c r="R82" s="67" t="s">
        <v>50</v>
      </c>
      <c r="S82" s="68">
        <f>21740.95</f>
        <v>21740.95</v>
      </c>
      <c r="T82" s="65">
        <f>166768</f>
        <v>166768</v>
      </c>
      <c r="U82" s="65">
        <f>137001</f>
        <v>137001</v>
      </c>
      <c r="V82" s="65">
        <f>3638127190</f>
        <v>3638127190</v>
      </c>
      <c r="W82" s="65">
        <f>2994129380</f>
        <v>2994129380</v>
      </c>
      <c r="X82" s="69">
        <f>21</f>
        <v>21</v>
      </c>
    </row>
    <row r="83" spans="1:24">
      <c r="A83" s="60" t="s">
        <v>902</v>
      </c>
      <c r="B83" s="60" t="s">
        <v>291</v>
      </c>
      <c r="C83" s="60" t="s">
        <v>292</v>
      </c>
      <c r="D83" s="60" t="s">
        <v>293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</v>
      </c>
      <c r="K83" s="66">
        <f>19690</f>
        <v>19690</v>
      </c>
      <c r="L83" s="67" t="s">
        <v>833</v>
      </c>
      <c r="M83" s="66">
        <f>19720</f>
        <v>19720</v>
      </c>
      <c r="N83" s="67" t="s">
        <v>833</v>
      </c>
      <c r="O83" s="66">
        <f>19430</f>
        <v>19430</v>
      </c>
      <c r="P83" s="67" t="s">
        <v>99</v>
      </c>
      <c r="Q83" s="66">
        <f>19480</f>
        <v>19480</v>
      </c>
      <c r="R83" s="67" t="s">
        <v>50</v>
      </c>
      <c r="S83" s="68">
        <f>19544.5</f>
        <v>19544.5</v>
      </c>
      <c r="T83" s="65">
        <f>375972</f>
        <v>375972</v>
      </c>
      <c r="U83" s="65">
        <f>164996</f>
        <v>164996</v>
      </c>
      <c r="V83" s="65">
        <f>7345278011</f>
        <v>7345278011</v>
      </c>
      <c r="W83" s="65">
        <f>3226405231</f>
        <v>3226405231</v>
      </c>
      <c r="X83" s="69">
        <f>20</f>
        <v>20</v>
      </c>
    </row>
    <row r="84" spans="1:24">
      <c r="A84" s="60" t="s">
        <v>902</v>
      </c>
      <c r="B84" s="60" t="s">
        <v>294</v>
      </c>
      <c r="C84" s="60" t="s">
        <v>295</v>
      </c>
      <c r="D84" s="60" t="s">
        <v>296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10</v>
      </c>
      <c r="K84" s="66">
        <f>1779</f>
        <v>1779</v>
      </c>
      <c r="L84" s="67" t="s">
        <v>833</v>
      </c>
      <c r="M84" s="66">
        <f>1811</f>
        <v>1811</v>
      </c>
      <c r="N84" s="67" t="s">
        <v>100</v>
      </c>
      <c r="O84" s="66">
        <f>1672</f>
        <v>1672</v>
      </c>
      <c r="P84" s="67" t="s">
        <v>245</v>
      </c>
      <c r="Q84" s="66">
        <f>1684</f>
        <v>1684</v>
      </c>
      <c r="R84" s="67" t="s">
        <v>50</v>
      </c>
      <c r="S84" s="68">
        <f>1746.62</f>
        <v>1746.62</v>
      </c>
      <c r="T84" s="65">
        <f>592120</f>
        <v>592120</v>
      </c>
      <c r="U84" s="65">
        <f>50170</f>
        <v>50170</v>
      </c>
      <c r="V84" s="65">
        <f>1029539530</f>
        <v>1029539530</v>
      </c>
      <c r="W84" s="65">
        <f>88019520</f>
        <v>88019520</v>
      </c>
      <c r="X84" s="69">
        <f>21</f>
        <v>21</v>
      </c>
    </row>
    <row r="85" spans="1:24">
      <c r="A85" s="60" t="s">
        <v>902</v>
      </c>
      <c r="B85" s="60" t="s">
        <v>297</v>
      </c>
      <c r="C85" s="60" t="s">
        <v>298</v>
      </c>
      <c r="D85" s="60" t="s">
        <v>299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f>28060</f>
        <v>28060</v>
      </c>
      <c r="L85" s="67" t="s">
        <v>833</v>
      </c>
      <c r="M85" s="66">
        <f>28490</f>
        <v>28490</v>
      </c>
      <c r="N85" s="67" t="s">
        <v>833</v>
      </c>
      <c r="O85" s="66">
        <f>26750</f>
        <v>26750</v>
      </c>
      <c r="P85" s="67" t="s">
        <v>50</v>
      </c>
      <c r="Q85" s="66">
        <f>27140</f>
        <v>27140</v>
      </c>
      <c r="R85" s="67" t="s">
        <v>50</v>
      </c>
      <c r="S85" s="68">
        <f>27694.29</f>
        <v>27694.29</v>
      </c>
      <c r="T85" s="65">
        <f>43890</f>
        <v>43890</v>
      </c>
      <c r="U85" s="65">
        <f>3532</f>
        <v>3532</v>
      </c>
      <c r="V85" s="65">
        <f>1217827443</f>
        <v>1217827443</v>
      </c>
      <c r="W85" s="65">
        <f>99283453</f>
        <v>99283453</v>
      </c>
      <c r="X85" s="69">
        <f>21</f>
        <v>21</v>
      </c>
    </row>
    <row r="86" spans="1:24">
      <c r="A86" s="60" t="s">
        <v>902</v>
      </c>
      <c r="B86" s="60" t="s">
        <v>300</v>
      </c>
      <c r="C86" s="60" t="s">
        <v>301</v>
      </c>
      <c r="D86" s="60" t="s">
        <v>302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10</v>
      </c>
      <c r="K86" s="66">
        <f>8040</f>
        <v>8040</v>
      </c>
      <c r="L86" s="67" t="s">
        <v>833</v>
      </c>
      <c r="M86" s="66">
        <f>8100</f>
        <v>8100</v>
      </c>
      <c r="N86" s="67" t="s">
        <v>48</v>
      </c>
      <c r="O86" s="66">
        <f>7900</f>
        <v>7900</v>
      </c>
      <c r="P86" s="67" t="s">
        <v>90</v>
      </c>
      <c r="Q86" s="66">
        <f>7950</f>
        <v>7950</v>
      </c>
      <c r="R86" s="67" t="s">
        <v>99</v>
      </c>
      <c r="S86" s="68">
        <f>7987</f>
        <v>7987</v>
      </c>
      <c r="T86" s="65">
        <f>270</f>
        <v>270</v>
      </c>
      <c r="U86" s="65" t="str">
        <f>"－"</f>
        <v>－</v>
      </c>
      <c r="V86" s="65">
        <f>2155900</f>
        <v>2155900</v>
      </c>
      <c r="W86" s="65" t="str">
        <f>"－"</f>
        <v>－</v>
      </c>
      <c r="X86" s="69">
        <f>10</f>
        <v>10</v>
      </c>
    </row>
    <row r="87" spans="1:24">
      <c r="A87" s="60" t="s">
        <v>902</v>
      </c>
      <c r="B87" s="60" t="s">
        <v>303</v>
      </c>
      <c r="C87" s="60" t="s">
        <v>304</v>
      </c>
      <c r="D87" s="60" t="s">
        <v>305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14280</f>
        <v>14280</v>
      </c>
      <c r="L87" s="67" t="s">
        <v>833</v>
      </c>
      <c r="M87" s="66">
        <f>14530</f>
        <v>14530</v>
      </c>
      <c r="N87" s="67" t="s">
        <v>309</v>
      </c>
      <c r="O87" s="66">
        <f>13660</f>
        <v>13660</v>
      </c>
      <c r="P87" s="67" t="s">
        <v>50</v>
      </c>
      <c r="Q87" s="66">
        <f>13660</f>
        <v>13660</v>
      </c>
      <c r="R87" s="67" t="s">
        <v>50</v>
      </c>
      <c r="S87" s="68">
        <f>14232.86</f>
        <v>14232.86</v>
      </c>
      <c r="T87" s="65">
        <f>855</f>
        <v>855</v>
      </c>
      <c r="U87" s="65">
        <f>1</f>
        <v>1</v>
      </c>
      <c r="V87" s="65">
        <f>12156750</f>
        <v>12156750</v>
      </c>
      <c r="W87" s="65">
        <f>14470</f>
        <v>14470</v>
      </c>
      <c r="X87" s="69">
        <f>21</f>
        <v>21</v>
      </c>
    </row>
    <row r="88" spans="1:24">
      <c r="A88" s="60" t="s">
        <v>902</v>
      </c>
      <c r="B88" s="60" t="s">
        <v>306</v>
      </c>
      <c r="C88" s="60" t="s">
        <v>307</v>
      </c>
      <c r="D88" s="60" t="s">
        <v>308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14280</f>
        <v>14280</v>
      </c>
      <c r="L88" s="67" t="s">
        <v>833</v>
      </c>
      <c r="M88" s="66">
        <f>14690</f>
        <v>14690</v>
      </c>
      <c r="N88" s="67" t="s">
        <v>49</v>
      </c>
      <c r="O88" s="66">
        <f>13610</f>
        <v>13610</v>
      </c>
      <c r="P88" s="67" t="s">
        <v>50</v>
      </c>
      <c r="Q88" s="66">
        <f>13620</f>
        <v>13620</v>
      </c>
      <c r="R88" s="67" t="s">
        <v>50</v>
      </c>
      <c r="S88" s="68">
        <f>14290.48</f>
        <v>14290.48</v>
      </c>
      <c r="T88" s="65">
        <f>11967</f>
        <v>11967</v>
      </c>
      <c r="U88" s="65" t="str">
        <f>"－"</f>
        <v>－</v>
      </c>
      <c r="V88" s="65">
        <f>169766500</f>
        <v>169766500</v>
      </c>
      <c r="W88" s="65" t="str">
        <f>"－"</f>
        <v>－</v>
      </c>
      <c r="X88" s="69">
        <f>21</f>
        <v>21</v>
      </c>
    </row>
    <row r="89" spans="1:24">
      <c r="A89" s="60" t="s">
        <v>902</v>
      </c>
      <c r="B89" s="60" t="s">
        <v>310</v>
      </c>
      <c r="C89" s="60" t="s">
        <v>311</v>
      </c>
      <c r="D89" s="60" t="s">
        <v>312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f>16310</f>
        <v>16310</v>
      </c>
      <c r="L89" s="67" t="s">
        <v>833</v>
      </c>
      <c r="M89" s="66">
        <f>16640</f>
        <v>16640</v>
      </c>
      <c r="N89" s="67" t="s">
        <v>48</v>
      </c>
      <c r="O89" s="66">
        <f>15570</f>
        <v>15570</v>
      </c>
      <c r="P89" s="67" t="s">
        <v>50</v>
      </c>
      <c r="Q89" s="66">
        <f>15570</f>
        <v>15570</v>
      </c>
      <c r="R89" s="67" t="s">
        <v>50</v>
      </c>
      <c r="S89" s="68">
        <f>16169.52</f>
        <v>16169.52</v>
      </c>
      <c r="T89" s="65">
        <f>5045</f>
        <v>5045</v>
      </c>
      <c r="U89" s="65" t="str">
        <f>"－"</f>
        <v>－</v>
      </c>
      <c r="V89" s="65">
        <f>81803040</f>
        <v>81803040</v>
      </c>
      <c r="W89" s="65" t="str">
        <f>"－"</f>
        <v>－</v>
      </c>
      <c r="X89" s="69">
        <f>21</f>
        <v>21</v>
      </c>
    </row>
    <row r="90" spans="1:24">
      <c r="A90" s="60" t="s">
        <v>902</v>
      </c>
      <c r="B90" s="60" t="s">
        <v>313</v>
      </c>
      <c r="C90" s="60" t="s">
        <v>314</v>
      </c>
      <c r="D90" s="60" t="s">
        <v>315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10</v>
      </c>
      <c r="K90" s="66">
        <f>9890</f>
        <v>9890</v>
      </c>
      <c r="L90" s="67" t="s">
        <v>833</v>
      </c>
      <c r="M90" s="66">
        <f>10500</f>
        <v>10500</v>
      </c>
      <c r="N90" s="67" t="s">
        <v>72</v>
      </c>
      <c r="O90" s="66">
        <f>9300</f>
        <v>9300</v>
      </c>
      <c r="P90" s="67" t="s">
        <v>91</v>
      </c>
      <c r="Q90" s="66">
        <f>9360</f>
        <v>9360</v>
      </c>
      <c r="R90" s="67" t="s">
        <v>50</v>
      </c>
      <c r="S90" s="68">
        <f>9827.62</f>
        <v>9827.6200000000008</v>
      </c>
      <c r="T90" s="65">
        <f>22590</f>
        <v>22590</v>
      </c>
      <c r="U90" s="65">
        <f>30</f>
        <v>30</v>
      </c>
      <c r="V90" s="65">
        <f>219724900</f>
        <v>219724900</v>
      </c>
      <c r="W90" s="65">
        <f>297000</f>
        <v>297000</v>
      </c>
      <c r="X90" s="69">
        <f>21</f>
        <v>21</v>
      </c>
    </row>
    <row r="91" spans="1:24">
      <c r="A91" s="60" t="s">
        <v>902</v>
      </c>
      <c r="B91" s="60" t="s">
        <v>316</v>
      </c>
      <c r="C91" s="60" t="s">
        <v>317</v>
      </c>
      <c r="D91" s="60" t="s">
        <v>318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2644</f>
        <v>2644</v>
      </c>
      <c r="L91" s="67" t="s">
        <v>833</v>
      </c>
      <c r="M91" s="66">
        <f>2645</f>
        <v>2645</v>
      </c>
      <c r="N91" s="67" t="s">
        <v>817</v>
      </c>
      <c r="O91" s="66">
        <f>2604</f>
        <v>2604</v>
      </c>
      <c r="P91" s="67" t="s">
        <v>99</v>
      </c>
      <c r="Q91" s="66">
        <f>2609</f>
        <v>2609</v>
      </c>
      <c r="R91" s="67" t="s">
        <v>50</v>
      </c>
      <c r="S91" s="68">
        <f>2623.1</f>
        <v>2623.1</v>
      </c>
      <c r="T91" s="65">
        <f>288062</f>
        <v>288062</v>
      </c>
      <c r="U91" s="65">
        <f>224842</f>
        <v>224842</v>
      </c>
      <c r="V91" s="65">
        <f>756179520</f>
        <v>756179520</v>
      </c>
      <c r="W91" s="65">
        <f>590191256</f>
        <v>590191256</v>
      </c>
      <c r="X91" s="69">
        <f>21</f>
        <v>21</v>
      </c>
    </row>
    <row r="92" spans="1:24">
      <c r="A92" s="60" t="s">
        <v>902</v>
      </c>
      <c r="B92" s="60" t="s">
        <v>319</v>
      </c>
      <c r="C92" s="60" t="s">
        <v>320</v>
      </c>
      <c r="D92" s="60" t="s">
        <v>321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2297</f>
        <v>2297</v>
      </c>
      <c r="L92" s="67" t="s">
        <v>833</v>
      </c>
      <c r="M92" s="66">
        <f>2307</f>
        <v>2307</v>
      </c>
      <c r="N92" s="67" t="s">
        <v>100</v>
      </c>
      <c r="O92" s="66">
        <f>2246</f>
        <v>2246</v>
      </c>
      <c r="P92" s="67" t="s">
        <v>50</v>
      </c>
      <c r="Q92" s="66">
        <f>2251</f>
        <v>2251</v>
      </c>
      <c r="R92" s="67" t="s">
        <v>50</v>
      </c>
      <c r="S92" s="68">
        <f>2284.86</f>
        <v>2284.86</v>
      </c>
      <c r="T92" s="65">
        <f>96882</f>
        <v>96882</v>
      </c>
      <c r="U92" s="65">
        <f>57250</f>
        <v>57250</v>
      </c>
      <c r="V92" s="65">
        <f>221268979</f>
        <v>221268979</v>
      </c>
      <c r="W92" s="65">
        <f>130636485</f>
        <v>130636485</v>
      </c>
      <c r="X92" s="69">
        <f>21</f>
        <v>21</v>
      </c>
    </row>
    <row r="93" spans="1:24">
      <c r="A93" s="60" t="s">
        <v>902</v>
      </c>
      <c r="B93" s="60" t="s">
        <v>322</v>
      </c>
      <c r="C93" s="60" t="s">
        <v>323</v>
      </c>
      <c r="D93" s="60" t="s">
        <v>324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12160</f>
        <v>12160</v>
      </c>
      <c r="L93" s="67" t="s">
        <v>833</v>
      </c>
      <c r="M93" s="66">
        <f>12300</f>
        <v>12300</v>
      </c>
      <c r="N93" s="67" t="s">
        <v>65</v>
      </c>
      <c r="O93" s="66">
        <f>11800</f>
        <v>11800</v>
      </c>
      <c r="P93" s="67" t="s">
        <v>50</v>
      </c>
      <c r="Q93" s="66">
        <f>11810</f>
        <v>11810</v>
      </c>
      <c r="R93" s="67" t="s">
        <v>50</v>
      </c>
      <c r="S93" s="68">
        <f>12118.57</f>
        <v>12118.57</v>
      </c>
      <c r="T93" s="65">
        <f>10942</f>
        <v>10942</v>
      </c>
      <c r="U93" s="65">
        <f>1</f>
        <v>1</v>
      </c>
      <c r="V93" s="65">
        <f>131231900</f>
        <v>131231900</v>
      </c>
      <c r="W93" s="65">
        <f>12190</f>
        <v>12190</v>
      </c>
      <c r="X93" s="69">
        <f>21</f>
        <v>21</v>
      </c>
    </row>
    <row r="94" spans="1:24">
      <c r="A94" s="60" t="s">
        <v>902</v>
      </c>
      <c r="B94" s="60" t="s">
        <v>325</v>
      </c>
      <c r="C94" s="60" t="s">
        <v>326</v>
      </c>
      <c r="D94" s="60" t="s">
        <v>327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7870</f>
        <v>7870</v>
      </c>
      <c r="L94" s="67" t="s">
        <v>833</v>
      </c>
      <c r="M94" s="66">
        <f>8100</f>
        <v>8100</v>
      </c>
      <c r="N94" s="67" t="s">
        <v>91</v>
      </c>
      <c r="O94" s="66">
        <f>7630</f>
        <v>7630</v>
      </c>
      <c r="P94" s="67" t="s">
        <v>65</v>
      </c>
      <c r="Q94" s="66">
        <f>7690</f>
        <v>7690</v>
      </c>
      <c r="R94" s="67" t="s">
        <v>50</v>
      </c>
      <c r="S94" s="68">
        <f>7822.38</f>
        <v>7822.38</v>
      </c>
      <c r="T94" s="65">
        <f>692</f>
        <v>692</v>
      </c>
      <c r="U94" s="65" t="str">
        <f>"－"</f>
        <v>－</v>
      </c>
      <c r="V94" s="65">
        <f>5456580</f>
        <v>5456580</v>
      </c>
      <c r="W94" s="65" t="str">
        <f>"－"</f>
        <v>－</v>
      </c>
      <c r="X94" s="69">
        <f>21</f>
        <v>21</v>
      </c>
    </row>
    <row r="95" spans="1:24">
      <c r="A95" s="60" t="s">
        <v>902</v>
      </c>
      <c r="B95" s="60" t="s">
        <v>328</v>
      </c>
      <c r="C95" s="60" t="s">
        <v>329</v>
      </c>
      <c r="D95" s="60" t="s">
        <v>330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6190</f>
        <v>6190</v>
      </c>
      <c r="L95" s="67" t="s">
        <v>833</v>
      </c>
      <c r="M95" s="66">
        <f>6310</f>
        <v>6310</v>
      </c>
      <c r="N95" s="67" t="s">
        <v>815</v>
      </c>
      <c r="O95" s="66">
        <f>6010</f>
        <v>6010</v>
      </c>
      <c r="P95" s="67" t="s">
        <v>50</v>
      </c>
      <c r="Q95" s="66">
        <f>6010</f>
        <v>6010</v>
      </c>
      <c r="R95" s="67" t="s">
        <v>50</v>
      </c>
      <c r="S95" s="68">
        <f>6177.14</f>
        <v>6177.14</v>
      </c>
      <c r="T95" s="65">
        <f>2360178</f>
        <v>2360178</v>
      </c>
      <c r="U95" s="65">
        <f>1053</f>
        <v>1053</v>
      </c>
      <c r="V95" s="65">
        <f>14571192740</f>
        <v>14571192740</v>
      </c>
      <c r="W95" s="65">
        <f>6617260</f>
        <v>6617260</v>
      </c>
      <c r="X95" s="69">
        <f>21</f>
        <v>21</v>
      </c>
    </row>
    <row r="96" spans="1:24">
      <c r="A96" s="60" t="s">
        <v>902</v>
      </c>
      <c r="B96" s="60" t="s">
        <v>331</v>
      </c>
      <c r="C96" s="60" t="s">
        <v>332</v>
      </c>
      <c r="D96" s="60" t="s">
        <v>333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2926</f>
        <v>2926</v>
      </c>
      <c r="L96" s="67" t="s">
        <v>833</v>
      </c>
      <c r="M96" s="66">
        <f>2927</f>
        <v>2927</v>
      </c>
      <c r="N96" s="67" t="s">
        <v>833</v>
      </c>
      <c r="O96" s="66">
        <f>2712</f>
        <v>2712</v>
      </c>
      <c r="P96" s="67" t="s">
        <v>50</v>
      </c>
      <c r="Q96" s="66">
        <f>2713</f>
        <v>2713</v>
      </c>
      <c r="R96" s="67" t="s">
        <v>50</v>
      </c>
      <c r="S96" s="68">
        <f>2832.57</f>
        <v>2832.57</v>
      </c>
      <c r="T96" s="65">
        <f>1229622</f>
        <v>1229622</v>
      </c>
      <c r="U96" s="65" t="str">
        <f>"－"</f>
        <v>－</v>
      </c>
      <c r="V96" s="65">
        <f>3495987599</f>
        <v>3495987599</v>
      </c>
      <c r="W96" s="65" t="str">
        <f>"－"</f>
        <v>－</v>
      </c>
      <c r="X96" s="69">
        <f>21</f>
        <v>21</v>
      </c>
    </row>
    <row r="97" spans="1:24">
      <c r="A97" s="60" t="s">
        <v>902</v>
      </c>
      <c r="B97" s="60" t="s">
        <v>334</v>
      </c>
      <c r="C97" s="60" t="s">
        <v>335</v>
      </c>
      <c r="D97" s="60" t="s">
        <v>336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7600</f>
        <v>7600</v>
      </c>
      <c r="L97" s="67" t="s">
        <v>833</v>
      </c>
      <c r="M97" s="66">
        <f>8190</f>
        <v>8190</v>
      </c>
      <c r="N97" s="67" t="s">
        <v>815</v>
      </c>
      <c r="O97" s="66">
        <f>7210</f>
        <v>7210</v>
      </c>
      <c r="P97" s="67" t="s">
        <v>50</v>
      </c>
      <c r="Q97" s="66">
        <f>7240</f>
        <v>7240</v>
      </c>
      <c r="R97" s="67" t="s">
        <v>50</v>
      </c>
      <c r="S97" s="68">
        <f>7710</f>
        <v>7710</v>
      </c>
      <c r="T97" s="65">
        <f>329637</f>
        <v>329637</v>
      </c>
      <c r="U97" s="65">
        <f>99</f>
        <v>99</v>
      </c>
      <c r="V97" s="65">
        <f>2541859410</f>
        <v>2541859410</v>
      </c>
      <c r="W97" s="65">
        <f>750050</f>
        <v>750050</v>
      </c>
      <c r="X97" s="69">
        <f>21</f>
        <v>21</v>
      </c>
    </row>
    <row r="98" spans="1:24">
      <c r="A98" s="60" t="s">
        <v>902</v>
      </c>
      <c r="B98" s="60" t="s">
        <v>337</v>
      </c>
      <c r="C98" s="60" t="s">
        <v>338</v>
      </c>
      <c r="D98" s="60" t="s">
        <v>339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70200</f>
        <v>70200</v>
      </c>
      <c r="L98" s="67" t="s">
        <v>833</v>
      </c>
      <c r="M98" s="66">
        <f>74200</f>
        <v>74200</v>
      </c>
      <c r="N98" s="67" t="s">
        <v>815</v>
      </c>
      <c r="O98" s="66">
        <f>66500</f>
        <v>66500</v>
      </c>
      <c r="P98" s="67" t="s">
        <v>50</v>
      </c>
      <c r="Q98" s="66">
        <f>66500</f>
        <v>66500</v>
      </c>
      <c r="R98" s="67" t="s">
        <v>50</v>
      </c>
      <c r="S98" s="68">
        <f>71190.48</f>
        <v>71190.48</v>
      </c>
      <c r="T98" s="65">
        <f>3692</f>
        <v>3692</v>
      </c>
      <c r="U98" s="65">
        <f>1</f>
        <v>1</v>
      </c>
      <c r="V98" s="65">
        <f>261669400</f>
        <v>261669400</v>
      </c>
      <c r="W98" s="65">
        <f>73100</f>
        <v>73100</v>
      </c>
      <c r="X98" s="69">
        <f>21</f>
        <v>21</v>
      </c>
    </row>
    <row r="99" spans="1:24">
      <c r="A99" s="60" t="s">
        <v>902</v>
      </c>
      <c r="B99" s="60" t="s">
        <v>340</v>
      </c>
      <c r="C99" s="60" t="s">
        <v>341</v>
      </c>
      <c r="D99" s="60" t="s">
        <v>342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</v>
      </c>
      <c r="K99" s="66">
        <f>12410</f>
        <v>12410</v>
      </c>
      <c r="L99" s="67" t="s">
        <v>833</v>
      </c>
      <c r="M99" s="66">
        <f>12990</f>
        <v>12990</v>
      </c>
      <c r="N99" s="67" t="s">
        <v>90</v>
      </c>
      <c r="O99" s="66">
        <f>11690</f>
        <v>11690</v>
      </c>
      <c r="P99" s="67" t="s">
        <v>50</v>
      </c>
      <c r="Q99" s="66">
        <f>11700</f>
        <v>11700</v>
      </c>
      <c r="R99" s="67" t="s">
        <v>50</v>
      </c>
      <c r="S99" s="68">
        <f>12388.1</f>
        <v>12388.1</v>
      </c>
      <c r="T99" s="65">
        <f>2913315</f>
        <v>2913315</v>
      </c>
      <c r="U99" s="65">
        <f>247870</f>
        <v>247870</v>
      </c>
      <c r="V99" s="65">
        <f>36090362470</f>
        <v>36090362470</v>
      </c>
      <c r="W99" s="65">
        <f>3037093280</f>
        <v>3037093280</v>
      </c>
      <c r="X99" s="69">
        <f>21</f>
        <v>21</v>
      </c>
    </row>
    <row r="100" spans="1:24">
      <c r="A100" s="60" t="s">
        <v>902</v>
      </c>
      <c r="B100" s="60" t="s">
        <v>343</v>
      </c>
      <c r="C100" s="60" t="s">
        <v>344</v>
      </c>
      <c r="D100" s="60" t="s">
        <v>345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</v>
      </c>
      <c r="K100" s="66">
        <f>28600</f>
        <v>28600</v>
      </c>
      <c r="L100" s="67" t="s">
        <v>833</v>
      </c>
      <c r="M100" s="66">
        <f>29570</f>
        <v>29570</v>
      </c>
      <c r="N100" s="67" t="s">
        <v>820</v>
      </c>
      <c r="O100" s="66">
        <f>26550</f>
        <v>26550</v>
      </c>
      <c r="P100" s="67" t="s">
        <v>50</v>
      </c>
      <c r="Q100" s="66">
        <f>26610</f>
        <v>26610</v>
      </c>
      <c r="R100" s="67" t="s">
        <v>50</v>
      </c>
      <c r="S100" s="68">
        <f>28700.95</f>
        <v>28700.95</v>
      </c>
      <c r="T100" s="65">
        <f>511117</f>
        <v>511117</v>
      </c>
      <c r="U100" s="65">
        <f>143401</f>
        <v>143401</v>
      </c>
      <c r="V100" s="65">
        <f>14388140270</f>
        <v>14388140270</v>
      </c>
      <c r="W100" s="65">
        <f>3949787390</f>
        <v>3949787390</v>
      </c>
      <c r="X100" s="69">
        <f>21</f>
        <v>21</v>
      </c>
    </row>
    <row r="101" spans="1:24">
      <c r="A101" s="60" t="s">
        <v>902</v>
      </c>
      <c r="B101" s="60" t="s">
        <v>346</v>
      </c>
      <c r="C101" s="60" t="s">
        <v>347</v>
      </c>
      <c r="D101" s="60" t="s">
        <v>348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3885</f>
        <v>3885</v>
      </c>
      <c r="L101" s="67" t="s">
        <v>833</v>
      </c>
      <c r="M101" s="66">
        <f>4065</f>
        <v>4065</v>
      </c>
      <c r="N101" s="67" t="s">
        <v>820</v>
      </c>
      <c r="O101" s="66">
        <f>3685</f>
        <v>3685</v>
      </c>
      <c r="P101" s="67" t="s">
        <v>50</v>
      </c>
      <c r="Q101" s="66">
        <f>3690</f>
        <v>3690</v>
      </c>
      <c r="R101" s="67" t="s">
        <v>50</v>
      </c>
      <c r="S101" s="68">
        <f>3924.76</f>
        <v>3924.76</v>
      </c>
      <c r="T101" s="65">
        <f>1552030</f>
        <v>1552030</v>
      </c>
      <c r="U101" s="65">
        <f>211690</f>
        <v>211690</v>
      </c>
      <c r="V101" s="65">
        <f>6021576930</f>
        <v>6021576930</v>
      </c>
      <c r="W101" s="65">
        <f>805707380</f>
        <v>805707380</v>
      </c>
      <c r="X101" s="69">
        <f>21</f>
        <v>21</v>
      </c>
    </row>
    <row r="102" spans="1:24">
      <c r="A102" s="60" t="s">
        <v>902</v>
      </c>
      <c r="B102" s="60" t="s">
        <v>349</v>
      </c>
      <c r="C102" s="60" t="s">
        <v>350</v>
      </c>
      <c r="D102" s="60" t="s">
        <v>351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2566</f>
        <v>2566</v>
      </c>
      <c r="L102" s="67" t="s">
        <v>833</v>
      </c>
      <c r="M102" s="66">
        <f>2666</f>
        <v>2666</v>
      </c>
      <c r="N102" s="67" t="s">
        <v>820</v>
      </c>
      <c r="O102" s="66">
        <f>2432</f>
        <v>2432</v>
      </c>
      <c r="P102" s="67" t="s">
        <v>50</v>
      </c>
      <c r="Q102" s="66">
        <f>2441</f>
        <v>2441</v>
      </c>
      <c r="R102" s="67" t="s">
        <v>50</v>
      </c>
      <c r="S102" s="68">
        <f>2589.14</f>
        <v>2589.14</v>
      </c>
      <c r="T102" s="65">
        <f>165310</f>
        <v>165310</v>
      </c>
      <c r="U102" s="65">
        <f>19470</f>
        <v>19470</v>
      </c>
      <c r="V102" s="65">
        <f>424935330</f>
        <v>424935330</v>
      </c>
      <c r="W102" s="65">
        <f>49922710</f>
        <v>49922710</v>
      </c>
      <c r="X102" s="69">
        <f>21</f>
        <v>21</v>
      </c>
    </row>
    <row r="103" spans="1:24">
      <c r="A103" s="60" t="s">
        <v>902</v>
      </c>
      <c r="B103" s="60" t="s">
        <v>352</v>
      </c>
      <c r="C103" s="60" t="s">
        <v>353</v>
      </c>
      <c r="D103" s="60" t="s">
        <v>354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10</v>
      </c>
      <c r="K103" s="66">
        <f>4785</f>
        <v>4785</v>
      </c>
      <c r="L103" s="67" t="s">
        <v>833</v>
      </c>
      <c r="M103" s="66">
        <f>4940</f>
        <v>4940</v>
      </c>
      <c r="N103" s="67" t="s">
        <v>86</v>
      </c>
      <c r="O103" s="66">
        <f>4630</f>
        <v>4630</v>
      </c>
      <c r="P103" s="67" t="s">
        <v>91</v>
      </c>
      <c r="Q103" s="66">
        <f>4670</f>
        <v>4670</v>
      </c>
      <c r="R103" s="67" t="s">
        <v>50</v>
      </c>
      <c r="S103" s="68">
        <f>4780.71</f>
        <v>4780.71</v>
      </c>
      <c r="T103" s="65">
        <f>21430</f>
        <v>21430</v>
      </c>
      <c r="U103" s="65">
        <f>10</f>
        <v>10</v>
      </c>
      <c r="V103" s="65">
        <f>102735250</f>
        <v>102735250</v>
      </c>
      <c r="W103" s="65">
        <f>47100</f>
        <v>47100</v>
      </c>
      <c r="X103" s="69">
        <f>21</f>
        <v>21</v>
      </c>
    </row>
    <row r="104" spans="1:24">
      <c r="A104" s="60" t="s">
        <v>902</v>
      </c>
      <c r="B104" s="60" t="s">
        <v>355</v>
      </c>
      <c r="C104" s="60" t="s">
        <v>356</v>
      </c>
      <c r="D104" s="60" t="s">
        <v>357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f>8450</f>
        <v>8450</v>
      </c>
      <c r="L104" s="67" t="s">
        <v>833</v>
      </c>
      <c r="M104" s="66">
        <f>9340</f>
        <v>9340</v>
      </c>
      <c r="N104" s="67" t="s">
        <v>833</v>
      </c>
      <c r="O104" s="66">
        <f>7350</f>
        <v>7350</v>
      </c>
      <c r="P104" s="67" t="s">
        <v>86</v>
      </c>
      <c r="Q104" s="66">
        <f>9250</f>
        <v>9250</v>
      </c>
      <c r="R104" s="67" t="s">
        <v>50</v>
      </c>
      <c r="S104" s="68">
        <f>7996.19</f>
        <v>7996.19</v>
      </c>
      <c r="T104" s="65">
        <f>6389158</f>
        <v>6389158</v>
      </c>
      <c r="U104" s="65">
        <f>72397</f>
        <v>72397</v>
      </c>
      <c r="V104" s="65">
        <f>52627375445</f>
        <v>52627375445</v>
      </c>
      <c r="W104" s="65">
        <f>603208995</f>
        <v>603208995</v>
      </c>
      <c r="X104" s="69">
        <f>21</f>
        <v>21</v>
      </c>
    </row>
    <row r="105" spans="1:24">
      <c r="A105" s="60" t="s">
        <v>902</v>
      </c>
      <c r="B105" s="60" t="s">
        <v>358</v>
      </c>
      <c r="C105" s="60" t="s">
        <v>359</v>
      </c>
      <c r="D105" s="60" t="s">
        <v>360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2224</f>
        <v>2224</v>
      </c>
      <c r="L105" s="67" t="s">
        <v>833</v>
      </c>
      <c r="M105" s="66">
        <f>2324</f>
        <v>2324</v>
      </c>
      <c r="N105" s="67" t="s">
        <v>820</v>
      </c>
      <c r="O105" s="66">
        <f>2122</f>
        <v>2122</v>
      </c>
      <c r="P105" s="67" t="s">
        <v>245</v>
      </c>
      <c r="Q105" s="66">
        <f>2144</f>
        <v>2144</v>
      </c>
      <c r="R105" s="67" t="s">
        <v>50</v>
      </c>
      <c r="S105" s="68">
        <f>2251.33</f>
        <v>2251.33</v>
      </c>
      <c r="T105" s="65">
        <f>42230</f>
        <v>42230</v>
      </c>
      <c r="U105" s="65">
        <f>20</f>
        <v>20</v>
      </c>
      <c r="V105" s="65">
        <f>94863770</f>
        <v>94863770</v>
      </c>
      <c r="W105" s="65">
        <f>44300</f>
        <v>44300</v>
      </c>
      <c r="X105" s="69">
        <f>21</f>
        <v>21</v>
      </c>
    </row>
    <row r="106" spans="1:24">
      <c r="A106" s="60" t="s">
        <v>902</v>
      </c>
      <c r="B106" s="60" t="s">
        <v>361</v>
      </c>
      <c r="C106" s="60" t="s">
        <v>362</v>
      </c>
      <c r="D106" s="60" t="s">
        <v>363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10</v>
      </c>
      <c r="K106" s="66">
        <f>1328</f>
        <v>1328</v>
      </c>
      <c r="L106" s="67" t="s">
        <v>833</v>
      </c>
      <c r="M106" s="66">
        <f>1381</f>
        <v>1381</v>
      </c>
      <c r="N106" s="67" t="s">
        <v>820</v>
      </c>
      <c r="O106" s="66">
        <f>1267</f>
        <v>1267</v>
      </c>
      <c r="P106" s="67" t="s">
        <v>50</v>
      </c>
      <c r="Q106" s="66">
        <f>1279</f>
        <v>1279</v>
      </c>
      <c r="R106" s="67" t="s">
        <v>50</v>
      </c>
      <c r="S106" s="68">
        <f>1350.38</f>
        <v>1350.38</v>
      </c>
      <c r="T106" s="65">
        <f>173620</f>
        <v>173620</v>
      </c>
      <c r="U106" s="65">
        <f>10</f>
        <v>10</v>
      </c>
      <c r="V106" s="65">
        <f>231254070</f>
        <v>231254070</v>
      </c>
      <c r="W106" s="65">
        <f>13410</f>
        <v>13410</v>
      </c>
      <c r="X106" s="69">
        <f>21</f>
        <v>21</v>
      </c>
    </row>
    <row r="107" spans="1:24">
      <c r="A107" s="60" t="s">
        <v>902</v>
      </c>
      <c r="B107" s="60" t="s">
        <v>364</v>
      </c>
      <c r="C107" s="60" t="s">
        <v>365</v>
      </c>
      <c r="D107" s="60" t="s">
        <v>366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35550</f>
        <v>35550</v>
      </c>
      <c r="L107" s="67" t="s">
        <v>833</v>
      </c>
      <c r="M107" s="66">
        <f>37200</f>
        <v>37200</v>
      </c>
      <c r="N107" s="67" t="s">
        <v>820</v>
      </c>
      <c r="O107" s="66">
        <f>33750</f>
        <v>33750</v>
      </c>
      <c r="P107" s="67" t="s">
        <v>50</v>
      </c>
      <c r="Q107" s="66">
        <f>33750</f>
        <v>33750</v>
      </c>
      <c r="R107" s="67" t="s">
        <v>50</v>
      </c>
      <c r="S107" s="68">
        <f>35940.48</f>
        <v>35940.480000000003</v>
      </c>
      <c r="T107" s="65">
        <f>210953</f>
        <v>210953</v>
      </c>
      <c r="U107" s="65">
        <f>14001</f>
        <v>14001</v>
      </c>
      <c r="V107" s="65">
        <f>7520741150</f>
        <v>7520741150</v>
      </c>
      <c r="W107" s="65">
        <f>482756500</f>
        <v>482756500</v>
      </c>
      <c r="X107" s="69">
        <f>21</f>
        <v>21</v>
      </c>
    </row>
    <row r="108" spans="1:24">
      <c r="A108" s="60" t="s">
        <v>902</v>
      </c>
      <c r="B108" s="60" t="s">
        <v>367</v>
      </c>
      <c r="C108" s="60" t="s">
        <v>368</v>
      </c>
      <c r="D108" s="60" t="s">
        <v>369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2710</f>
        <v>2710</v>
      </c>
      <c r="L108" s="67" t="s">
        <v>833</v>
      </c>
      <c r="M108" s="66">
        <f>2710</f>
        <v>2710</v>
      </c>
      <c r="N108" s="67" t="s">
        <v>833</v>
      </c>
      <c r="O108" s="66">
        <f>2519</f>
        <v>2519</v>
      </c>
      <c r="P108" s="67" t="s">
        <v>100</v>
      </c>
      <c r="Q108" s="66">
        <f>2634</f>
        <v>2634</v>
      </c>
      <c r="R108" s="67" t="s">
        <v>50</v>
      </c>
      <c r="S108" s="68">
        <f>2616.57</f>
        <v>2616.5700000000002</v>
      </c>
      <c r="T108" s="65">
        <f>12150</f>
        <v>12150</v>
      </c>
      <c r="U108" s="65">
        <f>7</f>
        <v>7</v>
      </c>
      <c r="V108" s="65">
        <f>31737588</f>
        <v>31737588</v>
      </c>
      <c r="W108" s="65">
        <f>18192</f>
        <v>18192</v>
      </c>
      <c r="X108" s="69">
        <f>21</f>
        <v>21</v>
      </c>
    </row>
    <row r="109" spans="1:24">
      <c r="A109" s="60" t="s">
        <v>902</v>
      </c>
      <c r="B109" s="60" t="s">
        <v>370</v>
      </c>
      <c r="C109" s="60" t="s">
        <v>371</v>
      </c>
      <c r="D109" s="60" t="s">
        <v>372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3750</f>
        <v>3750</v>
      </c>
      <c r="L109" s="67" t="s">
        <v>833</v>
      </c>
      <c r="M109" s="66">
        <f>3820</f>
        <v>3820</v>
      </c>
      <c r="N109" s="67" t="s">
        <v>820</v>
      </c>
      <c r="O109" s="66">
        <f>3620</f>
        <v>3620</v>
      </c>
      <c r="P109" s="67" t="s">
        <v>245</v>
      </c>
      <c r="Q109" s="66">
        <f>3620</f>
        <v>3620</v>
      </c>
      <c r="R109" s="67" t="s">
        <v>50</v>
      </c>
      <c r="S109" s="68">
        <f>3715.48</f>
        <v>3715.48</v>
      </c>
      <c r="T109" s="65">
        <f>2514</f>
        <v>2514</v>
      </c>
      <c r="U109" s="65">
        <f>1</f>
        <v>1</v>
      </c>
      <c r="V109" s="65">
        <f>9353300</f>
        <v>9353300</v>
      </c>
      <c r="W109" s="65">
        <f>3725</f>
        <v>3725</v>
      </c>
      <c r="X109" s="69">
        <f>21</f>
        <v>21</v>
      </c>
    </row>
    <row r="110" spans="1:24">
      <c r="A110" s="60" t="s">
        <v>902</v>
      </c>
      <c r="B110" s="60" t="s">
        <v>373</v>
      </c>
      <c r="C110" s="60" t="s">
        <v>374</v>
      </c>
      <c r="D110" s="60" t="s">
        <v>375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3360</f>
        <v>3360</v>
      </c>
      <c r="L110" s="67" t="s">
        <v>833</v>
      </c>
      <c r="M110" s="66">
        <f>3665</f>
        <v>3665</v>
      </c>
      <c r="N110" s="67" t="s">
        <v>150</v>
      </c>
      <c r="O110" s="66">
        <f>3175</f>
        <v>3175</v>
      </c>
      <c r="P110" s="67" t="s">
        <v>91</v>
      </c>
      <c r="Q110" s="66">
        <f>3325</f>
        <v>3325</v>
      </c>
      <c r="R110" s="67" t="s">
        <v>50</v>
      </c>
      <c r="S110" s="68">
        <f>3432.62</f>
        <v>3432.62</v>
      </c>
      <c r="T110" s="65">
        <f>897933</f>
        <v>897933</v>
      </c>
      <c r="U110" s="65">
        <f>156</f>
        <v>156</v>
      </c>
      <c r="V110" s="65">
        <f>3077428900</f>
        <v>3077428900</v>
      </c>
      <c r="W110" s="65">
        <f>516665</f>
        <v>516665</v>
      </c>
      <c r="X110" s="69">
        <f>21</f>
        <v>21</v>
      </c>
    </row>
    <row r="111" spans="1:24">
      <c r="A111" s="60" t="s">
        <v>902</v>
      </c>
      <c r="B111" s="60" t="s">
        <v>376</v>
      </c>
      <c r="C111" s="60" t="s">
        <v>845</v>
      </c>
      <c r="D111" s="60" t="s">
        <v>378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f>43100</f>
        <v>43100</v>
      </c>
      <c r="L111" s="67" t="s">
        <v>833</v>
      </c>
      <c r="M111" s="66">
        <f>43700</f>
        <v>43700</v>
      </c>
      <c r="N111" s="67" t="s">
        <v>119</v>
      </c>
      <c r="O111" s="66">
        <f>42500</f>
        <v>42500</v>
      </c>
      <c r="P111" s="67" t="s">
        <v>817</v>
      </c>
      <c r="Q111" s="66">
        <f>43000</f>
        <v>43000</v>
      </c>
      <c r="R111" s="67" t="s">
        <v>50</v>
      </c>
      <c r="S111" s="68">
        <f>43285.71</f>
        <v>43285.71</v>
      </c>
      <c r="T111" s="65">
        <f>9795</f>
        <v>9795</v>
      </c>
      <c r="U111" s="65">
        <f>460</f>
        <v>460</v>
      </c>
      <c r="V111" s="65">
        <f>423407335</f>
        <v>423407335</v>
      </c>
      <c r="W111" s="65">
        <f>19825885</f>
        <v>19825885</v>
      </c>
      <c r="X111" s="69">
        <f>21</f>
        <v>21</v>
      </c>
    </row>
    <row r="112" spans="1:24">
      <c r="A112" s="60" t="s">
        <v>902</v>
      </c>
      <c r="B112" s="60" t="s">
        <v>379</v>
      </c>
      <c r="C112" s="60" t="s">
        <v>380</v>
      </c>
      <c r="D112" s="60" t="s">
        <v>381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f>1130</f>
        <v>1130</v>
      </c>
      <c r="L112" s="67" t="s">
        <v>72</v>
      </c>
      <c r="M112" s="66">
        <f>1130</f>
        <v>1130</v>
      </c>
      <c r="N112" s="67" t="s">
        <v>72</v>
      </c>
      <c r="O112" s="66">
        <f>1130</f>
        <v>1130</v>
      </c>
      <c r="P112" s="67" t="s">
        <v>72</v>
      </c>
      <c r="Q112" s="66">
        <f>1130</f>
        <v>1130</v>
      </c>
      <c r="R112" s="67" t="s">
        <v>72</v>
      </c>
      <c r="S112" s="68">
        <f>1130</f>
        <v>1130</v>
      </c>
      <c r="T112" s="65">
        <f>90</f>
        <v>90</v>
      </c>
      <c r="U112" s="65" t="str">
        <f>"－"</f>
        <v>－</v>
      </c>
      <c r="V112" s="65">
        <f>101700</f>
        <v>101700</v>
      </c>
      <c r="W112" s="65" t="str">
        <f>"－"</f>
        <v>－</v>
      </c>
      <c r="X112" s="69">
        <f>1</f>
        <v>1</v>
      </c>
    </row>
    <row r="113" spans="1:24">
      <c r="A113" s="60" t="s">
        <v>902</v>
      </c>
      <c r="B113" s="60" t="s">
        <v>382</v>
      </c>
      <c r="C113" s="60" t="s">
        <v>383</v>
      </c>
      <c r="D113" s="60" t="s">
        <v>384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16880</f>
        <v>16880</v>
      </c>
      <c r="L113" s="67" t="s">
        <v>833</v>
      </c>
      <c r="M113" s="66">
        <f>17400</f>
        <v>17400</v>
      </c>
      <c r="N113" s="67" t="s">
        <v>65</v>
      </c>
      <c r="O113" s="66">
        <f>15670</f>
        <v>15670</v>
      </c>
      <c r="P113" s="67" t="s">
        <v>50</v>
      </c>
      <c r="Q113" s="66">
        <f>15730</f>
        <v>15730</v>
      </c>
      <c r="R113" s="67" t="s">
        <v>50</v>
      </c>
      <c r="S113" s="68">
        <f>16727.14</f>
        <v>16727.14</v>
      </c>
      <c r="T113" s="65">
        <f>2240550</f>
        <v>2240550</v>
      </c>
      <c r="U113" s="65">
        <f>25610</f>
        <v>25610</v>
      </c>
      <c r="V113" s="65">
        <f>37382694700</f>
        <v>37382694700</v>
      </c>
      <c r="W113" s="65">
        <f>437331400</f>
        <v>437331400</v>
      </c>
      <c r="X113" s="69">
        <f>21</f>
        <v>21</v>
      </c>
    </row>
    <row r="114" spans="1:24">
      <c r="A114" s="60" t="s">
        <v>902</v>
      </c>
      <c r="B114" s="60" t="s">
        <v>385</v>
      </c>
      <c r="C114" s="60" t="s">
        <v>386</v>
      </c>
      <c r="D114" s="60" t="s">
        <v>387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f>2759</f>
        <v>2759</v>
      </c>
      <c r="L114" s="67" t="s">
        <v>833</v>
      </c>
      <c r="M114" s="66">
        <f>2852</f>
        <v>2852</v>
      </c>
      <c r="N114" s="67" t="s">
        <v>50</v>
      </c>
      <c r="O114" s="66">
        <f>2714</f>
        <v>2714</v>
      </c>
      <c r="P114" s="67" t="s">
        <v>65</v>
      </c>
      <c r="Q114" s="66">
        <f>2851</f>
        <v>2851</v>
      </c>
      <c r="R114" s="67" t="s">
        <v>50</v>
      </c>
      <c r="S114" s="68">
        <f>2766.19</f>
        <v>2766.19</v>
      </c>
      <c r="T114" s="65">
        <f>432810</f>
        <v>432810</v>
      </c>
      <c r="U114" s="65">
        <f>2820</f>
        <v>2820</v>
      </c>
      <c r="V114" s="65">
        <f>1201107770</f>
        <v>1201107770</v>
      </c>
      <c r="W114" s="65">
        <f>7701180</f>
        <v>7701180</v>
      </c>
      <c r="X114" s="69">
        <f>21</f>
        <v>21</v>
      </c>
    </row>
    <row r="115" spans="1:24">
      <c r="A115" s="60" t="s">
        <v>902</v>
      </c>
      <c r="B115" s="60" t="s">
        <v>388</v>
      </c>
      <c r="C115" s="60" t="s">
        <v>389</v>
      </c>
      <c r="D115" s="60" t="s">
        <v>390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20950</f>
        <v>20950</v>
      </c>
      <c r="L115" s="67" t="s">
        <v>833</v>
      </c>
      <c r="M115" s="66">
        <f>21650</f>
        <v>21650</v>
      </c>
      <c r="N115" s="67" t="s">
        <v>119</v>
      </c>
      <c r="O115" s="66">
        <f>20230</f>
        <v>20230</v>
      </c>
      <c r="P115" s="67" t="s">
        <v>50</v>
      </c>
      <c r="Q115" s="66">
        <f>20330</f>
        <v>20330</v>
      </c>
      <c r="R115" s="67" t="s">
        <v>50</v>
      </c>
      <c r="S115" s="68">
        <f>21162.38</f>
        <v>21162.38</v>
      </c>
      <c r="T115" s="65">
        <f>99529612</f>
        <v>99529612</v>
      </c>
      <c r="U115" s="65">
        <f>126663</f>
        <v>126663</v>
      </c>
      <c r="V115" s="65">
        <f>2102084513383</f>
        <v>2102084513383</v>
      </c>
      <c r="W115" s="65">
        <f>2628984613</f>
        <v>2628984613</v>
      </c>
      <c r="X115" s="69">
        <f>21</f>
        <v>21</v>
      </c>
    </row>
    <row r="116" spans="1:24">
      <c r="A116" s="60" t="s">
        <v>902</v>
      </c>
      <c r="B116" s="60" t="s">
        <v>391</v>
      </c>
      <c r="C116" s="60" t="s">
        <v>392</v>
      </c>
      <c r="D116" s="60" t="s">
        <v>393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</v>
      </c>
      <c r="K116" s="66">
        <f>1303</f>
        <v>1303</v>
      </c>
      <c r="L116" s="67" t="s">
        <v>833</v>
      </c>
      <c r="M116" s="66">
        <f>1324</f>
        <v>1324</v>
      </c>
      <c r="N116" s="67" t="s">
        <v>833</v>
      </c>
      <c r="O116" s="66">
        <f>1281</f>
        <v>1281</v>
      </c>
      <c r="P116" s="67" t="s">
        <v>119</v>
      </c>
      <c r="Q116" s="66">
        <f>1319</f>
        <v>1319</v>
      </c>
      <c r="R116" s="67" t="s">
        <v>50</v>
      </c>
      <c r="S116" s="68">
        <f>1293.95</f>
        <v>1293.95</v>
      </c>
      <c r="T116" s="65">
        <f>6897361</f>
        <v>6897361</v>
      </c>
      <c r="U116" s="65">
        <f>104</f>
        <v>104</v>
      </c>
      <c r="V116" s="65">
        <f>8951131908</f>
        <v>8951131908</v>
      </c>
      <c r="W116" s="65">
        <f>137089</f>
        <v>137089</v>
      </c>
      <c r="X116" s="69">
        <f>21</f>
        <v>21</v>
      </c>
    </row>
    <row r="117" spans="1:24">
      <c r="A117" s="60" t="s">
        <v>902</v>
      </c>
      <c r="B117" s="60" t="s">
        <v>394</v>
      </c>
      <c r="C117" s="60" t="s">
        <v>395</v>
      </c>
      <c r="D117" s="60" t="s">
        <v>396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8910</f>
        <v>8910</v>
      </c>
      <c r="L117" s="67" t="s">
        <v>833</v>
      </c>
      <c r="M117" s="66">
        <f>9790</f>
        <v>9790</v>
      </c>
      <c r="N117" s="67" t="s">
        <v>820</v>
      </c>
      <c r="O117" s="66">
        <f>8500</f>
        <v>8500</v>
      </c>
      <c r="P117" s="67" t="s">
        <v>817</v>
      </c>
      <c r="Q117" s="66">
        <f>9150</f>
        <v>9150</v>
      </c>
      <c r="R117" s="67" t="s">
        <v>50</v>
      </c>
      <c r="S117" s="68">
        <f>9350.48</f>
        <v>9350.48</v>
      </c>
      <c r="T117" s="65">
        <f>8950</f>
        <v>8950</v>
      </c>
      <c r="U117" s="65" t="str">
        <f>"－"</f>
        <v>－</v>
      </c>
      <c r="V117" s="65">
        <f>84572600</f>
        <v>84572600</v>
      </c>
      <c r="W117" s="65" t="str">
        <f>"－"</f>
        <v>－</v>
      </c>
      <c r="X117" s="69">
        <f>21</f>
        <v>21</v>
      </c>
    </row>
    <row r="118" spans="1:24">
      <c r="A118" s="60" t="s">
        <v>902</v>
      </c>
      <c r="B118" s="60" t="s">
        <v>397</v>
      </c>
      <c r="C118" s="60" t="s">
        <v>398</v>
      </c>
      <c r="D118" s="60" t="s">
        <v>399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f>7500</f>
        <v>7500</v>
      </c>
      <c r="L118" s="67" t="s">
        <v>833</v>
      </c>
      <c r="M118" s="66">
        <f>7630</f>
        <v>7630</v>
      </c>
      <c r="N118" s="67" t="s">
        <v>817</v>
      </c>
      <c r="O118" s="66">
        <f>7040</f>
        <v>7040</v>
      </c>
      <c r="P118" s="67" t="s">
        <v>99</v>
      </c>
      <c r="Q118" s="66">
        <f>7260</f>
        <v>7260</v>
      </c>
      <c r="R118" s="67" t="s">
        <v>50</v>
      </c>
      <c r="S118" s="68">
        <f>7306.67</f>
        <v>7306.67</v>
      </c>
      <c r="T118" s="65">
        <f>3480</f>
        <v>3480</v>
      </c>
      <c r="U118" s="65" t="str">
        <f>"－"</f>
        <v>－</v>
      </c>
      <c r="V118" s="65">
        <f>25476800</f>
        <v>25476800</v>
      </c>
      <c r="W118" s="65" t="str">
        <f>"－"</f>
        <v>－</v>
      </c>
      <c r="X118" s="69">
        <f>21</f>
        <v>21</v>
      </c>
    </row>
    <row r="119" spans="1:24">
      <c r="A119" s="60" t="s">
        <v>902</v>
      </c>
      <c r="B119" s="60" t="s">
        <v>400</v>
      </c>
      <c r="C119" s="60" t="s">
        <v>401</v>
      </c>
      <c r="D119" s="60" t="s">
        <v>402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1462</f>
        <v>1462</v>
      </c>
      <c r="L119" s="67" t="s">
        <v>100</v>
      </c>
      <c r="M119" s="66">
        <f>1462</f>
        <v>1462</v>
      </c>
      <c r="N119" s="67" t="s">
        <v>100</v>
      </c>
      <c r="O119" s="66">
        <f>1462</f>
        <v>1462</v>
      </c>
      <c r="P119" s="67" t="s">
        <v>100</v>
      </c>
      <c r="Q119" s="66">
        <f>1462</f>
        <v>1462</v>
      </c>
      <c r="R119" s="67" t="s">
        <v>100</v>
      </c>
      <c r="S119" s="68">
        <f>1462</f>
        <v>1462</v>
      </c>
      <c r="T119" s="65">
        <f>10</f>
        <v>10</v>
      </c>
      <c r="U119" s="65" t="str">
        <f>"－"</f>
        <v>－</v>
      </c>
      <c r="V119" s="65">
        <f>14620</f>
        <v>14620</v>
      </c>
      <c r="W119" s="65" t="str">
        <f>"－"</f>
        <v>－</v>
      </c>
      <c r="X119" s="69">
        <f>1</f>
        <v>1</v>
      </c>
    </row>
    <row r="120" spans="1:24">
      <c r="A120" s="60" t="s">
        <v>902</v>
      </c>
      <c r="B120" s="60" t="s">
        <v>403</v>
      </c>
      <c r="C120" s="60" t="s">
        <v>404</v>
      </c>
      <c r="D120" s="60" t="s">
        <v>405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f>696</f>
        <v>696</v>
      </c>
      <c r="L120" s="67" t="s">
        <v>833</v>
      </c>
      <c r="M120" s="66">
        <f>730</f>
        <v>730</v>
      </c>
      <c r="N120" s="67" t="s">
        <v>819</v>
      </c>
      <c r="O120" s="66">
        <f>656</f>
        <v>656</v>
      </c>
      <c r="P120" s="67" t="s">
        <v>99</v>
      </c>
      <c r="Q120" s="66">
        <f>694</f>
        <v>694</v>
      </c>
      <c r="R120" s="67" t="s">
        <v>50</v>
      </c>
      <c r="S120" s="68">
        <f>704.9</f>
        <v>704.9</v>
      </c>
      <c r="T120" s="65">
        <f>7050</f>
        <v>7050</v>
      </c>
      <c r="U120" s="65" t="str">
        <f>"－"</f>
        <v>－</v>
      </c>
      <c r="V120" s="65">
        <f>4986420</f>
        <v>4986420</v>
      </c>
      <c r="W120" s="65" t="str">
        <f>"－"</f>
        <v>－</v>
      </c>
      <c r="X120" s="69">
        <f>21</f>
        <v>21</v>
      </c>
    </row>
    <row r="121" spans="1:24">
      <c r="A121" s="60" t="s">
        <v>902</v>
      </c>
      <c r="B121" s="60" t="s">
        <v>406</v>
      </c>
      <c r="C121" s="60" t="s">
        <v>407</v>
      </c>
      <c r="D121" s="60" t="s">
        <v>408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10</v>
      </c>
      <c r="K121" s="66">
        <f>661</f>
        <v>661</v>
      </c>
      <c r="L121" s="67" t="s">
        <v>817</v>
      </c>
      <c r="M121" s="66">
        <f>752</f>
        <v>752</v>
      </c>
      <c r="N121" s="67" t="s">
        <v>150</v>
      </c>
      <c r="O121" s="66">
        <f>661</f>
        <v>661</v>
      </c>
      <c r="P121" s="67" t="s">
        <v>817</v>
      </c>
      <c r="Q121" s="66">
        <f>704</f>
        <v>704</v>
      </c>
      <c r="R121" s="67" t="s">
        <v>245</v>
      </c>
      <c r="S121" s="68">
        <f>709.44</f>
        <v>709.44</v>
      </c>
      <c r="T121" s="65">
        <f>9660</f>
        <v>9660</v>
      </c>
      <c r="U121" s="65" t="str">
        <f>"－"</f>
        <v>－</v>
      </c>
      <c r="V121" s="65">
        <f>6824230</f>
        <v>6824230</v>
      </c>
      <c r="W121" s="65" t="str">
        <f>"－"</f>
        <v>－</v>
      </c>
      <c r="X121" s="69">
        <f>18</f>
        <v>18</v>
      </c>
    </row>
    <row r="122" spans="1:24">
      <c r="A122" s="60" t="s">
        <v>902</v>
      </c>
      <c r="B122" s="60" t="s">
        <v>409</v>
      </c>
      <c r="C122" s="60" t="s">
        <v>410</v>
      </c>
      <c r="D122" s="60" t="s">
        <v>411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</v>
      </c>
      <c r="K122" s="66">
        <f>18650</f>
        <v>18650</v>
      </c>
      <c r="L122" s="67" t="s">
        <v>833</v>
      </c>
      <c r="M122" s="66">
        <f>18940</f>
        <v>18940</v>
      </c>
      <c r="N122" s="67" t="s">
        <v>833</v>
      </c>
      <c r="O122" s="66">
        <f>17590</f>
        <v>17590</v>
      </c>
      <c r="P122" s="67" t="s">
        <v>50</v>
      </c>
      <c r="Q122" s="66">
        <f>17650</f>
        <v>17650</v>
      </c>
      <c r="R122" s="67" t="s">
        <v>50</v>
      </c>
      <c r="S122" s="68">
        <f>18413.33</f>
        <v>18413.330000000002</v>
      </c>
      <c r="T122" s="65">
        <f>52180</f>
        <v>52180</v>
      </c>
      <c r="U122" s="65">
        <f>5301</f>
        <v>5301</v>
      </c>
      <c r="V122" s="65">
        <f>961566994</f>
        <v>961566994</v>
      </c>
      <c r="W122" s="65">
        <f>98843014</f>
        <v>98843014</v>
      </c>
      <c r="X122" s="69">
        <f>21</f>
        <v>21</v>
      </c>
    </row>
    <row r="123" spans="1:24">
      <c r="A123" s="60" t="s">
        <v>902</v>
      </c>
      <c r="B123" s="60" t="s">
        <v>412</v>
      </c>
      <c r="C123" s="60" t="s">
        <v>413</v>
      </c>
      <c r="D123" s="60" t="s">
        <v>414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f>1866</f>
        <v>1866</v>
      </c>
      <c r="L123" s="67" t="s">
        <v>833</v>
      </c>
      <c r="M123" s="66">
        <f>1900</f>
        <v>1900</v>
      </c>
      <c r="N123" s="67" t="s">
        <v>119</v>
      </c>
      <c r="O123" s="66">
        <f>1838</f>
        <v>1838</v>
      </c>
      <c r="P123" s="67" t="s">
        <v>50</v>
      </c>
      <c r="Q123" s="66">
        <f>1840</f>
        <v>1840</v>
      </c>
      <c r="R123" s="67" t="s">
        <v>50</v>
      </c>
      <c r="S123" s="68">
        <f>1878.9</f>
        <v>1878.9</v>
      </c>
      <c r="T123" s="65">
        <f>59121</f>
        <v>59121</v>
      </c>
      <c r="U123" s="65">
        <f>2</f>
        <v>2</v>
      </c>
      <c r="V123" s="65">
        <f>111311149</f>
        <v>111311149</v>
      </c>
      <c r="W123" s="65">
        <f>3773</f>
        <v>3773</v>
      </c>
      <c r="X123" s="69">
        <f>21</f>
        <v>21</v>
      </c>
    </row>
    <row r="124" spans="1:24">
      <c r="A124" s="60" t="s">
        <v>902</v>
      </c>
      <c r="B124" s="60" t="s">
        <v>415</v>
      </c>
      <c r="C124" s="60" t="s">
        <v>416</v>
      </c>
      <c r="D124" s="60" t="s">
        <v>417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f>22290</f>
        <v>22290</v>
      </c>
      <c r="L124" s="67" t="s">
        <v>833</v>
      </c>
      <c r="M124" s="66">
        <f>23050</f>
        <v>23050</v>
      </c>
      <c r="N124" s="67" t="s">
        <v>119</v>
      </c>
      <c r="O124" s="66">
        <f>21540</f>
        <v>21540</v>
      </c>
      <c r="P124" s="67" t="s">
        <v>50</v>
      </c>
      <c r="Q124" s="66">
        <f>21620</f>
        <v>21620</v>
      </c>
      <c r="R124" s="67" t="s">
        <v>50</v>
      </c>
      <c r="S124" s="68">
        <f>22533.81</f>
        <v>22533.81</v>
      </c>
      <c r="T124" s="65">
        <f>9288820</f>
        <v>9288820</v>
      </c>
      <c r="U124" s="65">
        <f>640</f>
        <v>640</v>
      </c>
      <c r="V124" s="65">
        <f>208821649930</f>
        <v>208821649930</v>
      </c>
      <c r="W124" s="65">
        <f>14166230</f>
        <v>14166230</v>
      </c>
      <c r="X124" s="69">
        <f>21</f>
        <v>21</v>
      </c>
    </row>
    <row r="125" spans="1:24">
      <c r="A125" s="60" t="s">
        <v>902</v>
      </c>
      <c r="B125" s="60" t="s">
        <v>418</v>
      </c>
      <c r="C125" s="60" t="s">
        <v>419</v>
      </c>
      <c r="D125" s="60" t="s">
        <v>420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3475</f>
        <v>3475</v>
      </c>
      <c r="L125" s="67" t="s">
        <v>833</v>
      </c>
      <c r="M125" s="66">
        <f>3530</f>
        <v>3530</v>
      </c>
      <c r="N125" s="67" t="s">
        <v>833</v>
      </c>
      <c r="O125" s="66">
        <f>3410</f>
        <v>3410</v>
      </c>
      <c r="P125" s="67" t="s">
        <v>119</v>
      </c>
      <c r="Q125" s="66">
        <f>3515</f>
        <v>3515</v>
      </c>
      <c r="R125" s="67" t="s">
        <v>50</v>
      </c>
      <c r="S125" s="68">
        <f>3450.24</f>
        <v>3450.24</v>
      </c>
      <c r="T125" s="65">
        <f>344590</f>
        <v>344590</v>
      </c>
      <c r="U125" s="65">
        <f>28250</f>
        <v>28250</v>
      </c>
      <c r="V125" s="65">
        <f>1189731247</f>
        <v>1189731247</v>
      </c>
      <c r="W125" s="65">
        <f>97843447</f>
        <v>97843447</v>
      </c>
      <c r="X125" s="69">
        <f>21</f>
        <v>21</v>
      </c>
    </row>
    <row r="126" spans="1:24">
      <c r="A126" s="60" t="s">
        <v>902</v>
      </c>
      <c r="B126" s="60" t="s">
        <v>421</v>
      </c>
      <c r="C126" s="60" t="s">
        <v>422</v>
      </c>
      <c r="D126" s="60" t="s">
        <v>423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f>700</f>
        <v>700</v>
      </c>
      <c r="L126" s="67" t="s">
        <v>65</v>
      </c>
      <c r="M126" s="66">
        <f>710</f>
        <v>710</v>
      </c>
      <c r="N126" s="67" t="s">
        <v>821</v>
      </c>
      <c r="O126" s="66">
        <f>690</f>
        <v>690</v>
      </c>
      <c r="P126" s="67" t="s">
        <v>50</v>
      </c>
      <c r="Q126" s="66">
        <f>690</f>
        <v>690</v>
      </c>
      <c r="R126" s="67" t="s">
        <v>50</v>
      </c>
      <c r="S126" s="68">
        <f>700.5</f>
        <v>700.5</v>
      </c>
      <c r="T126" s="65">
        <f>260</f>
        <v>260</v>
      </c>
      <c r="U126" s="65" t="str">
        <f>"－"</f>
        <v>－</v>
      </c>
      <c r="V126" s="65">
        <f>181480</f>
        <v>181480</v>
      </c>
      <c r="W126" s="65" t="str">
        <f>"－"</f>
        <v>－</v>
      </c>
      <c r="X126" s="69">
        <f>4</f>
        <v>4</v>
      </c>
    </row>
    <row r="127" spans="1:24">
      <c r="A127" s="60" t="s">
        <v>902</v>
      </c>
      <c r="B127" s="60" t="s">
        <v>424</v>
      </c>
      <c r="C127" s="60" t="s">
        <v>425</v>
      </c>
      <c r="D127" s="60" t="s">
        <v>841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f>1299</f>
        <v>1299</v>
      </c>
      <c r="L127" s="67" t="s">
        <v>833</v>
      </c>
      <c r="M127" s="66">
        <f>1314</f>
        <v>1314</v>
      </c>
      <c r="N127" s="67" t="s">
        <v>815</v>
      </c>
      <c r="O127" s="66">
        <f>1255</f>
        <v>1255</v>
      </c>
      <c r="P127" s="67" t="s">
        <v>50</v>
      </c>
      <c r="Q127" s="66">
        <f>1255</f>
        <v>1255</v>
      </c>
      <c r="R127" s="67" t="s">
        <v>50</v>
      </c>
      <c r="S127" s="68">
        <f>1293</f>
        <v>1293</v>
      </c>
      <c r="T127" s="65">
        <f>1670</f>
        <v>1670</v>
      </c>
      <c r="U127" s="65">
        <f>10</f>
        <v>10</v>
      </c>
      <c r="V127" s="65">
        <f>2165340</f>
        <v>2165340</v>
      </c>
      <c r="W127" s="65">
        <f>12990</f>
        <v>12990</v>
      </c>
      <c r="X127" s="69">
        <f>10</f>
        <v>10</v>
      </c>
    </row>
    <row r="128" spans="1:24">
      <c r="A128" s="60" t="s">
        <v>902</v>
      </c>
      <c r="B128" s="60" t="s">
        <v>427</v>
      </c>
      <c r="C128" s="60" t="s">
        <v>428</v>
      </c>
      <c r="D128" s="60" t="s">
        <v>429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f>1510</f>
        <v>1510</v>
      </c>
      <c r="L128" s="67" t="s">
        <v>833</v>
      </c>
      <c r="M128" s="66">
        <f>1531</f>
        <v>1531</v>
      </c>
      <c r="N128" s="67" t="s">
        <v>833</v>
      </c>
      <c r="O128" s="66">
        <f>1423</f>
        <v>1423</v>
      </c>
      <c r="P128" s="67" t="s">
        <v>50</v>
      </c>
      <c r="Q128" s="66">
        <f>1423</f>
        <v>1423</v>
      </c>
      <c r="R128" s="67" t="s">
        <v>50</v>
      </c>
      <c r="S128" s="68">
        <f>1462.44</f>
        <v>1462.44</v>
      </c>
      <c r="T128" s="65">
        <f>1899</f>
        <v>1899</v>
      </c>
      <c r="U128" s="65">
        <f>1</f>
        <v>1</v>
      </c>
      <c r="V128" s="65">
        <f>2825070</f>
        <v>2825070</v>
      </c>
      <c r="W128" s="65">
        <f>1477</f>
        <v>1477</v>
      </c>
      <c r="X128" s="69">
        <f>18</f>
        <v>18</v>
      </c>
    </row>
    <row r="129" spans="1:24">
      <c r="A129" s="60" t="s">
        <v>902</v>
      </c>
      <c r="B129" s="60" t="s">
        <v>430</v>
      </c>
      <c r="C129" s="60" t="s">
        <v>431</v>
      </c>
      <c r="D129" s="60" t="s">
        <v>432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14880</f>
        <v>14880</v>
      </c>
      <c r="L129" s="67" t="s">
        <v>833</v>
      </c>
      <c r="M129" s="66">
        <f>14960</f>
        <v>14960</v>
      </c>
      <c r="N129" s="67" t="s">
        <v>65</v>
      </c>
      <c r="O129" s="66">
        <f>14240</f>
        <v>14240</v>
      </c>
      <c r="P129" s="67" t="s">
        <v>50</v>
      </c>
      <c r="Q129" s="66">
        <f>14280</f>
        <v>14280</v>
      </c>
      <c r="R129" s="67" t="s">
        <v>50</v>
      </c>
      <c r="S129" s="68">
        <f>14699.52</f>
        <v>14699.52</v>
      </c>
      <c r="T129" s="65">
        <f>203833</f>
        <v>203833</v>
      </c>
      <c r="U129" s="65">
        <f>75</f>
        <v>75</v>
      </c>
      <c r="V129" s="65">
        <f>2994172590</f>
        <v>2994172590</v>
      </c>
      <c r="W129" s="65">
        <f>1097010</f>
        <v>1097010</v>
      </c>
      <c r="X129" s="69">
        <f>21</f>
        <v>21</v>
      </c>
    </row>
    <row r="130" spans="1:24">
      <c r="A130" s="60" t="s">
        <v>902</v>
      </c>
      <c r="B130" s="60" t="s">
        <v>433</v>
      </c>
      <c r="C130" s="60" t="s">
        <v>434</v>
      </c>
      <c r="D130" s="60" t="s">
        <v>435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</v>
      </c>
      <c r="K130" s="66">
        <f>1355</f>
        <v>1355</v>
      </c>
      <c r="L130" s="67" t="s">
        <v>833</v>
      </c>
      <c r="M130" s="66">
        <f>1375</f>
        <v>1375</v>
      </c>
      <c r="N130" s="67" t="s">
        <v>65</v>
      </c>
      <c r="O130" s="66">
        <f>1308</f>
        <v>1308</v>
      </c>
      <c r="P130" s="67" t="s">
        <v>50</v>
      </c>
      <c r="Q130" s="66">
        <f>1311</f>
        <v>1311</v>
      </c>
      <c r="R130" s="67" t="s">
        <v>50</v>
      </c>
      <c r="S130" s="68">
        <f>1350.48</f>
        <v>1350.48</v>
      </c>
      <c r="T130" s="65">
        <f>246686</f>
        <v>246686</v>
      </c>
      <c r="U130" s="65">
        <f>2</f>
        <v>2</v>
      </c>
      <c r="V130" s="65">
        <f>336244989</f>
        <v>336244989</v>
      </c>
      <c r="W130" s="65">
        <f>2674</f>
        <v>2674</v>
      </c>
      <c r="X130" s="69">
        <f>21</f>
        <v>21</v>
      </c>
    </row>
    <row r="131" spans="1:24">
      <c r="A131" s="60" t="s">
        <v>902</v>
      </c>
      <c r="B131" s="60" t="s">
        <v>436</v>
      </c>
      <c r="C131" s="60" t="s">
        <v>437</v>
      </c>
      <c r="D131" s="60" t="s">
        <v>438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f>15100</f>
        <v>15100</v>
      </c>
      <c r="L131" s="67" t="s">
        <v>833</v>
      </c>
      <c r="M131" s="66">
        <f>15350</f>
        <v>15350</v>
      </c>
      <c r="N131" s="67" t="s">
        <v>65</v>
      </c>
      <c r="O131" s="66">
        <f>14630</f>
        <v>14630</v>
      </c>
      <c r="P131" s="67" t="s">
        <v>50</v>
      </c>
      <c r="Q131" s="66">
        <f>14660</f>
        <v>14660</v>
      </c>
      <c r="R131" s="67" t="s">
        <v>50</v>
      </c>
      <c r="S131" s="68">
        <f>15093.81</f>
        <v>15093.81</v>
      </c>
      <c r="T131" s="65">
        <f>14668</f>
        <v>14668</v>
      </c>
      <c r="U131" s="65">
        <f>28</f>
        <v>28</v>
      </c>
      <c r="V131" s="65">
        <f>220735834</f>
        <v>220735834</v>
      </c>
      <c r="W131" s="65">
        <f>425164</f>
        <v>425164</v>
      </c>
      <c r="X131" s="69">
        <f>21</f>
        <v>21</v>
      </c>
    </row>
    <row r="132" spans="1:24">
      <c r="A132" s="60" t="s">
        <v>902</v>
      </c>
      <c r="B132" s="60" t="s">
        <v>439</v>
      </c>
      <c r="C132" s="60" t="s">
        <v>440</v>
      </c>
      <c r="D132" s="60" t="s">
        <v>441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f>1776</f>
        <v>1776</v>
      </c>
      <c r="L132" s="67" t="s">
        <v>833</v>
      </c>
      <c r="M132" s="66">
        <f>1806</f>
        <v>1806</v>
      </c>
      <c r="N132" s="67" t="s">
        <v>100</v>
      </c>
      <c r="O132" s="66">
        <f>1646</f>
        <v>1646</v>
      </c>
      <c r="P132" s="67" t="s">
        <v>245</v>
      </c>
      <c r="Q132" s="66">
        <f>1654</f>
        <v>1654</v>
      </c>
      <c r="R132" s="67" t="s">
        <v>50</v>
      </c>
      <c r="S132" s="68">
        <f>1727.29</f>
        <v>1727.29</v>
      </c>
      <c r="T132" s="65">
        <f>1088480</f>
        <v>1088480</v>
      </c>
      <c r="U132" s="65">
        <f>150000</f>
        <v>150000</v>
      </c>
      <c r="V132" s="65">
        <f>1878428010</f>
        <v>1878428010</v>
      </c>
      <c r="W132" s="65">
        <f>254589000</f>
        <v>254589000</v>
      </c>
      <c r="X132" s="69">
        <f>21</f>
        <v>21</v>
      </c>
    </row>
    <row r="133" spans="1:24">
      <c r="A133" s="60" t="s">
        <v>902</v>
      </c>
      <c r="B133" s="60" t="s">
        <v>442</v>
      </c>
      <c r="C133" s="60" t="s">
        <v>443</v>
      </c>
      <c r="D133" s="60" t="s">
        <v>444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10</v>
      </c>
      <c r="K133" s="66">
        <f>1454</f>
        <v>1454</v>
      </c>
      <c r="L133" s="67" t="s">
        <v>817</v>
      </c>
      <c r="M133" s="66">
        <f>1454</f>
        <v>1454</v>
      </c>
      <c r="N133" s="67" t="s">
        <v>817</v>
      </c>
      <c r="O133" s="66">
        <f>1411</f>
        <v>1411</v>
      </c>
      <c r="P133" s="67" t="s">
        <v>50</v>
      </c>
      <c r="Q133" s="66">
        <f>1411</f>
        <v>1411</v>
      </c>
      <c r="R133" s="67" t="s">
        <v>50</v>
      </c>
      <c r="S133" s="68">
        <f>1439</f>
        <v>1439</v>
      </c>
      <c r="T133" s="65">
        <f>50</f>
        <v>50</v>
      </c>
      <c r="U133" s="65" t="str">
        <f>"－"</f>
        <v>－</v>
      </c>
      <c r="V133" s="65">
        <f>71940</f>
        <v>71940</v>
      </c>
      <c r="W133" s="65" t="str">
        <f>"－"</f>
        <v>－</v>
      </c>
      <c r="X133" s="69">
        <f>3</f>
        <v>3</v>
      </c>
    </row>
    <row r="134" spans="1:24">
      <c r="A134" s="60" t="s">
        <v>902</v>
      </c>
      <c r="B134" s="60" t="s">
        <v>445</v>
      </c>
      <c r="C134" s="60" t="s">
        <v>446</v>
      </c>
      <c r="D134" s="60" t="s">
        <v>447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10</v>
      </c>
      <c r="K134" s="66">
        <f>1764</f>
        <v>1764</v>
      </c>
      <c r="L134" s="67" t="s">
        <v>833</v>
      </c>
      <c r="M134" s="66">
        <f>1797</f>
        <v>1797</v>
      </c>
      <c r="N134" s="67" t="s">
        <v>100</v>
      </c>
      <c r="O134" s="66">
        <f>1660</f>
        <v>1660</v>
      </c>
      <c r="P134" s="67" t="s">
        <v>245</v>
      </c>
      <c r="Q134" s="66">
        <f>1674</f>
        <v>1674</v>
      </c>
      <c r="R134" s="67" t="s">
        <v>50</v>
      </c>
      <c r="S134" s="68">
        <f>1735.9</f>
        <v>1735.9</v>
      </c>
      <c r="T134" s="65">
        <f>487650</f>
        <v>487650</v>
      </c>
      <c r="U134" s="65">
        <f>118000</f>
        <v>118000</v>
      </c>
      <c r="V134" s="65">
        <f>854026600</f>
        <v>854026600</v>
      </c>
      <c r="W134" s="65">
        <f>206783620</f>
        <v>206783620</v>
      </c>
      <c r="X134" s="69">
        <f>21</f>
        <v>21</v>
      </c>
    </row>
    <row r="135" spans="1:24">
      <c r="A135" s="60" t="s">
        <v>902</v>
      </c>
      <c r="B135" s="60" t="s">
        <v>448</v>
      </c>
      <c r="C135" s="60" t="s">
        <v>449</v>
      </c>
      <c r="D135" s="60" t="s">
        <v>450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</v>
      </c>
      <c r="K135" s="66">
        <f>15850</f>
        <v>15850</v>
      </c>
      <c r="L135" s="67" t="s">
        <v>833</v>
      </c>
      <c r="M135" s="66">
        <f>15850</f>
        <v>15850</v>
      </c>
      <c r="N135" s="67" t="s">
        <v>833</v>
      </c>
      <c r="O135" s="66">
        <f>15580</f>
        <v>15580</v>
      </c>
      <c r="P135" s="67" t="s">
        <v>95</v>
      </c>
      <c r="Q135" s="66">
        <f>15580</f>
        <v>15580</v>
      </c>
      <c r="R135" s="67" t="s">
        <v>95</v>
      </c>
      <c r="S135" s="68">
        <f>15730</f>
        <v>15730</v>
      </c>
      <c r="T135" s="65">
        <f>24</f>
        <v>24</v>
      </c>
      <c r="U135" s="65" t="str">
        <f>"－"</f>
        <v>－</v>
      </c>
      <c r="V135" s="65">
        <f>379800</f>
        <v>379800</v>
      </c>
      <c r="W135" s="65" t="str">
        <f>"－"</f>
        <v>－</v>
      </c>
      <c r="X135" s="69">
        <f>5</f>
        <v>5</v>
      </c>
    </row>
    <row r="136" spans="1:24">
      <c r="A136" s="60" t="s">
        <v>902</v>
      </c>
      <c r="B136" s="60" t="s">
        <v>451</v>
      </c>
      <c r="C136" s="60" t="s">
        <v>452</v>
      </c>
      <c r="D136" s="60" t="s">
        <v>453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14990</f>
        <v>14990</v>
      </c>
      <c r="L136" s="67" t="s">
        <v>833</v>
      </c>
      <c r="M136" s="66">
        <f>15200</f>
        <v>15200</v>
      </c>
      <c r="N136" s="67" t="s">
        <v>65</v>
      </c>
      <c r="O136" s="66">
        <f>14600</f>
        <v>14600</v>
      </c>
      <c r="P136" s="67" t="s">
        <v>50</v>
      </c>
      <c r="Q136" s="66">
        <f>14600</f>
        <v>14600</v>
      </c>
      <c r="R136" s="67" t="s">
        <v>50</v>
      </c>
      <c r="S136" s="68">
        <f>14918.24</f>
        <v>14918.24</v>
      </c>
      <c r="T136" s="65">
        <f>599</f>
        <v>599</v>
      </c>
      <c r="U136" s="65">
        <f>1</f>
        <v>1</v>
      </c>
      <c r="V136" s="65">
        <f>8964670</f>
        <v>8964670</v>
      </c>
      <c r="W136" s="65">
        <f>15170</f>
        <v>15170</v>
      </c>
      <c r="X136" s="69">
        <f>17</f>
        <v>17</v>
      </c>
    </row>
    <row r="137" spans="1:24">
      <c r="A137" s="60" t="s">
        <v>902</v>
      </c>
      <c r="B137" s="60" t="s">
        <v>457</v>
      </c>
      <c r="C137" s="60" t="s">
        <v>885</v>
      </c>
      <c r="D137" s="60" t="s">
        <v>886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100</v>
      </c>
      <c r="K137" s="66">
        <f>124</f>
        <v>124</v>
      </c>
      <c r="L137" s="67" t="s">
        <v>833</v>
      </c>
      <c r="M137" s="66">
        <f>124</f>
        <v>124</v>
      </c>
      <c r="N137" s="67" t="s">
        <v>833</v>
      </c>
      <c r="O137" s="66">
        <f>115</f>
        <v>115</v>
      </c>
      <c r="P137" s="67" t="s">
        <v>245</v>
      </c>
      <c r="Q137" s="66">
        <f>117</f>
        <v>117</v>
      </c>
      <c r="R137" s="67" t="s">
        <v>50</v>
      </c>
      <c r="S137" s="68">
        <f>120.1</f>
        <v>120.1</v>
      </c>
      <c r="T137" s="65">
        <f>47660200</f>
        <v>47660200</v>
      </c>
      <c r="U137" s="65">
        <f>317400</f>
        <v>317400</v>
      </c>
      <c r="V137" s="65">
        <f>5738330130</f>
        <v>5738330130</v>
      </c>
      <c r="W137" s="65">
        <f>38988030</f>
        <v>38988030</v>
      </c>
      <c r="X137" s="69">
        <f>21</f>
        <v>21</v>
      </c>
    </row>
    <row r="138" spans="1:24">
      <c r="A138" s="60" t="s">
        <v>902</v>
      </c>
      <c r="B138" s="60" t="s">
        <v>460</v>
      </c>
      <c r="C138" s="60" t="s">
        <v>461</v>
      </c>
      <c r="D138" s="60" t="s">
        <v>462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</v>
      </c>
      <c r="K138" s="66">
        <f>26370</f>
        <v>26370</v>
      </c>
      <c r="L138" s="67" t="s">
        <v>833</v>
      </c>
      <c r="M138" s="66">
        <f>26600</f>
        <v>26600</v>
      </c>
      <c r="N138" s="67" t="s">
        <v>817</v>
      </c>
      <c r="O138" s="66">
        <f>24660</f>
        <v>24660</v>
      </c>
      <c r="P138" s="67" t="s">
        <v>50</v>
      </c>
      <c r="Q138" s="66">
        <f>24660</f>
        <v>24660</v>
      </c>
      <c r="R138" s="67" t="s">
        <v>50</v>
      </c>
      <c r="S138" s="68">
        <f>25704.71</f>
        <v>25704.71</v>
      </c>
      <c r="T138" s="65">
        <f>471</f>
        <v>471</v>
      </c>
      <c r="U138" s="65">
        <f>1</f>
        <v>1</v>
      </c>
      <c r="V138" s="65">
        <f>11924730</f>
        <v>11924730</v>
      </c>
      <c r="W138" s="65">
        <f>25320</f>
        <v>25320</v>
      </c>
      <c r="X138" s="69">
        <f>17</f>
        <v>17</v>
      </c>
    </row>
    <row r="139" spans="1:24">
      <c r="A139" s="60" t="s">
        <v>902</v>
      </c>
      <c r="B139" s="60" t="s">
        <v>463</v>
      </c>
      <c r="C139" s="60" t="s">
        <v>464</v>
      </c>
      <c r="D139" s="60" t="s">
        <v>465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7780</f>
        <v>7780</v>
      </c>
      <c r="L139" s="67" t="s">
        <v>833</v>
      </c>
      <c r="M139" s="66">
        <f>8030</f>
        <v>8030</v>
      </c>
      <c r="N139" s="67" t="s">
        <v>119</v>
      </c>
      <c r="O139" s="66">
        <f>7190</f>
        <v>7190</v>
      </c>
      <c r="P139" s="67" t="s">
        <v>50</v>
      </c>
      <c r="Q139" s="66">
        <f>7240</f>
        <v>7240</v>
      </c>
      <c r="R139" s="67" t="s">
        <v>50</v>
      </c>
      <c r="S139" s="68">
        <f>7681.43</f>
        <v>7681.43</v>
      </c>
      <c r="T139" s="65">
        <f>10357</f>
        <v>10357</v>
      </c>
      <c r="U139" s="65">
        <f>3</f>
        <v>3</v>
      </c>
      <c r="V139" s="65">
        <f>79083160</f>
        <v>79083160</v>
      </c>
      <c r="W139" s="65">
        <f>23330</f>
        <v>23330</v>
      </c>
      <c r="X139" s="69">
        <f>21</f>
        <v>21</v>
      </c>
    </row>
    <row r="140" spans="1:24">
      <c r="A140" s="60" t="s">
        <v>902</v>
      </c>
      <c r="B140" s="60" t="s">
        <v>466</v>
      </c>
      <c r="C140" s="60" t="s">
        <v>467</v>
      </c>
      <c r="D140" s="60" t="s">
        <v>468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18820</f>
        <v>18820</v>
      </c>
      <c r="L140" s="67" t="s">
        <v>833</v>
      </c>
      <c r="M140" s="66">
        <f>19080</f>
        <v>19080</v>
      </c>
      <c r="N140" s="67" t="s">
        <v>65</v>
      </c>
      <c r="O140" s="66">
        <f>17950</f>
        <v>17950</v>
      </c>
      <c r="P140" s="67" t="s">
        <v>50</v>
      </c>
      <c r="Q140" s="66">
        <f>17950</f>
        <v>17950</v>
      </c>
      <c r="R140" s="67" t="s">
        <v>50</v>
      </c>
      <c r="S140" s="68">
        <f>18612.86</f>
        <v>18612.86</v>
      </c>
      <c r="T140" s="65">
        <f>859</f>
        <v>859</v>
      </c>
      <c r="U140" s="65">
        <f>1</f>
        <v>1</v>
      </c>
      <c r="V140" s="65">
        <f>16002910</f>
        <v>16002910</v>
      </c>
      <c r="W140" s="65">
        <f>18620</f>
        <v>18620</v>
      </c>
      <c r="X140" s="69">
        <f>21</f>
        <v>21</v>
      </c>
    </row>
    <row r="141" spans="1:24">
      <c r="A141" s="60" t="s">
        <v>902</v>
      </c>
      <c r="B141" s="60" t="s">
        <v>469</v>
      </c>
      <c r="C141" s="60" t="s">
        <v>470</v>
      </c>
      <c r="D141" s="60" t="s">
        <v>471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23600</f>
        <v>23600</v>
      </c>
      <c r="L141" s="67" t="s">
        <v>833</v>
      </c>
      <c r="M141" s="66">
        <f>24300</f>
        <v>24300</v>
      </c>
      <c r="N141" s="67" t="s">
        <v>150</v>
      </c>
      <c r="O141" s="66">
        <f>23120</f>
        <v>23120</v>
      </c>
      <c r="P141" s="67" t="s">
        <v>50</v>
      </c>
      <c r="Q141" s="66">
        <f>23150</f>
        <v>23150</v>
      </c>
      <c r="R141" s="67" t="s">
        <v>50</v>
      </c>
      <c r="S141" s="68">
        <f>23912.86</f>
        <v>23912.86</v>
      </c>
      <c r="T141" s="65">
        <f>464</f>
        <v>464</v>
      </c>
      <c r="U141" s="65">
        <f>7</f>
        <v>7</v>
      </c>
      <c r="V141" s="65">
        <f>10920600</f>
        <v>10920600</v>
      </c>
      <c r="W141" s="65">
        <f>165490</f>
        <v>165490</v>
      </c>
      <c r="X141" s="69">
        <f>21</f>
        <v>21</v>
      </c>
    </row>
    <row r="142" spans="1:24">
      <c r="A142" s="60" t="s">
        <v>902</v>
      </c>
      <c r="B142" s="60" t="s">
        <v>472</v>
      </c>
      <c r="C142" s="60" t="s">
        <v>473</v>
      </c>
      <c r="D142" s="60" t="s">
        <v>474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24820</f>
        <v>24820</v>
      </c>
      <c r="L142" s="67" t="s">
        <v>833</v>
      </c>
      <c r="M142" s="66">
        <f>24820</f>
        <v>24820</v>
      </c>
      <c r="N142" s="67" t="s">
        <v>833</v>
      </c>
      <c r="O142" s="66">
        <f>21650</f>
        <v>21650</v>
      </c>
      <c r="P142" s="67" t="s">
        <v>50</v>
      </c>
      <c r="Q142" s="66">
        <f>21720</f>
        <v>21720</v>
      </c>
      <c r="R142" s="67" t="s">
        <v>50</v>
      </c>
      <c r="S142" s="68">
        <f>23169.05</f>
        <v>23169.05</v>
      </c>
      <c r="T142" s="65">
        <f>7392</f>
        <v>7392</v>
      </c>
      <c r="U142" s="65">
        <f>3</f>
        <v>3</v>
      </c>
      <c r="V142" s="65">
        <f>171232780</f>
        <v>171232780</v>
      </c>
      <c r="W142" s="65">
        <f>70740</f>
        <v>70740</v>
      </c>
      <c r="X142" s="69">
        <f>21</f>
        <v>21</v>
      </c>
    </row>
    <row r="143" spans="1:24">
      <c r="A143" s="60" t="s">
        <v>902</v>
      </c>
      <c r="B143" s="60" t="s">
        <v>475</v>
      </c>
      <c r="C143" s="60" t="s">
        <v>476</v>
      </c>
      <c r="D143" s="60" t="s">
        <v>477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17320</f>
        <v>17320</v>
      </c>
      <c r="L143" s="67" t="s">
        <v>833</v>
      </c>
      <c r="M143" s="66">
        <f>17850</f>
        <v>17850</v>
      </c>
      <c r="N143" s="67" t="s">
        <v>65</v>
      </c>
      <c r="O143" s="66">
        <f>17020</f>
        <v>17020</v>
      </c>
      <c r="P143" s="67" t="s">
        <v>245</v>
      </c>
      <c r="Q143" s="66">
        <f>17040</f>
        <v>17040</v>
      </c>
      <c r="R143" s="67" t="s">
        <v>50</v>
      </c>
      <c r="S143" s="68">
        <f>17407.14</f>
        <v>17407.14</v>
      </c>
      <c r="T143" s="65">
        <f>1741</f>
        <v>1741</v>
      </c>
      <c r="U143" s="65">
        <f>1</f>
        <v>1</v>
      </c>
      <c r="V143" s="65">
        <f>30108750</f>
        <v>30108750</v>
      </c>
      <c r="W143" s="65">
        <f>17630</f>
        <v>17630</v>
      </c>
      <c r="X143" s="69">
        <f>21</f>
        <v>21</v>
      </c>
    </row>
    <row r="144" spans="1:24">
      <c r="A144" s="60" t="s">
        <v>902</v>
      </c>
      <c r="B144" s="60" t="s">
        <v>478</v>
      </c>
      <c r="C144" s="60" t="s">
        <v>479</v>
      </c>
      <c r="D144" s="60" t="s">
        <v>480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10790</f>
        <v>10790</v>
      </c>
      <c r="L144" s="67" t="s">
        <v>833</v>
      </c>
      <c r="M144" s="66">
        <f>11320</f>
        <v>11320</v>
      </c>
      <c r="N144" s="67" t="s">
        <v>99</v>
      </c>
      <c r="O144" s="66">
        <f>10380</f>
        <v>10380</v>
      </c>
      <c r="P144" s="67" t="s">
        <v>50</v>
      </c>
      <c r="Q144" s="66">
        <f>10380</f>
        <v>10380</v>
      </c>
      <c r="R144" s="67" t="s">
        <v>50</v>
      </c>
      <c r="S144" s="68">
        <f>10939.52</f>
        <v>10939.52</v>
      </c>
      <c r="T144" s="65">
        <f>2089</f>
        <v>2089</v>
      </c>
      <c r="U144" s="65">
        <f>1</f>
        <v>1</v>
      </c>
      <c r="V144" s="65">
        <f>22785680</f>
        <v>22785680</v>
      </c>
      <c r="W144" s="65">
        <f>11150</f>
        <v>11150</v>
      </c>
      <c r="X144" s="69">
        <f>21</f>
        <v>21</v>
      </c>
    </row>
    <row r="145" spans="1:24">
      <c r="A145" s="60" t="s">
        <v>902</v>
      </c>
      <c r="B145" s="60" t="s">
        <v>481</v>
      </c>
      <c r="C145" s="60" t="s">
        <v>482</v>
      </c>
      <c r="D145" s="60" t="s">
        <v>483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33750</f>
        <v>33750</v>
      </c>
      <c r="L145" s="67" t="s">
        <v>833</v>
      </c>
      <c r="M145" s="66">
        <f>34300</f>
        <v>34300</v>
      </c>
      <c r="N145" s="67" t="s">
        <v>821</v>
      </c>
      <c r="O145" s="66">
        <f>33050</f>
        <v>33050</v>
      </c>
      <c r="P145" s="67" t="s">
        <v>833</v>
      </c>
      <c r="Q145" s="66">
        <f>33250</f>
        <v>33250</v>
      </c>
      <c r="R145" s="67" t="s">
        <v>50</v>
      </c>
      <c r="S145" s="68">
        <f>33715</f>
        <v>33715</v>
      </c>
      <c r="T145" s="65">
        <f>62</f>
        <v>62</v>
      </c>
      <c r="U145" s="65" t="str">
        <f>"－"</f>
        <v>－</v>
      </c>
      <c r="V145" s="65">
        <f>2090500</f>
        <v>2090500</v>
      </c>
      <c r="W145" s="65" t="str">
        <f>"－"</f>
        <v>－</v>
      </c>
      <c r="X145" s="69">
        <f>10</f>
        <v>10</v>
      </c>
    </row>
    <row r="146" spans="1:24">
      <c r="A146" s="60" t="s">
        <v>902</v>
      </c>
      <c r="B146" s="60" t="s">
        <v>484</v>
      </c>
      <c r="C146" s="60" t="s">
        <v>485</v>
      </c>
      <c r="D146" s="60" t="s">
        <v>486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21890</f>
        <v>21890</v>
      </c>
      <c r="L146" s="67" t="s">
        <v>833</v>
      </c>
      <c r="M146" s="66">
        <f>22440</f>
        <v>22440</v>
      </c>
      <c r="N146" s="67" t="s">
        <v>50</v>
      </c>
      <c r="O146" s="66">
        <f>21430</f>
        <v>21430</v>
      </c>
      <c r="P146" s="67" t="s">
        <v>833</v>
      </c>
      <c r="Q146" s="66">
        <f>21880</f>
        <v>21880</v>
      </c>
      <c r="R146" s="67" t="s">
        <v>50</v>
      </c>
      <c r="S146" s="68">
        <f>21880.53</f>
        <v>21880.53</v>
      </c>
      <c r="T146" s="65">
        <f>326</f>
        <v>326</v>
      </c>
      <c r="U146" s="65" t="str">
        <f>"－"</f>
        <v>－</v>
      </c>
      <c r="V146" s="65">
        <f>7147760</f>
        <v>7147760</v>
      </c>
      <c r="W146" s="65" t="str">
        <f>"－"</f>
        <v>－</v>
      </c>
      <c r="X146" s="69">
        <f>19</f>
        <v>19</v>
      </c>
    </row>
    <row r="147" spans="1:24">
      <c r="A147" s="60" t="s">
        <v>902</v>
      </c>
      <c r="B147" s="60" t="s">
        <v>487</v>
      </c>
      <c r="C147" s="60" t="s">
        <v>488</v>
      </c>
      <c r="D147" s="60" t="s">
        <v>489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26230</f>
        <v>26230</v>
      </c>
      <c r="L147" s="67" t="s">
        <v>833</v>
      </c>
      <c r="M147" s="66">
        <f>27000</f>
        <v>27000</v>
      </c>
      <c r="N147" s="67" t="s">
        <v>90</v>
      </c>
      <c r="O147" s="66">
        <f>25630</f>
        <v>25630</v>
      </c>
      <c r="P147" s="67" t="s">
        <v>50</v>
      </c>
      <c r="Q147" s="66">
        <f>25630</f>
        <v>25630</v>
      </c>
      <c r="R147" s="67" t="s">
        <v>50</v>
      </c>
      <c r="S147" s="68">
        <f>26375.24</f>
        <v>26375.24</v>
      </c>
      <c r="T147" s="65">
        <f>3724</f>
        <v>3724</v>
      </c>
      <c r="U147" s="65">
        <f>1</f>
        <v>1</v>
      </c>
      <c r="V147" s="65">
        <f>98272850</f>
        <v>98272850</v>
      </c>
      <c r="W147" s="65">
        <f>26630</f>
        <v>26630</v>
      </c>
      <c r="X147" s="69">
        <f>21</f>
        <v>21</v>
      </c>
    </row>
    <row r="148" spans="1:24">
      <c r="A148" s="60" t="s">
        <v>902</v>
      </c>
      <c r="B148" s="60" t="s">
        <v>490</v>
      </c>
      <c r="C148" s="60" t="s">
        <v>491</v>
      </c>
      <c r="D148" s="60" t="s">
        <v>492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6100</f>
        <v>6100</v>
      </c>
      <c r="L148" s="67" t="s">
        <v>833</v>
      </c>
      <c r="M148" s="66">
        <f>6140</f>
        <v>6140</v>
      </c>
      <c r="N148" s="67" t="s">
        <v>833</v>
      </c>
      <c r="O148" s="66">
        <f>5720</f>
        <v>5720</v>
      </c>
      <c r="P148" s="67" t="s">
        <v>50</v>
      </c>
      <c r="Q148" s="66">
        <f>5800</f>
        <v>5800</v>
      </c>
      <c r="R148" s="67" t="s">
        <v>50</v>
      </c>
      <c r="S148" s="68">
        <f>5972</f>
        <v>5972</v>
      </c>
      <c r="T148" s="65">
        <f>5901</f>
        <v>5901</v>
      </c>
      <c r="U148" s="65">
        <f>1</f>
        <v>1</v>
      </c>
      <c r="V148" s="65">
        <f>35093150</f>
        <v>35093150</v>
      </c>
      <c r="W148" s="65">
        <f>5980</f>
        <v>5980</v>
      </c>
      <c r="X148" s="69">
        <f>20</f>
        <v>20</v>
      </c>
    </row>
    <row r="149" spans="1:24">
      <c r="A149" s="60" t="s">
        <v>902</v>
      </c>
      <c r="B149" s="60" t="s">
        <v>493</v>
      </c>
      <c r="C149" s="60" t="s">
        <v>494</v>
      </c>
      <c r="D149" s="60" t="s">
        <v>495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13650</f>
        <v>13650</v>
      </c>
      <c r="L149" s="67" t="s">
        <v>833</v>
      </c>
      <c r="M149" s="66">
        <f>13840</f>
        <v>13840</v>
      </c>
      <c r="N149" s="67" t="s">
        <v>48</v>
      </c>
      <c r="O149" s="66">
        <f>12440</f>
        <v>12440</v>
      </c>
      <c r="P149" s="67" t="s">
        <v>50</v>
      </c>
      <c r="Q149" s="66">
        <f>12490</f>
        <v>12490</v>
      </c>
      <c r="R149" s="67" t="s">
        <v>50</v>
      </c>
      <c r="S149" s="68">
        <f>13265.71</f>
        <v>13265.71</v>
      </c>
      <c r="T149" s="65">
        <f>8855</f>
        <v>8855</v>
      </c>
      <c r="U149" s="65">
        <f>1</f>
        <v>1</v>
      </c>
      <c r="V149" s="65">
        <f>116838400</f>
        <v>116838400</v>
      </c>
      <c r="W149" s="65">
        <f>13110</f>
        <v>13110</v>
      </c>
      <c r="X149" s="69">
        <f>21</f>
        <v>21</v>
      </c>
    </row>
    <row r="150" spans="1:24">
      <c r="A150" s="60" t="s">
        <v>902</v>
      </c>
      <c r="B150" s="60" t="s">
        <v>496</v>
      </c>
      <c r="C150" s="60" t="s">
        <v>497</v>
      </c>
      <c r="D150" s="60" t="s">
        <v>498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32350</f>
        <v>32350</v>
      </c>
      <c r="L150" s="67" t="s">
        <v>833</v>
      </c>
      <c r="M150" s="66">
        <f>32700</f>
        <v>32700</v>
      </c>
      <c r="N150" s="67" t="s">
        <v>48</v>
      </c>
      <c r="O150" s="66">
        <f>30050</f>
        <v>30050</v>
      </c>
      <c r="P150" s="67" t="s">
        <v>50</v>
      </c>
      <c r="Q150" s="66">
        <f>30100</f>
        <v>30100</v>
      </c>
      <c r="R150" s="67" t="s">
        <v>50</v>
      </c>
      <c r="S150" s="68">
        <f>31640.48</f>
        <v>31640.48</v>
      </c>
      <c r="T150" s="65">
        <f>1758</f>
        <v>1758</v>
      </c>
      <c r="U150" s="65">
        <f>2</f>
        <v>2</v>
      </c>
      <c r="V150" s="65">
        <f>55586600</f>
        <v>55586600</v>
      </c>
      <c r="W150" s="65">
        <f>64350</f>
        <v>64350</v>
      </c>
      <c r="X150" s="69">
        <f>21</f>
        <v>21</v>
      </c>
    </row>
    <row r="151" spans="1:24">
      <c r="A151" s="60" t="s">
        <v>902</v>
      </c>
      <c r="B151" s="60" t="s">
        <v>499</v>
      </c>
      <c r="C151" s="60" t="s">
        <v>500</v>
      </c>
      <c r="D151" s="60" t="s">
        <v>501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21770</f>
        <v>21770</v>
      </c>
      <c r="L151" s="67" t="s">
        <v>119</v>
      </c>
      <c r="M151" s="66">
        <f>21790</f>
        <v>21790</v>
      </c>
      <c r="N151" s="67" t="s">
        <v>820</v>
      </c>
      <c r="O151" s="66">
        <f>20580</f>
        <v>20580</v>
      </c>
      <c r="P151" s="67" t="s">
        <v>95</v>
      </c>
      <c r="Q151" s="66">
        <f>21160</f>
        <v>21160</v>
      </c>
      <c r="R151" s="67" t="s">
        <v>95</v>
      </c>
      <c r="S151" s="68">
        <f>21464.29</f>
        <v>21464.29</v>
      </c>
      <c r="T151" s="65">
        <f>59</f>
        <v>59</v>
      </c>
      <c r="U151" s="65" t="str">
        <f>"－"</f>
        <v>－</v>
      </c>
      <c r="V151" s="65">
        <f>1245760</f>
        <v>1245760</v>
      </c>
      <c r="W151" s="65" t="str">
        <f>"－"</f>
        <v>－</v>
      </c>
      <c r="X151" s="69">
        <f>7</f>
        <v>7</v>
      </c>
    </row>
    <row r="152" spans="1:24">
      <c r="A152" s="60" t="s">
        <v>902</v>
      </c>
      <c r="B152" s="60" t="s">
        <v>502</v>
      </c>
      <c r="C152" s="60" t="s">
        <v>503</v>
      </c>
      <c r="D152" s="60" t="s">
        <v>504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6340</f>
        <v>6340</v>
      </c>
      <c r="L152" s="67" t="s">
        <v>833</v>
      </c>
      <c r="M152" s="66">
        <f>6430</f>
        <v>6430</v>
      </c>
      <c r="N152" s="67" t="s">
        <v>65</v>
      </c>
      <c r="O152" s="66">
        <f>6000</f>
        <v>6000</v>
      </c>
      <c r="P152" s="67" t="s">
        <v>245</v>
      </c>
      <c r="Q152" s="66">
        <f>6080</f>
        <v>6080</v>
      </c>
      <c r="R152" s="67" t="s">
        <v>50</v>
      </c>
      <c r="S152" s="68">
        <f>6245.71</f>
        <v>6245.71</v>
      </c>
      <c r="T152" s="65">
        <f>29493</f>
        <v>29493</v>
      </c>
      <c r="U152" s="65">
        <f>24</f>
        <v>24</v>
      </c>
      <c r="V152" s="65">
        <f>183972120</f>
        <v>183972120</v>
      </c>
      <c r="W152" s="65">
        <f>149480</f>
        <v>149480</v>
      </c>
      <c r="X152" s="69">
        <f>21</f>
        <v>21</v>
      </c>
    </row>
    <row r="153" spans="1:24">
      <c r="A153" s="60" t="s">
        <v>902</v>
      </c>
      <c r="B153" s="60" t="s">
        <v>505</v>
      </c>
      <c r="C153" s="60" t="s">
        <v>506</v>
      </c>
      <c r="D153" s="60" t="s">
        <v>507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f>10760</f>
        <v>10760</v>
      </c>
      <c r="L153" s="67" t="s">
        <v>833</v>
      </c>
      <c r="M153" s="66">
        <f>11200</f>
        <v>11200</v>
      </c>
      <c r="N153" s="67" t="s">
        <v>65</v>
      </c>
      <c r="O153" s="66">
        <f>10580</f>
        <v>10580</v>
      </c>
      <c r="P153" s="67" t="s">
        <v>50</v>
      </c>
      <c r="Q153" s="66">
        <f>10580</f>
        <v>10580</v>
      </c>
      <c r="R153" s="67" t="s">
        <v>50</v>
      </c>
      <c r="S153" s="68">
        <f>10950</f>
        <v>10950</v>
      </c>
      <c r="T153" s="65">
        <f>1348</f>
        <v>1348</v>
      </c>
      <c r="U153" s="65" t="str">
        <f>"－"</f>
        <v>－</v>
      </c>
      <c r="V153" s="65">
        <f>14544970</f>
        <v>14544970</v>
      </c>
      <c r="W153" s="65" t="str">
        <f>"－"</f>
        <v>－</v>
      </c>
      <c r="X153" s="69">
        <f>16</f>
        <v>16</v>
      </c>
    </row>
    <row r="154" spans="1:24">
      <c r="A154" s="60" t="s">
        <v>902</v>
      </c>
      <c r="B154" s="60" t="s">
        <v>508</v>
      </c>
      <c r="C154" s="60" t="s">
        <v>509</v>
      </c>
      <c r="D154" s="60" t="s">
        <v>510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f>24040</f>
        <v>24040</v>
      </c>
      <c r="L154" s="67" t="s">
        <v>833</v>
      </c>
      <c r="M154" s="66">
        <f>24790</f>
        <v>24790</v>
      </c>
      <c r="N154" s="67" t="s">
        <v>65</v>
      </c>
      <c r="O154" s="66">
        <f>22880</f>
        <v>22880</v>
      </c>
      <c r="P154" s="67" t="s">
        <v>50</v>
      </c>
      <c r="Q154" s="66">
        <f>22880</f>
        <v>22880</v>
      </c>
      <c r="R154" s="67" t="s">
        <v>50</v>
      </c>
      <c r="S154" s="68">
        <f>23982</f>
        <v>23982</v>
      </c>
      <c r="T154" s="65">
        <f>1131</f>
        <v>1131</v>
      </c>
      <c r="U154" s="65">
        <f>2</f>
        <v>2</v>
      </c>
      <c r="V154" s="65">
        <f>26872490</f>
        <v>26872490</v>
      </c>
      <c r="W154" s="65">
        <f>47410</f>
        <v>47410</v>
      </c>
      <c r="X154" s="69">
        <f>20</f>
        <v>20</v>
      </c>
    </row>
    <row r="155" spans="1:24">
      <c r="A155" s="60" t="s">
        <v>902</v>
      </c>
      <c r="B155" s="60" t="s">
        <v>511</v>
      </c>
      <c r="C155" s="60" t="s">
        <v>512</v>
      </c>
      <c r="D155" s="60" t="s">
        <v>513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10</v>
      </c>
      <c r="K155" s="66">
        <f>843</f>
        <v>843</v>
      </c>
      <c r="L155" s="67" t="s">
        <v>833</v>
      </c>
      <c r="M155" s="66">
        <f>862</f>
        <v>862</v>
      </c>
      <c r="N155" s="67" t="s">
        <v>65</v>
      </c>
      <c r="O155" s="66">
        <f>818</f>
        <v>818</v>
      </c>
      <c r="P155" s="67" t="s">
        <v>50</v>
      </c>
      <c r="Q155" s="66">
        <f>819</f>
        <v>819</v>
      </c>
      <c r="R155" s="67" t="s">
        <v>50</v>
      </c>
      <c r="S155" s="68">
        <f>844.81</f>
        <v>844.81</v>
      </c>
      <c r="T155" s="65">
        <f>74330</f>
        <v>74330</v>
      </c>
      <c r="U155" s="65" t="str">
        <f>"－"</f>
        <v>－</v>
      </c>
      <c r="V155" s="65">
        <f>62370830</f>
        <v>62370830</v>
      </c>
      <c r="W155" s="65" t="str">
        <f>"－"</f>
        <v>－</v>
      </c>
      <c r="X155" s="69">
        <f>21</f>
        <v>21</v>
      </c>
    </row>
    <row r="156" spans="1:24">
      <c r="A156" s="60" t="s">
        <v>902</v>
      </c>
      <c r="B156" s="60" t="s">
        <v>514</v>
      </c>
      <c r="C156" s="60" t="s">
        <v>515</v>
      </c>
      <c r="D156" s="60" t="s">
        <v>516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2049</f>
        <v>2049</v>
      </c>
      <c r="L156" s="67" t="s">
        <v>833</v>
      </c>
      <c r="M156" s="66">
        <f>2075</f>
        <v>2075</v>
      </c>
      <c r="N156" s="67" t="s">
        <v>65</v>
      </c>
      <c r="O156" s="66">
        <f>2011</f>
        <v>2011</v>
      </c>
      <c r="P156" s="67" t="s">
        <v>50</v>
      </c>
      <c r="Q156" s="66">
        <f>2011</f>
        <v>2011</v>
      </c>
      <c r="R156" s="67" t="s">
        <v>50</v>
      </c>
      <c r="S156" s="68">
        <f>2038.13</f>
        <v>2038.13</v>
      </c>
      <c r="T156" s="65">
        <f>14660</f>
        <v>14660</v>
      </c>
      <c r="U156" s="65" t="str">
        <f>"－"</f>
        <v>－</v>
      </c>
      <c r="V156" s="65">
        <f>29633260</f>
        <v>29633260</v>
      </c>
      <c r="W156" s="65" t="str">
        <f>"－"</f>
        <v>－</v>
      </c>
      <c r="X156" s="69">
        <f>8</f>
        <v>8</v>
      </c>
    </row>
    <row r="157" spans="1:24">
      <c r="A157" s="60" t="s">
        <v>902</v>
      </c>
      <c r="B157" s="60" t="s">
        <v>517</v>
      </c>
      <c r="C157" s="60" t="s">
        <v>518</v>
      </c>
      <c r="D157" s="60" t="s">
        <v>519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10</v>
      </c>
      <c r="K157" s="66">
        <f>2079</f>
        <v>2079</v>
      </c>
      <c r="L157" s="67" t="s">
        <v>833</v>
      </c>
      <c r="M157" s="66">
        <f>2098</f>
        <v>2098</v>
      </c>
      <c r="N157" s="67" t="s">
        <v>65</v>
      </c>
      <c r="O157" s="66">
        <f>2009</f>
        <v>2009</v>
      </c>
      <c r="P157" s="67" t="s">
        <v>50</v>
      </c>
      <c r="Q157" s="66">
        <f>2009</f>
        <v>2009</v>
      </c>
      <c r="R157" s="67" t="s">
        <v>50</v>
      </c>
      <c r="S157" s="68">
        <f>2062.35</f>
        <v>2062.35</v>
      </c>
      <c r="T157" s="65">
        <f>14330</f>
        <v>14330</v>
      </c>
      <c r="U157" s="65" t="str">
        <f>"－"</f>
        <v>－</v>
      </c>
      <c r="V157" s="65">
        <f>29732200</f>
        <v>29732200</v>
      </c>
      <c r="W157" s="65" t="str">
        <f>"－"</f>
        <v>－</v>
      </c>
      <c r="X157" s="69">
        <f>17</f>
        <v>17</v>
      </c>
    </row>
    <row r="158" spans="1:24">
      <c r="A158" s="60" t="s">
        <v>902</v>
      </c>
      <c r="B158" s="60" t="s">
        <v>520</v>
      </c>
      <c r="C158" s="60" t="s">
        <v>521</v>
      </c>
      <c r="D158" s="60" t="s">
        <v>522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10</v>
      </c>
      <c r="K158" s="66">
        <f>1212</f>
        <v>1212</v>
      </c>
      <c r="L158" s="67" t="s">
        <v>833</v>
      </c>
      <c r="M158" s="66">
        <f>1223</f>
        <v>1223</v>
      </c>
      <c r="N158" s="67" t="s">
        <v>815</v>
      </c>
      <c r="O158" s="66">
        <f>1187</f>
        <v>1187</v>
      </c>
      <c r="P158" s="67" t="s">
        <v>50</v>
      </c>
      <c r="Q158" s="66">
        <f>1187</f>
        <v>1187</v>
      </c>
      <c r="R158" s="67" t="s">
        <v>50</v>
      </c>
      <c r="S158" s="68">
        <f>1208.78</f>
        <v>1208.78</v>
      </c>
      <c r="T158" s="65">
        <f>1580</f>
        <v>1580</v>
      </c>
      <c r="U158" s="65" t="str">
        <f>"－"</f>
        <v>－</v>
      </c>
      <c r="V158" s="65">
        <f>1894330</f>
        <v>1894330</v>
      </c>
      <c r="W158" s="65" t="str">
        <f>"－"</f>
        <v>－</v>
      </c>
      <c r="X158" s="69">
        <f>9</f>
        <v>9</v>
      </c>
    </row>
    <row r="159" spans="1:24">
      <c r="A159" s="60" t="s">
        <v>902</v>
      </c>
      <c r="B159" s="60" t="s">
        <v>523</v>
      </c>
      <c r="C159" s="60" t="s">
        <v>524</v>
      </c>
      <c r="D159" s="60" t="s">
        <v>525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</v>
      </c>
      <c r="K159" s="66">
        <f>2550</f>
        <v>2550</v>
      </c>
      <c r="L159" s="67" t="s">
        <v>833</v>
      </c>
      <c r="M159" s="66">
        <f>2667</f>
        <v>2667</v>
      </c>
      <c r="N159" s="67" t="s">
        <v>820</v>
      </c>
      <c r="O159" s="66">
        <f>2420</f>
        <v>2420</v>
      </c>
      <c r="P159" s="67" t="s">
        <v>50</v>
      </c>
      <c r="Q159" s="66">
        <f>2422</f>
        <v>2422</v>
      </c>
      <c r="R159" s="67" t="s">
        <v>50</v>
      </c>
      <c r="S159" s="68">
        <f>2576.71</f>
        <v>2576.71</v>
      </c>
      <c r="T159" s="65">
        <f>4621852</f>
        <v>4621852</v>
      </c>
      <c r="U159" s="65">
        <f>1083931</f>
        <v>1083931</v>
      </c>
      <c r="V159" s="65">
        <f>11860203465</f>
        <v>11860203465</v>
      </c>
      <c r="W159" s="65">
        <f>2778306763</f>
        <v>2778306763</v>
      </c>
      <c r="X159" s="69">
        <f>21</f>
        <v>21</v>
      </c>
    </row>
    <row r="160" spans="1:24">
      <c r="A160" s="60" t="s">
        <v>902</v>
      </c>
      <c r="B160" s="60" t="s">
        <v>526</v>
      </c>
      <c r="C160" s="60" t="s">
        <v>527</v>
      </c>
      <c r="D160" s="60" t="s">
        <v>528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2673</f>
        <v>2673</v>
      </c>
      <c r="L160" s="67" t="s">
        <v>833</v>
      </c>
      <c r="M160" s="66">
        <f>2677</f>
        <v>2677</v>
      </c>
      <c r="N160" s="67" t="s">
        <v>833</v>
      </c>
      <c r="O160" s="66">
        <f>2602</f>
        <v>2602</v>
      </c>
      <c r="P160" s="67" t="s">
        <v>50</v>
      </c>
      <c r="Q160" s="66">
        <f>2602</f>
        <v>2602</v>
      </c>
      <c r="R160" s="67" t="s">
        <v>50</v>
      </c>
      <c r="S160" s="68">
        <f>2638.48</f>
        <v>2638.48</v>
      </c>
      <c r="T160" s="65">
        <f>806858</f>
        <v>806858</v>
      </c>
      <c r="U160" s="65">
        <f>764001</f>
        <v>764001</v>
      </c>
      <c r="V160" s="65">
        <f>2118132312</f>
        <v>2118132312</v>
      </c>
      <c r="W160" s="65">
        <f>2004988742</f>
        <v>2004988742</v>
      </c>
      <c r="X160" s="69">
        <f>21</f>
        <v>21</v>
      </c>
    </row>
    <row r="161" spans="1:24">
      <c r="A161" s="60" t="s">
        <v>902</v>
      </c>
      <c r="B161" s="60" t="s">
        <v>529</v>
      </c>
      <c r="C161" s="60" t="s">
        <v>530</v>
      </c>
      <c r="D161" s="60" t="s">
        <v>531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2266</f>
        <v>2266</v>
      </c>
      <c r="L161" s="67" t="s">
        <v>833</v>
      </c>
      <c r="M161" s="66">
        <f>2370</f>
        <v>2370</v>
      </c>
      <c r="N161" s="67" t="s">
        <v>820</v>
      </c>
      <c r="O161" s="66">
        <f>2143</f>
        <v>2143</v>
      </c>
      <c r="P161" s="67" t="s">
        <v>50</v>
      </c>
      <c r="Q161" s="66">
        <f>2145</f>
        <v>2145</v>
      </c>
      <c r="R161" s="67" t="s">
        <v>50</v>
      </c>
      <c r="S161" s="68">
        <f>2290.9</f>
        <v>2290.9</v>
      </c>
      <c r="T161" s="65">
        <f>58054</f>
        <v>58054</v>
      </c>
      <c r="U161" s="65" t="str">
        <f>"－"</f>
        <v>－</v>
      </c>
      <c r="V161" s="65">
        <f>132281479</f>
        <v>132281479</v>
      </c>
      <c r="W161" s="65" t="str">
        <f>"－"</f>
        <v>－</v>
      </c>
      <c r="X161" s="69">
        <f>21</f>
        <v>21</v>
      </c>
    </row>
    <row r="162" spans="1:24">
      <c r="A162" s="60" t="s">
        <v>902</v>
      </c>
      <c r="B162" s="60" t="s">
        <v>532</v>
      </c>
      <c r="C162" s="60" t="s">
        <v>533</v>
      </c>
      <c r="D162" s="60" t="s">
        <v>534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1868</f>
        <v>1868</v>
      </c>
      <c r="L162" s="67" t="s">
        <v>833</v>
      </c>
      <c r="M162" s="66">
        <f>1948</f>
        <v>1948</v>
      </c>
      <c r="N162" s="67" t="s">
        <v>820</v>
      </c>
      <c r="O162" s="66">
        <f>1829</f>
        <v>1829</v>
      </c>
      <c r="P162" s="67" t="s">
        <v>833</v>
      </c>
      <c r="Q162" s="66">
        <f>1857</f>
        <v>1857</v>
      </c>
      <c r="R162" s="67" t="s">
        <v>50</v>
      </c>
      <c r="S162" s="68">
        <f>1908.57</f>
        <v>1908.57</v>
      </c>
      <c r="T162" s="65">
        <f>119827</f>
        <v>119827</v>
      </c>
      <c r="U162" s="65">
        <f>250</f>
        <v>250</v>
      </c>
      <c r="V162" s="65">
        <f>226772638</f>
        <v>226772638</v>
      </c>
      <c r="W162" s="65">
        <f>479172</f>
        <v>479172</v>
      </c>
      <c r="X162" s="69">
        <f>21</f>
        <v>21</v>
      </c>
    </row>
    <row r="163" spans="1:24">
      <c r="A163" s="60" t="s">
        <v>902</v>
      </c>
      <c r="B163" s="60" t="s">
        <v>535</v>
      </c>
      <c r="C163" s="60" t="s">
        <v>536</v>
      </c>
      <c r="D163" s="60" t="s">
        <v>537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1771</f>
        <v>1771</v>
      </c>
      <c r="L163" s="67" t="s">
        <v>833</v>
      </c>
      <c r="M163" s="66">
        <f>1862</f>
        <v>1862</v>
      </c>
      <c r="N163" s="67" t="s">
        <v>119</v>
      </c>
      <c r="O163" s="66">
        <f>1650</f>
        <v>1650</v>
      </c>
      <c r="P163" s="67" t="s">
        <v>50</v>
      </c>
      <c r="Q163" s="66">
        <f>1655</f>
        <v>1655</v>
      </c>
      <c r="R163" s="67" t="s">
        <v>50</v>
      </c>
      <c r="S163" s="68">
        <f>1774</f>
        <v>1774</v>
      </c>
      <c r="T163" s="65">
        <f>384768</f>
        <v>384768</v>
      </c>
      <c r="U163" s="65" t="str">
        <f>"－"</f>
        <v>－</v>
      </c>
      <c r="V163" s="65">
        <f>677035669</f>
        <v>677035669</v>
      </c>
      <c r="W163" s="65" t="str">
        <f>"－"</f>
        <v>－</v>
      </c>
      <c r="X163" s="69">
        <f>21</f>
        <v>21</v>
      </c>
    </row>
    <row r="164" spans="1:24">
      <c r="A164" s="60" t="s">
        <v>902</v>
      </c>
      <c r="B164" s="60" t="s">
        <v>538</v>
      </c>
      <c r="C164" s="60" t="s">
        <v>539</v>
      </c>
      <c r="D164" s="60" t="s">
        <v>540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9500</f>
        <v>9500</v>
      </c>
      <c r="L164" s="67" t="s">
        <v>833</v>
      </c>
      <c r="M164" s="66">
        <f>9810</f>
        <v>9810</v>
      </c>
      <c r="N164" s="67" t="s">
        <v>100</v>
      </c>
      <c r="O164" s="66">
        <f>8770</f>
        <v>8770</v>
      </c>
      <c r="P164" s="67" t="s">
        <v>50</v>
      </c>
      <c r="Q164" s="66">
        <f>8830</f>
        <v>8830</v>
      </c>
      <c r="R164" s="67" t="s">
        <v>50</v>
      </c>
      <c r="S164" s="68">
        <f>9314.76</f>
        <v>9314.76</v>
      </c>
      <c r="T164" s="65">
        <f>14243</f>
        <v>14243</v>
      </c>
      <c r="U164" s="65">
        <f>30</f>
        <v>30</v>
      </c>
      <c r="V164" s="65">
        <f>133138680</f>
        <v>133138680</v>
      </c>
      <c r="W164" s="65">
        <f>283250</f>
        <v>283250</v>
      </c>
      <c r="X164" s="69">
        <f>21</f>
        <v>21</v>
      </c>
    </row>
    <row r="165" spans="1:24">
      <c r="A165" s="60" t="s">
        <v>902</v>
      </c>
      <c r="B165" s="60" t="s">
        <v>541</v>
      </c>
      <c r="C165" s="60" t="s">
        <v>542</v>
      </c>
      <c r="D165" s="60" t="s">
        <v>543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100</v>
      </c>
      <c r="K165" s="66">
        <f>113</f>
        <v>113</v>
      </c>
      <c r="L165" s="67" t="s">
        <v>833</v>
      </c>
      <c r="M165" s="66">
        <f>115</f>
        <v>115</v>
      </c>
      <c r="N165" s="67" t="s">
        <v>815</v>
      </c>
      <c r="O165" s="66">
        <f>110</f>
        <v>110</v>
      </c>
      <c r="P165" s="67" t="s">
        <v>91</v>
      </c>
      <c r="Q165" s="66">
        <f>113</f>
        <v>113</v>
      </c>
      <c r="R165" s="67" t="s">
        <v>50</v>
      </c>
      <c r="S165" s="68">
        <f>112.89</f>
        <v>112.89</v>
      </c>
      <c r="T165" s="65">
        <f>23600</f>
        <v>23600</v>
      </c>
      <c r="U165" s="65">
        <f>100</f>
        <v>100</v>
      </c>
      <c r="V165" s="65">
        <f>2682900</f>
        <v>2682900</v>
      </c>
      <c r="W165" s="65">
        <f>11200</f>
        <v>11200</v>
      </c>
      <c r="X165" s="69">
        <f>19</f>
        <v>19</v>
      </c>
    </row>
    <row r="166" spans="1:24">
      <c r="A166" s="60" t="s">
        <v>902</v>
      </c>
      <c r="B166" s="60" t="s">
        <v>544</v>
      </c>
      <c r="C166" s="60" t="s">
        <v>545</v>
      </c>
      <c r="D166" s="60" t="s">
        <v>546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</v>
      </c>
      <c r="K166" s="66">
        <f>807</f>
        <v>807</v>
      </c>
      <c r="L166" s="67" t="s">
        <v>833</v>
      </c>
      <c r="M166" s="66">
        <f>863</f>
        <v>863</v>
      </c>
      <c r="N166" s="67" t="s">
        <v>119</v>
      </c>
      <c r="O166" s="66">
        <f>729</f>
        <v>729</v>
      </c>
      <c r="P166" s="67" t="s">
        <v>50</v>
      </c>
      <c r="Q166" s="66">
        <f>732</f>
        <v>732</v>
      </c>
      <c r="R166" s="67" t="s">
        <v>50</v>
      </c>
      <c r="S166" s="68">
        <f>820.9</f>
        <v>820.9</v>
      </c>
      <c r="T166" s="65">
        <f>54649536</f>
        <v>54649536</v>
      </c>
      <c r="U166" s="65">
        <f>818150</f>
        <v>818150</v>
      </c>
      <c r="V166" s="65">
        <f>44677520291</f>
        <v>44677520291</v>
      </c>
      <c r="W166" s="65">
        <f>613590613</f>
        <v>613590613</v>
      </c>
      <c r="X166" s="69">
        <f>21</f>
        <v>21</v>
      </c>
    </row>
    <row r="167" spans="1:24">
      <c r="A167" s="60" t="s">
        <v>902</v>
      </c>
      <c r="B167" s="60" t="s">
        <v>737</v>
      </c>
      <c r="C167" s="60" t="s">
        <v>738</v>
      </c>
      <c r="D167" s="60" t="s">
        <v>739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f>19090</f>
        <v>19090</v>
      </c>
      <c r="L167" s="67" t="s">
        <v>833</v>
      </c>
      <c r="M167" s="66">
        <f>19480</f>
        <v>19480</v>
      </c>
      <c r="N167" s="67" t="s">
        <v>815</v>
      </c>
      <c r="O167" s="66">
        <f>18480</f>
        <v>18480</v>
      </c>
      <c r="P167" s="67" t="s">
        <v>50</v>
      </c>
      <c r="Q167" s="66">
        <f>18480</f>
        <v>18480</v>
      </c>
      <c r="R167" s="67" t="s">
        <v>50</v>
      </c>
      <c r="S167" s="68">
        <f>18966.19</f>
        <v>18966.189999999999</v>
      </c>
      <c r="T167" s="65">
        <f>3790</f>
        <v>3790</v>
      </c>
      <c r="U167" s="65" t="str">
        <f>"－"</f>
        <v>－</v>
      </c>
      <c r="V167" s="65">
        <f>72092930</f>
        <v>72092930</v>
      </c>
      <c r="W167" s="65" t="str">
        <f>"－"</f>
        <v>－</v>
      </c>
      <c r="X167" s="69">
        <f>21</f>
        <v>21</v>
      </c>
    </row>
    <row r="168" spans="1:24">
      <c r="A168" s="60" t="s">
        <v>902</v>
      </c>
      <c r="B168" s="60" t="s">
        <v>740</v>
      </c>
      <c r="C168" s="60" t="s">
        <v>741</v>
      </c>
      <c r="D168" s="60" t="s">
        <v>742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10</v>
      </c>
      <c r="K168" s="66">
        <f>2368</f>
        <v>2368</v>
      </c>
      <c r="L168" s="67" t="s">
        <v>833</v>
      </c>
      <c r="M168" s="66">
        <f>2521</f>
        <v>2521</v>
      </c>
      <c r="N168" s="67" t="s">
        <v>815</v>
      </c>
      <c r="O168" s="66">
        <f>2267</f>
        <v>2267</v>
      </c>
      <c r="P168" s="67" t="s">
        <v>245</v>
      </c>
      <c r="Q168" s="66">
        <f>2267</f>
        <v>2267</v>
      </c>
      <c r="R168" s="67" t="s">
        <v>50</v>
      </c>
      <c r="S168" s="68">
        <f>2387.24</f>
        <v>2387.2399999999998</v>
      </c>
      <c r="T168" s="65">
        <f>27360</f>
        <v>27360</v>
      </c>
      <c r="U168" s="65" t="str">
        <f>"－"</f>
        <v>－</v>
      </c>
      <c r="V168" s="65">
        <f>65731000</f>
        <v>65731000</v>
      </c>
      <c r="W168" s="65" t="str">
        <f>"－"</f>
        <v>－</v>
      </c>
      <c r="X168" s="69">
        <f>21</f>
        <v>21</v>
      </c>
    </row>
    <row r="169" spans="1:24">
      <c r="A169" s="60" t="s">
        <v>902</v>
      </c>
      <c r="B169" s="60" t="s">
        <v>743</v>
      </c>
      <c r="C169" s="60" t="s">
        <v>744</v>
      </c>
      <c r="D169" s="60" t="s">
        <v>745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</v>
      </c>
      <c r="K169" s="66">
        <f>9050</f>
        <v>9050</v>
      </c>
      <c r="L169" s="67" t="s">
        <v>833</v>
      </c>
      <c r="M169" s="66">
        <f>9290</f>
        <v>9290</v>
      </c>
      <c r="N169" s="67" t="s">
        <v>815</v>
      </c>
      <c r="O169" s="66">
        <f>8400</f>
        <v>8400</v>
      </c>
      <c r="P169" s="67" t="s">
        <v>50</v>
      </c>
      <c r="Q169" s="66">
        <f>8400</f>
        <v>8400</v>
      </c>
      <c r="R169" s="67" t="s">
        <v>50</v>
      </c>
      <c r="S169" s="68">
        <f>8770.95</f>
        <v>8770.9500000000007</v>
      </c>
      <c r="T169" s="65">
        <f>9080</f>
        <v>9080</v>
      </c>
      <c r="U169" s="65" t="str">
        <f>"－"</f>
        <v>－</v>
      </c>
      <c r="V169" s="65">
        <f>80521410</f>
        <v>80521410</v>
      </c>
      <c r="W169" s="65" t="str">
        <f>"－"</f>
        <v>－</v>
      </c>
      <c r="X169" s="69">
        <f>21</f>
        <v>21</v>
      </c>
    </row>
    <row r="170" spans="1:24">
      <c r="A170" s="60" t="s">
        <v>902</v>
      </c>
      <c r="B170" s="60" t="s">
        <v>746</v>
      </c>
      <c r="C170" s="60" t="s">
        <v>747</v>
      </c>
      <c r="D170" s="60" t="s">
        <v>748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</v>
      </c>
      <c r="K170" s="66">
        <f>23530</f>
        <v>23530</v>
      </c>
      <c r="L170" s="67" t="s">
        <v>833</v>
      </c>
      <c r="M170" s="66">
        <f>24850</f>
        <v>24850</v>
      </c>
      <c r="N170" s="67" t="s">
        <v>72</v>
      </c>
      <c r="O170" s="66">
        <f>22860</f>
        <v>22860</v>
      </c>
      <c r="P170" s="67" t="s">
        <v>817</v>
      </c>
      <c r="Q170" s="66">
        <f>23000</f>
        <v>23000</v>
      </c>
      <c r="R170" s="67" t="s">
        <v>245</v>
      </c>
      <c r="S170" s="68">
        <f>23678.24</f>
        <v>23678.240000000002</v>
      </c>
      <c r="T170" s="65">
        <f>254</f>
        <v>254</v>
      </c>
      <c r="U170" s="65" t="str">
        <f>"－"</f>
        <v>－</v>
      </c>
      <c r="V170" s="65">
        <f>6103490</f>
        <v>6103490</v>
      </c>
      <c r="W170" s="65" t="str">
        <f>"－"</f>
        <v>－</v>
      </c>
      <c r="X170" s="69">
        <f>17</f>
        <v>17</v>
      </c>
    </row>
    <row r="171" spans="1:24">
      <c r="A171" s="60" t="s">
        <v>902</v>
      </c>
      <c r="B171" s="60" t="s">
        <v>749</v>
      </c>
      <c r="C171" s="60" t="s">
        <v>750</v>
      </c>
      <c r="D171" s="60" t="s">
        <v>751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</v>
      </c>
      <c r="K171" s="66">
        <f>17180</f>
        <v>17180</v>
      </c>
      <c r="L171" s="67" t="s">
        <v>815</v>
      </c>
      <c r="M171" s="66">
        <f>17280</f>
        <v>17280</v>
      </c>
      <c r="N171" s="67" t="s">
        <v>815</v>
      </c>
      <c r="O171" s="66">
        <f>15780</f>
        <v>15780</v>
      </c>
      <c r="P171" s="67" t="s">
        <v>86</v>
      </c>
      <c r="Q171" s="66">
        <f>17080</f>
        <v>17080</v>
      </c>
      <c r="R171" s="67" t="s">
        <v>821</v>
      </c>
      <c r="S171" s="68">
        <f>16490</f>
        <v>16490</v>
      </c>
      <c r="T171" s="65">
        <f>8</f>
        <v>8</v>
      </c>
      <c r="U171" s="65" t="str">
        <f>"－"</f>
        <v>－</v>
      </c>
      <c r="V171" s="65">
        <f>134980</f>
        <v>134980</v>
      </c>
      <c r="W171" s="65" t="str">
        <f>"－"</f>
        <v>－</v>
      </c>
      <c r="X171" s="69">
        <f>4</f>
        <v>4</v>
      </c>
    </row>
    <row r="172" spans="1:24">
      <c r="A172" s="60" t="s">
        <v>902</v>
      </c>
      <c r="B172" s="60" t="s">
        <v>547</v>
      </c>
      <c r="C172" s="60" t="s">
        <v>548</v>
      </c>
      <c r="D172" s="60" t="s">
        <v>549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10</v>
      </c>
      <c r="K172" s="66">
        <f>51500</f>
        <v>51500</v>
      </c>
      <c r="L172" s="67" t="s">
        <v>833</v>
      </c>
      <c r="M172" s="66">
        <f>51600</f>
        <v>51600</v>
      </c>
      <c r="N172" s="67" t="s">
        <v>50</v>
      </c>
      <c r="O172" s="66">
        <f>50600</f>
        <v>50600</v>
      </c>
      <c r="P172" s="67" t="s">
        <v>50</v>
      </c>
      <c r="Q172" s="66">
        <f>51400</f>
        <v>51400</v>
      </c>
      <c r="R172" s="67" t="s">
        <v>50</v>
      </c>
      <c r="S172" s="68">
        <f>51271.43</f>
        <v>51271.43</v>
      </c>
      <c r="T172" s="65">
        <f>16670</f>
        <v>16670</v>
      </c>
      <c r="U172" s="65">
        <f>2000</f>
        <v>2000</v>
      </c>
      <c r="V172" s="65">
        <f>854451946</f>
        <v>854451946</v>
      </c>
      <c r="W172" s="65">
        <f>102851946</f>
        <v>102851946</v>
      </c>
      <c r="X172" s="69">
        <f>21</f>
        <v>21</v>
      </c>
    </row>
    <row r="173" spans="1:24">
      <c r="A173" s="60" t="s">
        <v>902</v>
      </c>
      <c r="B173" s="60" t="s">
        <v>550</v>
      </c>
      <c r="C173" s="60" t="s">
        <v>551</v>
      </c>
      <c r="D173" s="60" t="s">
        <v>552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100</v>
      </c>
      <c r="K173" s="66">
        <f>147</f>
        <v>147</v>
      </c>
      <c r="L173" s="67" t="s">
        <v>833</v>
      </c>
      <c r="M173" s="66">
        <f>155</f>
        <v>155</v>
      </c>
      <c r="N173" s="67" t="s">
        <v>119</v>
      </c>
      <c r="O173" s="66">
        <f>145</f>
        <v>145</v>
      </c>
      <c r="P173" s="67" t="s">
        <v>833</v>
      </c>
      <c r="Q173" s="66">
        <f>145</f>
        <v>145</v>
      </c>
      <c r="R173" s="67" t="s">
        <v>50</v>
      </c>
      <c r="S173" s="68">
        <f>151.14</f>
        <v>151.13999999999999</v>
      </c>
      <c r="T173" s="65">
        <f>5527800</f>
        <v>5527800</v>
      </c>
      <c r="U173" s="65">
        <f>8500</f>
        <v>8500</v>
      </c>
      <c r="V173" s="65">
        <f>833158200</f>
        <v>833158200</v>
      </c>
      <c r="W173" s="65">
        <f>1288500</f>
        <v>1288500</v>
      </c>
      <c r="X173" s="69">
        <f>21</f>
        <v>21</v>
      </c>
    </row>
    <row r="174" spans="1:24">
      <c r="A174" s="60" t="s">
        <v>902</v>
      </c>
      <c r="B174" s="60" t="s">
        <v>553</v>
      </c>
      <c r="C174" s="60" t="s">
        <v>554</v>
      </c>
      <c r="D174" s="60" t="s">
        <v>555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</v>
      </c>
      <c r="K174" s="66">
        <f>26240</f>
        <v>26240</v>
      </c>
      <c r="L174" s="67" t="s">
        <v>833</v>
      </c>
      <c r="M174" s="66">
        <f>27160</f>
        <v>27160</v>
      </c>
      <c r="N174" s="67" t="s">
        <v>820</v>
      </c>
      <c r="O174" s="66">
        <f>24320</f>
        <v>24320</v>
      </c>
      <c r="P174" s="67" t="s">
        <v>50</v>
      </c>
      <c r="Q174" s="66">
        <f>24320</f>
        <v>24320</v>
      </c>
      <c r="R174" s="67" t="s">
        <v>50</v>
      </c>
      <c r="S174" s="68">
        <f>26352</f>
        <v>26352</v>
      </c>
      <c r="T174" s="65">
        <f>9500</f>
        <v>9500</v>
      </c>
      <c r="U174" s="65" t="str">
        <f>"－"</f>
        <v>－</v>
      </c>
      <c r="V174" s="65">
        <f>246717000</f>
        <v>246717000</v>
      </c>
      <c r="W174" s="65" t="str">
        <f>"－"</f>
        <v>－</v>
      </c>
      <c r="X174" s="69">
        <f>20</f>
        <v>20</v>
      </c>
    </row>
    <row r="175" spans="1:24">
      <c r="A175" s="60" t="s">
        <v>902</v>
      </c>
      <c r="B175" s="60" t="s">
        <v>556</v>
      </c>
      <c r="C175" s="60" t="s">
        <v>557</v>
      </c>
      <c r="D175" s="60" t="s">
        <v>558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2633</f>
        <v>2633</v>
      </c>
      <c r="L175" s="67" t="s">
        <v>833</v>
      </c>
      <c r="M175" s="66">
        <f>2738</f>
        <v>2738</v>
      </c>
      <c r="N175" s="67" t="s">
        <v>820</v>
      </c>
      <c r="O175" s="66">
        <f>2505</f>
        <v>2505</v>
      </c>
      <c r="P175" s="67" t="s">
        <v>50</v>
      </c>
      <c r="Q175" s="66">
        <f>2511</f>
        <v>2511</v>
      </c>
      <c r="R175" s="67" t="s">
        <v>50</v>
      </c>
      <c r="S175" s="68">
        <f>2659.62</f>
        <v>2659.62</v>
      </c>
      <c r="T175" s="65">
        <f>227370</f>
        <v>227370</v>
      </c>
      <c r="U175" s="65">
        <f>150000</f>
        <v>150000</v>
      </c>
      <c r="V175" s="65">
        <f>608285890</f>
        <v>608285890</v>
      </c>
      <c r="W175" s="65">
        <f>403377200</f>
        <v>403377200</v>
      </c>
      <c r="X175" s="69">
        <f>21</f>
        <v>21</v>
      </c>
    </row>
    <row r="176" spans="1:24">
      <c r="A176" s="60" t="s">
        <v>902</v>
      </c>
      <c r="B176" s="60" t="s">
        <v>559</v>
      </c>
      <c r="C176" s="60" t="s">
        <v>560</v>
      </c>
      <c r="D176" s="60" t="s">
        <v>561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1473</f>
        <v>1473</v>
      </c>
      <c r="L176" s="67" t="s">
        <v>833</v>
      </c>
      <c r="M176" s="66">
        <f>1524</f>
        <v>1524</v>
      </c>
      <c r="N176" s="67" t="s">
        <v>150</v>
      </c>
      <c r="O176" s="66">
        <f>1429</f>
        <v>1429</v>
      </c>
      <c r="P176" s="67" t="s">
        <v>833</v>
      </c>
      <c r="Q176" s="66">
        <f>1456</f>
        <v>1456</v>
      </c>
      <c r="R176" s="67" t="s">
        <v>50</v>
      </c>
      <c r="S176" s="68">
        <f>1493.9</f>
        <v>1493.9</v>
      </c>
      <c r="T176" s="65">
        <f>110040</f>
        <v>110040</v>
      </c>
      <c r="U176" s="65">
        <f>20</f>
        <v>20</v>
      </c>
      <c r="V176" s="65">
        <f>164345500</f>
        <v>164345500</v>
      </c>
      <c r="W176" s="65">
        <f>30230</f>
        <v>30230</v>
      </c>
      <c r="X176" s="69">
        <f>21</f>
        <v>21</v>
      </c>
    </row>
    <row r="177" spans="1:24">
      <c r="A177" s="60" t="s">
        <v>902</v>
      </c>
      <c r="B177" s="60" t="s">
        <v>562</v>
      </c>
      <c r="C177" s="60" t="s">
        <v>854</v>
      </c>
      <c r="D177" s="60" t="s">
        <v>855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100</v>
      </c>
      <c r="K177" s="66">
        <f>164</f>
        <v>164</v>
      </c>
      <c r="L177" s="67" t="s">
        <v>833</v>
      </c>
      <c r="M177" s="66">
        <f>168</f>
        <v>168</v>
      </c>
      <c r="N177" s="67" t="s">
        <v>815</v>
      </c>
      <c r="O177" s="66">
        <f>155</f>
        <v>155</v>
      </c>
      <c r="P177" s="67" t="s">
        <v>50</v>
      </c>
      <c r="Q177" s="66">
        <f>157</f>
        <v>157</v>
      </c>
      <c r="R177" s="67" t="s">
        <v>50</v>
      </c>
      <c r="S177" s="68">
        <f>160.57</f>
        <v>160.57</v>
      </c>
      <c r="T177" s="65">
        <f>320400</f>
        <v>320400</v>
      </c>
      <c r="U177" s="65" t="str">
        <f t="shared" ref="U177:U188" si="4">"－"</f>
        <v>－</v>
      </c>
      <c r="V177" s="65">
        <f>51652400</f>
        <v>51652400</v>
      </c>
      <c r="W177" s="65" t="str">
        <f t="shared" ref="W177:W188" si="5">"－"</f>
        <v>－</v>
      </c>
      <c r="X177" s="69">
        <f>21</f>
        <v>21</v>
      </c>
    </row>
    <row r="178" spans="1:24">
      <c r="A178" s="60" t="s">
        <v>902</v>
      </c>
      <c r="B178" s="60" t="s">
        <v>752</v>
      </c>
      <c r="C178" s="60" t="s">
        <v>753</v>
      </c>
      <c r="D178" s="60" t="s">
        <v>754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</v>
      </c>
      <c r="K178" s="66">
        <f>780</f>
        <v>780</v>
      </c>
      <c r="L178" s="67" t="s">
        <v>817</v>
      </c>
      <c r="M178" s="66">
        <f>780</f>
        <v>780</v>
      </c>
      <c r="N178" s="67" t="s">
        <v>817</v>
      </c>
      <c r="O178" s="66">
        <f>780</f>
        <v>780</v>
      </c>
      <c r="P178" s="67" t="s">
        <v>817</v>
      </c>
      <c r="Q178" s="66">
        <f>780</f>
        <v>780</v>
      </c>
      <c r="R178" s="67" t="s">
        <v>817</v>
      </c>
      <c r="S178" s="68">
        <f>780</f>
        <v>780</v>
      </c>
      <c r="T178" s="65">
        <f>130</f>
        <v>130</v>
      </c>
      <c r="U178" s="65" t="str">
        <f t="shared" si="4"/>
        <v>－</v>
      </c>
      <c r="V178" s="65">
        <f>101400</f>
        <v>101400</v>
      </c>
      <c r="W178" s="65" t="str">
        <f t="shared" si="5"/>
        <v>－</v>
      </c>
      <c r="X178" s="69">
        <f>1</f>
        <v>1</v>
      </c>
    </row>
    <row r="179" spans="1:24">
      <c r="A179" s="60" t="s">
        <v>902</v>
      </c>
      <c r="B179" s="60" t="s">
        <v>755</v>
      </c>
      <c r="C179" s="60" t="s">
        <v>756</v>
      </c>
      <c r="D179" s="60" t="s">
        <v>757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f>207</f>
        <v>207</v>
      </c>
      <c r="L179" s="67" t="s">
        <v>833</v>
      </c>
      <c r="M179" s="66">
        <f>222</f>
        <v>222</v>
      </c>
      <c r="N179" s="67" t="s">
        <v>815</v>
      </c>
      <c r="O179" s="66">
        <f>195</f>
        <v>195</v>
      </c>
      <c r="P179" s="67" t="s">
        <v>245</v>
      </c>
      <c r="Q179" s="66">
        <f>216</f>
        <v>216</v>
      </c>
      <c r="R179" s="67" t="s">
        <v>245</v>
      </c>
      <c r="S179" s="68">
        <f>213.17</f>
        <v>213.17</v>
      </c>
      <c r="T179" s="65">
        <f>18110</f>
        <v>18110</v>
      </c>
      <c r="U179" s="65" t="str">
        <f t="shared" si="4"/>
        <v>－</v>
      </c>
      <c r="V179" s="65">
        <f>3833510</f>
        <v>3833510</v>
      </c>
      <c r="W179" s="65" t="str">
        <f t="shared" si="5"/>
        <v>－</v>
      </c>
      <c r="X179" s="69">
        <f>18</f>
        <v>18</v>
      </c>
    </row>
    <row r="180" spans="1:24">
      <c r="A180" s="60" t="s">
        <v>902</v>
      </c>
      <c r="B180" s="60" t="s">
        <v>758</v>
      </c>
      <c r="C180" s="60" t="s">
        <v>759</v>
      </c>
      <c r="D180" s="60" t="s">
        <v>760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>
        <f>1201</f>
        <v>1201</v>
      </c>
      <c r="L180" s="67" t="s">
        <v>833</v>
      </c>
      <c r="M180" s="66">
        <f>1325</f>
        <v>1325</v>
      </c>
      <c r="N180" s="67" t="s">
        <v>819</v>
      </c>
      <c r="O180" s="66">
        <f>1201</f>
        <v>1201</v>
      </c>
      <c r="P180" s="67" t="s">
        <v>833</v>
      </c>
      <c r="Q180" s="66">
        <f>1261</f>
        <v>1261</v>
      </c>
      <c r="R180" s="67" t="s">
        <v>150</v>
      </c>
      <c r="S180" s="68">
        <f>1262.33</f>
        <v>1262.33</v>
      </c>
      <c r="T180" s="65">
        <f>30</f>
        <v>30</v>
      </c>
      <c r="U180" s="65" t="str">
        <f t="shared" si="4"/>
        <v>－</v>
      </c>
      <c r="V180" s="65">
        <f>37870</f>
        <v>37870</v>
      </c>
      <c r="W180" s="65" t="str">
        <f t="shared" si="5"/>
        <v>－</v>
      </c>
      <c r="X180" s="69">
        <f>3</f>
        <v>3</v>
      </c>
    </row>
    <row r="181" spans="1:24">
      <c r="A181" s="60" t="s">
        <v>902</v>
      </c>
      <c r="B181" s="60" t="s">
        <v>761</v>
      </c>
      <c r="C181" s="60" t="s">
        <v>762</v>
      </c>
      <c r="D181" s="60" t="s">
        <v>763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409</f>
        <v>409</v>
      </c>
      <c r="L181" s="67" t="s">
        <v>833</v>
      </c>
      <c r="M181" s="66">
        <f>442</f>
        <v>442</v>
      </c>
      <c r="N181" s="67" t="s">
        <v>821</v>
      </c>
      <c r="O181" s="66">
        <f>407</f>
        <v>407</v>
      </c>
      <c r="P181" s="67" t="s">
        <v>833</v>
      </c>
      <c r="Q181" s="66">
        <f>422</f>
        <v>422</v>
      </c>
      <c r="R181" s="67" t="s">
        <v>50</v>
      </c>
      <c r="S181" s="68">
        <f>426.62</f>
        <v>426.62</v>
      </c>
      <c r="T181" s="65">
        <f>29690</f>
        <v>29690</v>
      </c>
      <c r="U181" s="65" t="str">
        <f t="shared" si="4"/>
        <v>－</v>
      </c>
      <c r="V181" s="65">
        <f>12619120</f>
        <v>12619120</v>
      </c>
      <c r="W181" s="65" t="str">
        <f t="shared" si="5"/>
        <v>－</v>
      </c>
      <c r="X181" s="69">
        <f>21</f>
        <v>21</v>
      </c>
    </row>
    <row r="182" spans="1:24">
      <c r="A182" s="60" t="s">
        <v>902</v>
      </c>
      <c r="B182" s="60" t="s">
        <v>764</v>
      </c>
      <c r="C182" s="60" t="s">
        <v>765</v>
      </c>
      <c r="D182" s="60" t="s">
        <v>766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</v>
      </c>
      <c r="K182" s="66">
        <f>299</f>
        <v>299</v>
      </c>
      <c r="L182" s="67" t="s">
        <v>833</v>
      </c>
      <c r="M182" s="66">
        <f>327</f>
        <v>327</v>
      </c>
      <c r="N182" s="67" t="s">
        <v>91</v>
      </c>
      <c r="O182" s="66">
        <f>298</f>
        <v>298</v>
      </c>
      <c r="P182" s="67" t="s">
        <v>833</v>
      </c>
      <c r="Q182" s="66">
        <f>311</f>
        <v>311</v>
      </c>
      <c r="R182" s="67" t="s">
        <v>50</v>
      </c>
      <c r="S182" s="68">
        <f>314.24</f>
        <v>314.24</v>
      </c>
      <c r="T182" s="65">
        <f>530720</f>
        <v>530720</v>
      </c>
      <c r="U182" s="65" t="str">
        <f t="shared" si="4"/>
        <v>－</v>
      </c>
      <c r="V182" s="65">
        <f>164123260</f>
        <v>164123260</v>
      </c>
      <c r="W182" s="65" t="str">
        <f t="shared" si="5"/>
        <v>－</v>
      </c>
      <c r="X182" s="69">
        <f>21</f>
        <v>21</v>
      </c>
    </row>
    <row r="183" spans="1:24">
      <c r="A183" s="60" t="s">
        <v>902</v>
      </c>
      <c r="B183" s="60" t="s">
        <v>767</v>
      </c>
      <c r="C183" s="60" t="s">
        <v>768</v>
      </c>
      <c r="D183" s="60" t="s">
        <v>769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100</v>
      </c>
      <c r="K183" s="66">
        <f>1</f>
        <v>1</v>
      </c>
      <c r="L183" s="67" t="s">
        <v>833</v>
      </c>
      <c r="M183" s="66">
        <f>2</f>
        <v>2</v>
      </c>
      <c r="N183" s="67" t="s">
        <v>833</v>
      </c>
      <c r="O183" s="66">
        <f>1</f>
        <v>1</v>
      </c>
      <c r="P183" s="67" t="s">
        <v>833</v>
      </c>
      <c r="Q183" s="66">
        <f>1</f>
        <v>1</v>
      </c>
      <c r="R183" s="67" t="s">
        <v>50</v>
      </c>
      <c r="S183" s="68">
        <f>1.48</f>
        <v>1.48</v>
      </c>
      <c r="T183" s="65">
        <f>243431200</f>
        <v>243431200</v>
      </c>
      <c r="U183" s="65" t="str">
        <f t="shared" si="4"/>
        <v>－</v>
      </c>
      <c r="V183" s="65">
        <f>398103900</f>
        <v>398103900</v>
      </c>
      <c r="W183" s="65" t="str">
        <f t="shared" si="5"/>
        <v>－</v>
      </c>
      <c r="X183" s="69">
        <f>21</f>
        <v>21</v>
      </c>
    </row>
    <row r="184" spans="1:24">
      <c r="A184" s="60" t="s">
        <v>902</v>
      </c>
      <c r="B184" s="60" t="s">
        <v>770</v>
      </c>
      <c r="C184" s="60" t="s">
        <v>771</v>
      </c>
      <c r="D184" s="60" t="s">
        <v>772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</v>
      </c>
      <c r="K184" s="66">
        <f>375</f>
        <v>375</v>
      </c>
      <c r="L184" s="67" t="s">
        <v>833</v>
      </c>
      <c r="M184" s="66">
        <f>402</f>
        <v>402</v>
      </c>
      <c r="N184" s="67" t="s">
        <v>119</v>
      </c>
      <c r="O184" s="66">
        <f>340</f>
        <v>340</v>
      </c>
      <c r="P184" s="67" t="s">
        <v>50</v>
      </c>
      <c r="Q184" s="66">
        <f>342</f>
        <v>342</v>
      </c>
      <c r="R184" s="67" t="s">
        <v>50</v>
      </c>
      <c r="S184" s="68">
        <f>382.33</f>
        <v>382.33</v>
      </c>
      <c r="T184" s="65">
        <f>1508600</f>
        <v>1508600</v>
      </c>
      <c r="U184" s="65" t="str">
        <f t="shared" si="4"/>
        <v>－</v>
      </c>
      <c r="V184" s="65">
        <f>571820400</f>
        <v>571820400</v>
      </c>
      <c r="W184" s="65" t="str">
        <f t="shared" si="5"/>
        <v>－</v>
      </c>
      <c r="X184" s="69">
        <f>21</f>
        <v>21</v>
      </c>
    </row>
    <row r="185" spans="1:24">
      <c r="A185" s="60" t="s">
        <v>902</v>
      </c>
      <c r="B185" s="60" t="s">
        <v>773</v>
      </c>
      <c r="C185" s="60" t="s">
        <v>774</v>
      </c>
      <c r="D185" s="60" t="s">
        <v>775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</v>
      </c>
      <c r="K185" s="66">
        <f>1719</f>
        <v>1719</v>
      </c>
      <c r="L185" s="67" t="s">
        <v>833</v>
      </c>
      <c r="M185" s="66">
        <f>1719</f>
        <v>1719</v>
      </c>
      <c r="N185" s="67" t="s">
        <v>833</v>
      </c>
      <c r="O185" s="66">
        <f>1485</f>
        <v>1485</v>
      </c>
      <c r="P185" s="67" t="s">
        <v>50</v>
      </c>
      <c r="Q185" s="66">
        <f>1540</f>
        <v>1540</v>
      </c>
      <c r="R185" s="67" t="s">
        <v>50</v>
      </c>
      <c r="S185" s="68">
        <f>1643</f>
        <v>1643</v>
      </c>
      <c r="T185" s="65">
        <f>3459</f>
        <v>3459</v>
      </c>
      <c r="U185" s="65" t="str">
        <f t="shared" si="4"/>
        <v>－</v>
      </c>
      <c r="V185" s="65">
        <f>5585871</f>
        <v>5585871</v>
      </c>
      <c r="W185" s="65" t="str">
        <f t="shared" si="5"/>
        <v>－</v>
      </c>
      <c r="X185" s="69">
        <f>19</f>
        <v>19</v>
      </c>
    </row>
    <row r="186" spans="1:24">
      <c r="A186" s="60" t="s">
        <v>902</v>
      </c>
      <c r="B186" s="60" t="s">
        <v>776</v>
      </c>
      <c r="C186" s="60" t="s">
        <v>777</v>
      </c>
      <c r="D186" s="60" t="s">
        <v>778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100</v>
      </c>
      <c r="K186" s="66">
        <f>291</f>
        <v>291</v>
      </c>
      <c r="L186" s="67" t="s">
        <v>817</v>
      </c>
      <c r="M186" s="66">
        <f>301</f>
        <v>301</v>
      </c>
      <c r="N186" s="67" t="s">
        <v>99</v>
      </c>
      <c r="O186" s="66">
        <f>270</f>
        <v>270</v>
      </c>
      <c r="P186" s="67" t="s">
        <v>65</v>
      </c>
      <c r="Q186" s="66">
        <f>301</f>
        <v>301</v>
      </c>
      <c r="R186" s="67" t="s">
        <v>99</v>
      </c>
      <c r="S186" s="68">
        <f>287.14</f>
        <v>287.14</v>
      </c>
      <c r="T186" s="65">
        <f>6500</f>
        <v>6500</v>
      </c>
      <c r="U186" s="65" t="str">
        <f t="shared" si="4"/>
        <v>－</v>
      </c>
      <c r="V186" s="65">
        <f>1794400</f>
        <v>1794400</v>
      </c>
      <c r="W186" s="65" t="str">
        <f t="shared" si="5"/>
        <v>－</v>
      </c>
      <c r="X186" s="69">
        <f>7</f>
        <v>7</v>
      </c>
    </row>
    <row r="187" spans="1:24">
      <c r="A187" s="60" t="s">
        <v>902</v>
      </c>
      <c r="B187" s="60" t="s">
        <v>779</v>
      </c>
      <c r="C187" s="60" t="s">
        <v>780</v>
      </c>
      <c r="D187" s="60" t="s">
        <v>781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10</v>
      </c>
      <c r="K187" s="66">
        <f>2901</f>
        <v>2901</v>
      </c>
      <c r="L187" s="67" t="s">
        <v>833</v>
      </c>
      <c r="M187" s="66">
        <f>2991</f>
        <v>2991</v>
      </c>
      <c r="N187" s="67" t="s">
        <v>99</v>
      </c>
      <c r="O187" s="66">
        <f>2675</f>
        <v>2675</v>
      </c>
      <c r="P187" s="67" t="s">
        <v>833</v>
      </c>
      <c r="Q187" s="66">
        <f>2900</f>
        <v>2900</v>
      </c>
      <c r="R187" s="67" t="s">
        <v>50</v>
      </c>
      <c r="S187" s="68">
        <f>2889.2</f>
        <v>2889.2</v>
      </c>
      <c r="T187" s="65">
        <f>4530</f>
        <v>4530</v>
      </c>
      <c r="U187" s="65" t="str">
        <f t="shared" si="4"/>
        <v>－</v>
      </c>
      <c r="V187" s="65">
        <f>13011250</f>
        <v>13011250</v>
      </c>
      <c r="W187" s="65" t="str">
        <f t="shared" si="5"/>
        <v>－</v>
      </c>
      <c r="X187" s="69">
        <f>20</f>
        <v>20</v>
      </c>
    </row>
    <row r="188" spans="1:24">
      <c r="A188" s="60" t="s">
        <v>902</v>
      </c>
      <c r="B188" s="60" t="s">
        <v>782</v>
      </c>
      <c r="C188" s="60" t="s">
        <v>783</v>
      </c>
      <c r="D188" s="60" t="s">
        <v>784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</v>
      </c>
      <c r="K188" s="66">
        <f>1446</f>
        <v>1446</v>
      </c>
      <c r="L188" s="67" t="s">
        <v>48</v>
      </c>
      <c r="M188" s="66">
        <f>1600</f>
        <v>1600</v>
      </c>
      <c r="N188" s="67" t="s">
        <v>150</v>
      </c>
      <c r="O188" s="66">
        <f>1446</f>
        <v>1446</v>
      </c>
      <c r="P188" s="67" t="s">
        <v>48</v>
      </c>
      <c r="Q188" s="66">
        <f>1538</f>
        <v>1538</v>
      </c>
      <c r="R188" s="67" t="s">
        <v>245</v>
      </c>
      <c r="S188" s="68">
        <f>1534.3</f>
        <v>1534.3</v>
      </c>
      <c r="T188" s="65">
        <f>320</f>
        <v>320</v>
      </c>
      <c r="U188" s="65" t="str">
        <f t="shared" si="4"/>
        <v>－</v>
      </c>
      <c r="V188" s="65">
        <f>491400</f>
        <v>491400</v>
      </c>
      <c r="W188" s="65" t="str">
        <f t="shared" si="5"/>
        <v>－</v>
      </c>
      <c r="X188" s="69">
        <f>10</f>
        <v>10</v>
      </c>
    </row>
    <row r="189" spans="1:24">
      <c r="A189" s="60" t="s">
        <v>902</v>
      </c>
      <c r="B189" s="60" t="s">
        <v>785</v>
      </c>
      <c r="C189" s="60" t="s">
        <v>786</v>
      </c>
      <c r="D189" s="60" t="s">
        <v>787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100</v>
      </c>
      <c r="K189" s="66">
        <f>68</f>
        <v>68</v>
      </c>
      <c r="L189" s="67" t="s">
        <v>833</v>
      </c>
      <c r="M189" s="66">
        <f>77</f>
        <v>77</v>
      </c>
      <c r="N189" s="67" t="s">
        <v>819</v>
      </c>
      <c r="O189" s="66">
        <f>67</f>
        <v>67</v>
      </c>
      <c r="P189" s="67" t="s">
        <v>833</v>
      </c>
      <c r="Q189" s="66">
        <f>71</f>
        <v>71</v>
      </c>
      <c r="R189" s="67" t="s">
        <v>50</v>
      </c>
      <c r="S189" s="68">
        <f>72.48</f>
        <v>72.48</v>
      </c>
      <c r="T189" s="65">
        <f>10686400</f>
        <v>10686400</v>
      </c>
      <c r="U189" s="65">
        <f>300</f>
        <v>300</v>
      </c>
      <c r="V189" s="65">
        <f>765779200</f>
        <v>765779200</v>
      </c>
      <c r="W189" s="65">
        <f>22000</f>
        <v>22000</v>
      </c>
      <c r="X189" s="69">
        <f>21</f>
        <v>21</v>
      </c>
    </row>
    <row r="190" spans="1:24">
      <c r="A190" s="60" t="s">
        <v>902</v>
      </c>
      <c r="B190" s="60" t="s">
        <v>788</v>
      </c>
      <c r="C190" s="60" t="s">
        <v>789</v>
      </c>
      <c r="D190" s="60" t="s">
        <v>790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100</v>
      </c>
      <c r="K190" s="66">
        <f>70</f>
        <v>70</v>
      </c>
      <c r="L190" s="67" t="s">
        <v>833</v>
      </c>
      <c r="M190" s="66">
        <f>78</f>
        <v>78</v>
      </c>
      <c r="N190" s="67" t="s">
        <v>821</v>
      </c>
      <c r="O190" s="66">
        <f>69</f>
        <v>69</v>
      </c>
      <c r="P190" s="67" t="s">
        <v>833</v>
      </c>
      <c r="Q190" s="66">
        <f>72</f>
        <v>72</v>
      </c>
      <c r="R190" s="67" t="s">
        <v>50</v>
      </c>
      <c r="S190" s="68">
        <f>73.71</f>
        <v>73.709999999999994</v>
      </c>
      <c r="T190" s="65">
        <f>3594100</f>
        <v>3594100</v>
      </c>
      <c r="U190" s="65">
        <f>100</f>
        <v>100</v>
      </c>
      <c r="V190" s="65">
        <f>261802000</f>
        <v>261802000</v>
      </c>
      <c r="W190" s="65">
        <f>7300</f>
        <v>7300</v>
      </c>
      <c r="X190" s="69">
        <f>21</f>
        <v>21</v>
      </c>
    </row>
    <row r="191" spans="1:24">
      <c r="A191" s="60" t="s">
        <v>902</v>
      </c>
      <c r="B191" s="60" t="s">
        <v>791</v>
      </c>
      <c r="C191" s="60" t="s">
        <v>792</v>
      </c>
      <c r="D191" s="60" t="s">
        <v>793</v>
      </c>
      <c r="E191" s="61" t="s">
        <v>46</v>
      </c>
      <c r="F191" s="62" t="s">
        <v>46</v>
      </c>
      <c r="G191" s="63" t="s">
        <v>46</v>
      </c>
      <c r="H191" s="64"/>
      <c r="I191" s="64" t="s">
        <v>47</v>
      </c>
      <c r="J191" s="65">
        <v>10</v>
      </c>
      <c r="K191" s="66">
        <f>1850</f>
        <v>1850</v>
      </c>
      <c r="L191" s="67" t="s">
        <v>833</v>
      </c>
      <c r="M191" s="66">
        <f>2007</f>
        <v>2007</v>
      </c>
      <c r="N191" s="67" t="s">
        <v>91</v>
      </c>
      <c r="O191" s="66">
        <f>1808</f>
        <v>1808</v>
      </c>
      <c r="P191" s="67" t="s">
        <v>817</v>
      </c>
      <c r="Q191" s="66">
        <f>1905</f>
        <v>1905</v>
      </c>
      <c r="R191" s="67" t="s">
        <v>50</v>
      </c>
      <c r="S191" s="68">
        <f>1933.29</f>
        <v>1933.29</v>
      </c>
      <c r="T191" s="65">
        <f>41520</f>
        <v>41520</v>
      </c>
      <c r="U191" s="65">
        <f>20</f>
        <v>20</v>
      </c>
      <c r="V191" s="65">
        <f>79848090</f>
        <v>79848090</v>
      </c>
      <c r="W191" s="65">
        <f>38780</f>
        <v>38780</v>
      </c>
      <c r="X191" s="69">
        <f>21</f>
        <v>21</v>
      </c>
    </row>
    <row r="192" spans="1:24">
      <c r="A192" s="60" t="s">
        <v>902</v>
      </c>
      <c r="B192" s="60" t="s">
        <v>568</v>
      </c>
      <c r="C192" s="60" t="s">
        <v>569</v>
      </c>
      <c r="D192" s="60" t="s">
        <v>570</v>
      </c>
      <c r="E192" s="61" t="s">
        <v>46</v>
      </c>
      <c r="F192" s="62" t="s">
        <v>46</v>
      </c>
      <c r="G192" s="63" t="s">
        <v>46</v>
      </c>
      <c r="H192" s="64"/>
      <c r="I192" s="64" t="s">
        <v>47</v>
      </c>
      <c r="J192" s="65">
        <v>10</v>
      </c>
      <c r="K192" s="66">
        <f>1419</f>
        <v>1419</v>
      </c>
      <c r="L192" s="67" t="s">
        <v>833</v>
      </c>
      <c r="M192" s="66">
        <f>1450</f>
        <v>1450</v>
      </c>
      <c r="N192" s="67" t="s">
        <v>48</v>
      </c>
      <c r="O192" s="66">
        <f>1370</f>
        <v>1370</v>
      </c>
      <c r="P192" s="67" t="s">
        <v>50</v>
      </c>
      <c r="Q192" s="66">
        <f>1376</f>
        <v>1376</v>
      </c>
      <c r="R192" s="67" t="s">
        <v>50</v>
      </c>
      <c r="S192" s="68">
        <f>1417.43</f>
        <v>1417.43</v>
      </c>
      <c r="T192" s="65">
        <f>68690</f>
        <v>68690</v>
      </c>
      <c r="U192" s="65" t="str">
        <f>"－"</f>
        <v>－</v>
      </c>
      <c r="V192" s="65">
        <f>97356270</f>
        <v>97356270</v>
      </c>
      <c r="W192" s="65" t="str">
        <f>"－"</f>
        <v>－</v>
      </c>
      <c r="X192" s="69">
        <f>21</f>
        <v>21</v>
      </c>
    </row>
    <row r="193" spans="1:24">
      <c r="A193" s="60" t="s">
        <v>902</v>
      </c>
      <c r="B193" s="60" t="s">
        <v>571</v>
      </c>
      <c r="C193" s="60" t="s">
        <v>572</v>
      </c>
      <c r="D193" s="60" t="s">
        <v>573</v>
      </c>
      <c r="E193" s="61" t="s">
        <v>46</v>
      </c>
      <c r="F193" s="62" t="s">
        <v>46</v>
      </c>
      <c r="G193" s="63" t="s">
        <v>46</v>
      </c>
      <c r="H193" s="64"/>
      <c r="I193" s="64" t="s">
        <v>47</v>
      </c>
      <c r="J193" s="65">
        <v>10</v>
      </c>
      <c r="K193" s="66">
        <f>99</f>
        <v>99</v>
      </c>
      <c r="L193" s="67" t="s">
        <v>833</v>
      </c>
      <c r="M193" s="66">
        <f>107</f>
        <v>107</v>
      </c>
      <c r="N193" s="67" t="s">
        <v>119</v>
      </c>
      <c r="O193" s="66">
        <f>90</f>
        <v>90</v>
      </c>
      <c r="P193" s="67" t="s">
        <v>50</v>
      </c>
      <c r="Q193" s="66">
        <f>91</f>
        <v>91</v>
      </c>
      <c r="R193" s="67" t="s">
        <v>50</v>
      </c>
      <c r="S193" s="68">
        <f>101.19</f>
        <v>101.19</v>
      </c>
      <c r="T193" s="65">
        <f>213937760</f>
        <v>213937760</v>
      </c>
      <c r="U193" s="65">
        <f>1753950</f>
        <v>1753950</v>
      </c>
      <c r="V193" s="65">
        <f>21532407906</f>
        <v>21532407906</v>
      </c>
      <c r="W193" s="65">
        <f>162853906</f>
        <v>162853906</v>
      </c>
      <c r="X193" s="69">
        <f>21</f>
        <v>21</v>
      </c>
    </row>
    <row r="194" spans="1:24">
      <c r="A194" s="60" t="s">
        <v>902</v>
      </c>
      <c r="B194" s="60" t="s">
        <v>574</v>
      </c>
      <c r="C194" s="60" t="s">
        <v>575</v>
      </c>
      <c r="D194" s="60" t="s">
        <v>576</v>
      </c>
      <c r="E194" s="61" t="s">
        <v>46</v>
      </c>
      <c r="F194" s="62" t="s">
        <v>46</v>
      </c>
      <c r="G194" s="63" t="s">
        <v>46</v>
      </c>
      <c r="H194" s="64"/>
      <c r="I194" s="64" t="s">
        <v>577</v>
      </c>
      <c r="J194" s="65">
        <v>1</v>
      </c>
      <c r="K194" s="66">
        <f>8010</f>
        <v>8010</v>
      </c>
      <c r="L194" s="67" t="s">
        <v>833</v>
      </c>
      <c r="M194" s="66">
        <f>8970</f>
        <v>8970</v>
      </c>
      <c r="N194" s="67" t="s">
        <v>90</v>
      </c>
      <c r="O194" s="66">
        <f>8000</f>
        <v>8000</v>
      </c>
      <c r="P194" s="67" t="s">
        <v>833</v>
      </c>
      <c r="Q194" s="66">
        <f>8400</f>
        <v>8400</v>
      </c>
      <c r="R194" s="67" t="s">
        <v>50</v>
      </c>
      <c r="S194" s="68">
        <f>8537.62</f>
        <v>8537.6200000000008</v>
      </c>
      <c r="T194" s="65">
        <f>20454</f>
        <v>20454</v>
      </c>
      <c r="U194" s="65" t="str">
        <f>"－"</f>
        <v>－</v>
      </c>
      <c r="V194" s="65">
        <f>175393270</f>
        <v>175393270</v>
      </c>
      <c r="W194" s="65" t="str">
        <f>"－"</f>
        <v>－</v>
      </c>
      <c r="X194" s="69">
        <f>21</f>
        <v>21</v>
      </c>
    </row>
    <row r="195" spans="1:24">
      <c r="A195" s="60" t="s">
        <v>902</v>
      </c>
      <c r="B195" s="60" t="s">
        <v>578</v>
      </c>
      <c r="C195" s="60" t="s">
        <v>579</v>
      </c>
      <c r="D195" s="60" t="s">
        <v>580</v>
      </c>
      <c r="E195" s="61" t="s">
        <v>46</v>
      </c>
      <c r="F195" s="62" t="s">
        <v>46</v>
      </c>
      <c r="G195" s="63" t="s">
        <v>46</v>
      </c>
      <c r="H195" s="64"/>
      <c r="I195" s="64" t="s">
        <v>577</v>
      </c>
      <c r="J195" s="65">
        <v>1</v>
      </c>
      <c r="K195" s="66">
        <f>6230</f>
        <v>6230</v>
      </c>
      <c r="L195" s="67" t="s">
        <v>833</v>
      </c>
      <c r="M195" s="66">
        <f>6410</f>
        <v>6410</v>
      </c>
      <c r="N195" s="67" t="s">
        <v>833</v>
      </c>
      <c r="O195" s="66">
        <f>5940</f>
        <v>5940</v>
      </c>
      <c r="P195" s="67" t="s">
        <v>821</v>
      </c>
      <c r="Q195" s="66">
        <f>6170</f>
        <v>6170</v>
      </c>
      <c r="R195" s="67" t="s">
        <v>50</v>
      </c>
      <c r="S195" s="68">
        <f>6168.33</f>
        <v>6168.33</v>
      </c>
      <c r="T195" s="65">
        <f>1368</f>
        <v>1368</v>
      </c>
      <c r="U195" s="65" t="str">
        <f>"－"</f>
        <v>－</v>
      </c>
      <c r="V195" s="65">
        <f>8379950</f>
        <v>8379950</v>
      </c>
      <c r="W195" s="65" t="str">
        <f>"－"</f>
        <v>－</v>
      </c>
      <c r="X195" s="69">
        <f>18</f>
        <v>18</v>
      </c>
    </row>
    <row r="196" spans="1:24">
      <c r="A196" s="60" t="s">
        <v>902</v>
      </c>
      <c r="B196" s="60" t="s">
        <v>581</v>
      </c>
      <c r="C196" s="60" t="s">
        <v>582</v>
      </c>
      <c r="D196" s="60" t="s">
        <v>583</v>
      </c>
      <c r="E196" s="61" t="s">
        <v>46</v>
      </c>
      <c r="F196" s="62" t="s">
        <v>46</v>
      </c>
      <c r="G196" s="63" t="s">
        <v>46</v>
      </c>
      <c r="H196" s="64"/>
      <c r="I196" s="64" t="s">
        <v>577</v>
      </c>
      <c r="J196" s="65">
        <v>1</v>
      </c>
      <c r="K196" s="66">
        <f>10200</f>
        <v>10200</v>
      </c>
      <c r="L196" s="67" t="s">
        <v>833</v>
      </c>
      <c r="M196" s="66">
        <f>10800</f>
        <v>10800</v>
      </c>
      <c r="N196" s="67" t="s">
        <v>119</v>
      </c>
      <c r="O196" s="66">
        <f>9660</f>
        <v>9660</v>
      </c>
      <c r="P196" s="67" t="s">
        <v>50</v>
      </c>
      <c r="Q196" s="66">
        <f>9660</f>
        <v>9660</v>
      </c>
      <c r="R196" s="67" t="s">
        <v>50</v>
      </c>
      <c r="S196" s="68">
        <f>10440.5</f>
        <v>10440.5</v>
      </c>
      <c r="T196" s="65">
        <f>844</f>
        <v>844</v>
      </c>
      <c r="U196" s="65" t="str">
        <f>"－"</f>
        <v>－</v>
      </c>
      <c r="V196" s="65">
        <f>8629630</f>
        <v>8629630</v>
      </c>
      <c r="W196" s="65" t="str">
        <f>"－"</f>
        <v>－</v>
      </c>
      <c r="X196" s="69">
        <f>20</f>
        <v>20</v>
      </c>
    </row>
    <row r="197" spans="1:24">
      <c r="A197" s="60" t="s">
        <v>902</v>
      </c>
      <c r="B197" s="60" t="s">
        <v>584</v>
      </c>
      <c r="C197" s="60" t="s">
        <v>585</v>
      </c>
      <c r="D197" s="60" t="s">
        <v>586</v>
      </c>
      <c r="E197" s="61" t="s">
        <v>46</v>
      </c>
      <c r="F197" s="62" t="s">
        <v>46</v>
      </c>
      <c r="G197" s="63" t="s">
        <v>46</v>
      </c>
      <c r="H197" s="64"/>
      <c r="I197" s="64" t="s">
        <v>577</v>
      </c>
      <c r="J197" s="65">
        <v>1</v>
      </c>
      <c r="K197" s="66">
        <f>7650</f>
        <v>7650</v>
      </c>
      <c r="L197" s="67" t="s">
        <v>833</v>
      </c>
      <c r="M197" s="66">
        <f>8180</f>
        <v>8180</v>
      </c>
      <c r="N197" s="67" t="s">
        <v>50</v>
      </c>
      <c r="O197" s="66">
        <f>7600</f>
        <v>7600</v>
      </c>
      <c r="P197" s="67" t="s">
        <v>833</v>
      </c>
      <c r="Q197" s="66">
        <f>8180</f>
        <v>8180</v>
      </c>
      <c r="R197" s="67" t="s">
        <v>50</v>
      </c>
      <c r="S197" s="68">
        <f>7875.24</f>
        <v>7875.24</v>
      </c>
      <c r="T197" s="65">
        <f>5579</f>
        <v>5579</v>
      </c>
      <c r="U197" s="65" t="str">
        <f>"－"</f>
        <v>－</v>
      </c>
      <c r="V197" s="65">
        <f>43619110</f>
        <v>43619110</v>
      </c>
      <c r="W197" s="65" t="str">
        <f>"－"</f>
        <v>－</v>
      </c>
      <c r="X197" s="69">
        <f>21</f>
        <v>21</v>
      </c>
    </row>
    <row r="198" spans="1:24">
      <c r="A198" s="60" t="s">
        <v>902</v>
      </c>
      <c r="B198" s="60" t="s">
        <v>587</v>
      </c>
      <c r="C198" s="60" t="s">
        <v>588</v>
      </c>
      <c r="D198" s="60" t="s">
        <v>589</v>
      </c>
      <c r="E198" s="61" t="s">
        <v>46</v>
      </c>
      <c r="F198" s="62" t="s">
        <v>46</v>
      </c>
      <c r="G198" s="63" t="s">
        <v>46</v>
      </c>
      <c r="H198" s="64"/>
      <c r="I198" s="64" t="s">
        <v>577</v>
      </c>
      <c r="J198" s="65">
        <v>1</v>
      </c>
      <c r="K198" s="66">
        <f>471</f>
        <v>471</v>
      </c>
      <c r="L198" s="67" t="s">
        <v>833</v>
      </c>
      <c r="M198" s="66">
        <f>523</f>
        <v>523</v>
      </c>
      <c r="N198" s="67" t="s">
        <v>833</v>
      </c>
      <c r="O198" s="66">
        <f>383</f>
        <v>383</v>
      </c>
      <c r="P198" s="67" t="s">
        <v>90</v>
      </c>
      <c r="Q198" s="66">
        <f>433</f>
        <v>433</v>
      </c>
      <c r="R198" s="67" t="s">
        <v>50</v>
      </c>
      <c r="S198" s="68">
        <f>419.19</f>
        <v>419.19</v>
      </c>
      <c r="T198" s="65">
        <f>18705104</f>
        <v>18705104</v>
      </c>
      <c r="U198" s="65">
        <f>873</f>
        <v>873</v>
      </c>
      <c r="V198" s="65">
        <f>7914336799</f>
        <v>7914336799</v>
      </c>
      <c r="W198" s="65">
        <f>436371</f>
        <v>436371</v>
      </c>
      <c r="X198" s="69">
        <f>21</f>
        <v>21</v>
      </c>
    </row>
    <row r="199" spans="1:24">
      <c r="A199" s="60" t="s">
        <v>902</v>
      </c>
      <c r="B199" s="60" t="s">
        <v>590</v>
      </c>
      <c r="C199" s="60" t="s">
        <v>856</v>
      </c>
      <c r="D199" s="60" t="s">
        <v>857</v>
      </c>
      <c r="E199" s="61" t="s">
        <v>46</v>
      </c>
      <c r="F199" s="62" t="s">
        <v>46</v>
      </c>
      <c r="G199" s="63" t="s">
        <v>46</v>
      </c>
      <c r="H199" s="64"/>
      <c r="I199" s="64" t="s">
        <v>577</v>
      </c>
      <c r="J199" s="65">
        <v>1</v>
      </c>
      <c r="K199" s="66">
        <f>18800</f>
        <v>18800</v>
      </c>
      <c r="L199" s="67" t="s">
        <v>833</v>
      </c>
      <c r="M199" s="66">
        <f>19290</f>
        <v>19290</v>
      </c>
      <c r="N199" s="67" t="s">
        <v>815</v>
      </c>
      <c r="O199" s="66">
        <f>17700</f>
        <v>17700</v>
      </c>
      <c r="P199" s="67" t="s">
        <v>50</v>
      </c>
      <c r="Q199" s="66">
        <f>17700</f>
        <v>17700</v>
      </c>
      <c r="R199" s="67" t="s">
        <v>50</v>
      </c>
      <c r="S199" s="68">
        <f>18630</f>
        <v>18630</v>
      </c>
      <c r="T199" s="65">
        <f>37929</f>
        <v>37929</v>
      </c>
      <c r="U199" s="65">
        <f>86</f>
        <v>86</v>
      </c>
      <c r="V199" s="65">
        <f>706394740</f>
        <v>706394740</v>
      </c>
      <c r="W199" s="65">
        <f>1616850</f>
        <v>1616850</v>
      </c>
      <c r="X199" s="69">
        <f>21</f>
        <v>21</v>
      </c>
    </row>
    <row r="200" spans="1:24">
      <c r="A200" s="60" t="s">
        <v>902</v>
      </c>
      <c r="B200" s="60" t="s">
        <v>593</v>
      </c>
      <c r="C200" s="60" t="s">
        <v>858</v>
      </c>
      <c r="D200" s="60" t="s">
        <v>859</v>
      </c>
      <c r="E200" s="61" t="s">
        <v>46</v>
      </c>
      <c r="F200" s="62" t="s">
        <v>46</v>
      </c>
      <c r="G200" s="63" t="s">
        <v>46</v>
      </c>
      <c r="H200" s="64"/>
      <c r="I200" s="64" t="s">
        <v>577</v>
      </c>
      <c r="J200" s="65">
        <v>1</v>
      </c>
      <c r="K200" s="66">
        <f>5540</f>
        <v>5540</v>
      </c>
      <c r="L200" s="67" t="s">
        <v>833</v>
      </c>
      <c r="M200" s="66">
        <f>5710</f>
        <v>5710</v>
      </c>
      <c r="N200" s="67" t="s">
        <v>50</v>
      </c>
      <c r="O200" s="66">
        <f>5430</f>
        <v>5430</v>
      </c>
      <c r="P200" s="67" t="s">
        <v>815</v>
      </c>
      <c r="Q200" s="66">
        <f>5700</f>
        <v>5700</v>
      </c>
      <c r="R200" s="67" t="s">
        <v>50</v>
      </c>
      <c r="S200" s="68">
        <f>5549.05</f>
        <v>5549.05</v>
      </c>
      <c r="T200" s="65">
        <f>7233</f>
        <v>7233</v>
      </c>
      <c r="U200" s="65">
        <f>17</f>
        <v>17</v>
      </c>
      <c r="V200" s="65">
        <f>40351080</f>
        <v>40351080</v>
      </c>
      <c r="W200" s="65">
        <f>94680</f>
        <v>94680</v>
      </c>
      <c r="X200" s="69">
        <f>21</f>
        <v>21</v>
      </c>
    </row>
    <row r="201" spans="1:24">
      <c r="A201" s="60" t="s">
        <v>902</v>
      </c>
      <c r="B201" s="60" t="s">
        <v>596</v>
      </c>
      <c r="C201" s="60" t="s">
        <v>860</v>
      </c>
      <c r="D201" s="60" t="s">
        <v>861</v>
      </c>
      <c r="E201" s="61" t="s">
        <v>46</v>
      </c>
      <c r="F201" s="62" t="s">
        <v>46</v>
      </c>
      <c r="G201" s="63" t="s">
        <v>46</v>
      </c>
      <c r="H201" s="64"/>
      <c r="I201" s="64" t="s">
        <v>577</v>
      </c>
      <c r="J201" s="65">
        <v>1</v>
      </c>
      <c r="K201" s="66">
        <f>224</f>
        <v>224</v>
      </c>
      <c r="L201" s="67" t="s">
        <v>833</v>
      </c>
      <c r="M201" s="66">
        <f>243</f>
        <v>243</v>
      </c>
      <c r="N201" s="67" t="s">
        <v>119</v>
      </c>
      <c r="O201" s="66">
        <f>176</f>
        <v>176</v>
      </c>
      <c r="P201" s="67" t="s">
        <v>50</v>
      </c>
      <c r="Q201" s="66">
        <f>178</f>
        <v>178</v>
      </c>
      <c r="R201" s="67" t="s">
        <v>50</v>
      </c>
      <c r="S201" s="68">
        <f>223.1</f>
        <v>223.1</v>
      </c>
      <c r="T201" s="65">
        <f>249675780</f>
        <v>249675780</v>
      </c>
      <c r="U201" s="65">
        <f>351007</f>
        <v>351007</v>
      </c>
      <c r="V201" s="65">
        <f>54508735400</f>
        <v>54508735400</v>
      </c>
      <c r="W201" s="65">
        <f>76241918</f>
        <v>76241918</v>
      </c>
      <c r="X201" s="69">
        <f>21</f>
        <v>21</v>
      </c>
    </row>
    <row r="202" spans="1:24">
      <c r="A202" s="60" t="s">
        <v>902</v>
      </c>
      <c r="B202" s="60" t="s">
        <v>599</v>
      </c>
      <c r="C202" s="60" t="s">
        <v>862</v>
      </c>
      <c r="D202" s="60" t="s">
        <v>863</v>
      </c>
      <c r="E202" s="61" t="s">
        <v>46</v>
      </c>
      <c r="F202" s="62" t="s">
        <v>46</v>
      </c>
      <c r="G202" s="63" t="s">
        <v>46</v>
      </c>
      <c r="H202" s="64"/>
      <c r="I202" s="64" t="s">
        <v>577</v>
      </c>
      <c r="J202" s="65">
        <v>1</v>
      </c>
      <c r="K202" s="66">
        <f>6330</f>
        <v>6330</v>
      </c>
      <c r="L202" s="67" t="s">
        <v>833</v>
      </c>
      <c r="M202" s="66">
        <f>7040</f>
        <v>7040</v>
      </c>
      <c r="N202" s="67" t="s">
        <v>50</v>
      </c>
      <c r="O202" s="66">
        <f>5980</f>
        <v>5980</v>
      </c>
      <c r="P202" s="67" t="s">
        <v>119</v>
      </c>
      <c r="Q202" s="66">
        <f>6970</f>
        <v>6970</v>
      </c>
      <c r="R202" s="67" t="s">
        <v>50</v>
      </c>
      <c r="S202" s="68">
        <f>6274.29</f>
        <v>6274.29</v>
      </c>
      <c r="T202" s="65">
        <f>134091</f>
        <v>134091</v>
      </c>
      <c r="U202" s="65">
        <f>10</f>
        <v>10</v>
      </c>
      <c r="V202" s="65">
        <f>858398790</f>
        <v>858398790</v>
      </c>
      <c r="W202" s="65">
        <f>63700</f>
        <v>63700</v>
      </c>
      <c r="X202" s="69">
        <f>21</f>
        <v>21</v>
      </c>
    </row>
    <row r="203" spans="1:24">
      <c r="A203" s="60" t="s">
        <v>902</v>
      </c>
      <c r="B203" s="60" t="s">
        <v>602</v>
      </c>
      <c r="C203" s="60" t="s">
        <v>603</v>
      </c>
      <c r="D203" s="60" t="s">
        <v>604</v>
      </c>
      <c r="E203" s="61" t="s">
        <v>46</v>
      </c>
      <c r="F203" s="62" t="s">
        <v>46</v>
      </c>
      <c r="G203" s="63" t="s">
        <v>46</v>
      </c>
      <c r="H203" s="64"/>
      <c r="I203" s="64" t="s">
        <v>577</v>
      </c>
      <c r="J203" s="65">
        <v>1</v>
      </c>
      <c r="K203" s="66">
        <f>20480</f>
        <v>20480</v>
      </c>
      <c r="L203" s="67" t="s">
        <v>833</v>
      </c>
      <c r="M203" s="66">
        <f>22030</f>
        <v>22030</v>
      </c>
      <c r="N203" s="67" t="s">
        <v>820</v>
      </c>
      <c r="O203" s="66">
        <f>18270</f>
        <v>18270</v>
      </c>
      <c r="P203" s="67" t="s">
        <v>50</v>
      </c>
      <c r="Q203" s="66">
        <f>18300</f>
        <v>18300</v>
      </c>
      <c r="R203" s="67" t="s">
        <v>50</v>
      </c>
      <c r="S203" s="68">
        <f>20825.24</f>
        <v>20825.240000000002</v>
      </c>
      <c r="T203" s="65">
        <f>391722</f>
        <v>391722</v>
      </c>
      <c r="U203" s="65">
        <f>2168</f>
        <v>2168</v>
      </c>
      <c r="V203" s="65">
        <f>7983582285</f>
        <v>7983582285</v>
      </c>
      <c r="W203" s="65">
        <f>40741715</f>
        <v>40741715</v>
      </c>
      <c r="X203" s="69">
        <f>21</f>
        <v>21</v>
      </c>
    </row>
    <row r="204" spans="1:24">
      <c r="A204" s="60" t="s">
        <v>902</v>
      </c>
      <c r="B204" s="60" t="s">
        <v>605</v>
      </c>
      <c r="C204" s="60" t="s">
        <v>606</v>
      </c>
      <c r="D204" s="60" t="s">
        <v>607</v>
      </c>
      <c r="E204" s="61" t="s">
        <v>46</v>
      </c>
      <c r="F204" s="62" t="s">
        <v>46</v>
      </c>
      <c r="G204" s="63" t="s">
        <v>46</v>
      </c>
      <c r="H204" s="64"/>
      <c r="I204" s="64" t="s">
        <v>577</v>
      </c>
      <c r="J204" s="65">
        <v>1</v>
      </c>
      <c r="K204" s="66">
        <f>3825</f>
        <v>3825</v>
      </c>
      <c r="L204" s="67" t="s">
        <v>833</v>
      </c>
      <c r="M204" s="66">
        <f>4055</f>
        <v>4055</v>
      </c>
      <c r="N204" s="67" t="s">
        <v>50</v>
      </c>
      <c r="O204" s="66">
        <f>3695</f>
        <v>3695</v>
      </c>
      <c r="P204" s="67" t="s">
        <v>820</v>
      </c>
      <c r="Q204" s="66">
        <f>4045</f>
        <v>4045</v>
      </c>
      <c r="R204" s="67" t="s">
        <v>50</v>
      </c>
      <c r="S204" s="68">
        <f>3804.76</f>
        <v>3804.76</v>
      </c>
      <c r="T204" s="65">
        <f>590636</f>
        <v>590636</v>
      </c>
      <c r="U204" s="65">
        <f>107</f>
        <v>107</v>
      </c>
      <c r="V204" s="65">
        <f>2271128575</f>
        <v>2271128575</v>
      </c>
      <c r="W204" s="65">
        <f>420030</f>
        <v>420030</v>
      </c>
      <c r="X204" s="69">
        <f>21</f>
        <v>21</v>
      </c>
    </row>
    <row r="205" spans="1:24">
      <c r="A205" s="60" t="s">
        <v>902</v>
      </c>
      <c r="B205" s="60" t="s">
        <v>608</v>
      </c>
      <c r="C205" s="60" t="s">
        <v>609</v>
      </c>
      <c r="D205" s="60" t="s">
        <v>610</v>
      </c>
      <c r="E205" s="61" t="s">
        <v>46</v>
      </c>
      <c r="F205" s="62" t="s">
        <v>46</v>
      </c>
      <c r="G205" s="63" t="s">
        <v>46</v>
      </c>
      <c r="H205" s="64"/>
      <c r="I205" s="64" t="s">
        <v>577</v>
      </c>
      <c r="J205" s="65">
        <v>1</v>
      </c>
      <c r="K205" s="66">
        <f>13410</f>
        <v>13410</v>
      </c>
      <c r="L205" s="67" t="s">
        <v>833</v>
      </c>
      <c r="M205" s="66">
        <f>14550</f>
        <v>14550</v>
      </c>
      <c r="N205" s="67" t="s">
        <v>90</v>
      </c>
      <c r="O205" s="66">
        <f>12500</f>
        <v>12500</v>
      </c>
      <c r="P205" s="67" t="s">
        <v>91</v>
      </c>
      <c r="Q205" s="66">
        <f>12630</f>
        <v>12630</v>
      </c>
      <c r="R205" s="67" t="s">
        <v>50</v>
      </c>
      <c r="S205" s="68">
        <f>13667.14</f>
        <v>13667.14</v>
      </c>
      <c r="T205" s="65">
        <f>263114</f>
        <v>263114</v>
      </c>
      <c r="U205" s="65">
        <f>14200</f>
        <v>14200</v>
      </c>
      <c r="V205" s="65">
        <f>3639323400</f>
        <v>3639323400</v>
      </c>
      <c r="W205" s="65">
        <f>202878800</f>
        <v>202878800</v>
      </c>
      <c r="X205" s="69">
        <f>21</f>
        <v>21</v>
      </c>
    </row>
    <row r="206" spans="1:24">
      <c r="A206" s="60" t="s">
        <v>902</v>
      </c>
      <c r="B206" s="60" t="s">
        <v>611</v>
      </c>
      <c r="C206" s="60" t="s">
        <v>612</v>
      </c>
      <c r="D206" s="60" t="s">
        <v>613</v>
      </c>
      <c r="E206" s="61" t="s">
        <v>46</v>
      </c>
      <c r="F206" s="62" t="s">
        <v>46</v>
      </c>
      <c r="G206" s="63" t="s">
        <v>46</v>
      </c>
      <c r="H206" s="64"/>
      <c r="I206" s="64" t="s">
        <v>577</v>
      </c>
      <c r="J206" s="65">
        <v>1</v>
      </c>
      <c r="K206" s="66">
        <f>9630</f>
        <v>9630</v>
      </c>
      <c r="L206" s="67" t="s">
        <v>833</v>
      </c>
      <c r="M206" s="66">
        <f>9900</f>
        <v>9900</v>
      </c>
      <c r="N206" s="67" t="s">
        <v>821</v>
      </c>
      <c r="O206" s="66">
        <f>9410</f>
        <v>9410</v>
      </c>
      <c r="P206" s="67" t="s">
        <v>817</v>
      </c>
      <c r="Q206" s="66">
        <f>9500</f>
        <v>9500</v>
      </c>
      <c r="R206" s="67" t="s">
        <v>50</v>
      </c>
      <c r="S206" s="68">
        <f>9684.38</f>
        <v>9684.3799999999992</v>
      </c>
      <c r="T206" s="65">
        <f>228</f>
        <v>228</v>
      </c>
      <c r="U206" s="65" t="str">
        <f>"－"</f>
        <v>－</v>
      </c>
      <c r="V206" s="65">
        <f>2217960</f>
        <v>2217960</v>
      </c>
      <c r="W206" s="65" t="str">
        <f>"－"</f>
        <v>－</v>
      </c>
      <c r="X206" s="69">
        <f>16</f>
        <v>16</v>
      </c>
    </row>
    <row r="207" spans="1:24">
      <c r="A207" s="60" t="s">
        <v>902</v>
      </c>
      <c r="B207" s="60" t="s">
        <v>614</v>
      </c>
      <c r="C207" s="60" t="s">
        <v>615</v>
      </c>
      <c r="D207" s="60" t="s">
        <v>616</v>
      </c>
      <c r="E207" s="61" t="s">
        <v>46</v>
      </c>
      <c r="F207" s="62" t="s">
        <v>46</v>
      </c>
      <c r="G207" s="63" t="s">
        <v>46</v>
      </c>
      <c r="H207" s="64"/>
      <c r="I207" s="64" t="s">
        <v>577</v>
      </c>
      <c r="J207" s="65">
        <v>1</v>
      </c>
      <c r="K207" s="66">
        <f>14110</f>
        <v>14110</v>
      </c>
      <c r="L207" s="67" t="s">
        <v>833</v>
      </c>
      <c r="M207" s="66">
        <f>14730</f>
        <v>14730</v>
      </c>
      <c r="N207" s="67" t="s">
        <v>119</v>
      </c>
      <c r="O207" s="66">
        <f>13420</f>
        <v>13420</v>
      </c>
      <c r="P207" s="67" t="s">
        <v>50</v>
      </c>
      <c r="Q207" s="66">
        <f>13420</f>
        <v>13420</v>
      </c>
      <c r="R207" s="67" t="s">
        <v>50</v>
      </c>
      <c r="S207" s="68">
        <f>14305.24</f>
        <v>14305.24</v>
      </c>
      <c r="T207" s="65">
        <f>69864</f>
        <v>69864</v>
      </c>
      <c r="U207" s="65">
        <f>16752</f>
        <v>16752</v>
      </c>
      <c r="V207" s="65">
        <f>1007319930</f>
        <v>1007319930</v>
      </c>
      <c r="W207" s="65">
        <f>243320520</f>
        <v>243320520</v>
      </c>
      <c r="X207" s="69">
        <f>21</f>
        <v>21</v>
      </c>
    </row>
    <row r="208" spans="1:24">
      <c r="A208" s="60" t="s">
        <v>902</v>
      </c>
      <c r="B208" s="60" t="s">
        <v>617</v>
      </c>
      <c r="C208" s="60" t="s">
        <v>618</v>
      </c>
      <c r="D208" s="60" t="s">
        <v>619</v>
      </c>
      <c r="E208" s="61" t="s">
        <v>46</v>
      </c>
      <c r="F208" s="62" t="s">
        <v>46</v>
      </c>
      <c r="G208" s="63" t="s">
        <v>46</v>
      </c>
      <c r="H208" s="64"/>
      <c r="I208" s="64" t="s">
        <v>577</v>
      </c>
      <c r="J208" s="65">
        <v>1</v>
      </c>
      <c r="K208" s="66">
        <f>12110</f>
        <v>12110</v>
      </c>
      <c r="L208" s="67" t="s">
        <v>833</v>
      </c>
      <c r="M208" s="66">
        <f>12440</f>
        <v>12440</v>
      </c>
      <c r="N208" s="67" t="s">
        <v>90</v>
      </c>
      <c r="O208" s="66">
        <f>11210</f>
        <v>11210</v>
      </c>
      <c r="P208" s="67" t="s">
        <v>50</v>
      </c>
      <c r="Q208" s="66">
        <f>11300</f>
        <v>11300</v>
      </c>
      <c r="R208" s="67" t="s">
        <v>50</v>
      </c>
      <c r="S208" s="68">
        <f>11972.38</f>
        <v>11972.38</v>
      </c>
      <c r="T208" s="65">
        <f>504</f>
        <v>504</v>
      </c>
      <c r="U208" s="65">
        <f>3</f>
        <v>3</v>
      </c>
      <c r="V208" s="65">
        <f>5982640</f>
        <v>5982640</v>
      </c>
      <c r="W208" s="65">
        <f>35170</f>
        <v>35170</v>
      </c>
      <c r="X208" s="69">
        <f>21</f>
        <v>21</v>
      </c>
    </row>
    <row r="209" spans="1:24">
      <c r="A209" s="60" t="s">
        <v>902</v>
      </c>
      <c r="B209" s="60" t="s">
        <v>620</v>
      </c>
      <c r="C209" s="60" t="s">
        <v>621</v>
      </c>
      <c r="D209" s="60" t="s">
        <v>622</v>
      </c>
      <c r="E209" s="61" t="s">
        <v>46</v>
      </c>
      <c r="F209" s="62" t="s">
        <v>46</v>
      </c>
      <c r="G209" s="63" t="s">
        <v>46</v>
      </c>
      <c r="H209" s="64"/>
      <c r="I209" s="64" t="s">
        <v>577</v>
      </c>
      <c r="J209" s="65">
        <v>1</v>
      </c>
      <c r="K209" s="66">
        <f>7810</f>
        <v>7810</v>
      </c>
      <c r="L209" s="67" t="s">
        <v>833</v>
      </c>
      <c r="M209" s="66">
        <f>8630</f>
        <v>8630</v>
      </c>
      <c r="N209" s="67" t="s">
        <v>815</v>
      </c>
      <c r="O209" s="66">
        <f>7610</f>
        <v>7610</v>
      </c>
      <c r="P209" s="67" t="s">
        <v>833</v>
      </c>
      <c r="Q209" s="66">
        <f>7860</f>
        <v>7860</v>
      </c>
      <c r="R209" s="67" t="s">
        <v>50</v>
      </c>
      <c r="S209" s="68">
        <f>8235.71</f>
        <v>8235.7099999999991</v>
      </c>
      <c r="T209" s="65">
        <f>61595</f>
        <v>61595</v>
      </c>
      <c r="U209" s="65">
        <f>1</f>
        <v>1</v>
      </c>
      <c r="V209" s="65">
        <f>503701670</f>
        <v>503701670</v>
      </c>
      <c r="W209" s="65">
        <f>8510</f>
        <v>8510</v>
      </c>
      <c r="X209" s="69">
        <f>21</f>
        <v>21</v>
      </c>
    </row>
    <row r="210" spans="1:24">
      <c r="A210" s="60" t="s">
        <v>902</v>
      </c>
      <c r="B210" s="60" t="s">
        <v>623</v>
      </c>
      <c r="C210" s="60" t="s">
        <v>624</v>
      </c>
      <c r="D210" s="60" t="s">
        <v>625</v>
      </c>
      <c r="E210" s="61" t="s">
        <v>46</v>
      </c>
      <c r="F210" s="62" t="s">
        <v>46</v>
      </c>
      <c r="G210" s="63" t="s">
        <v>46</v>
      </c>
      <c r="H210" s="64"/>
      <c r="I210" s="64" t="s">
        <v>577</v>
      </c>
      <c r="J210" s="65">
        <v>1</v>
      </c>
      <c r="K210" s="66">
        <f>5950</f>
        <v>5950</v>
      </c>
      <c r="L210" s="67" t="s">
        <v>817</v>
      </c>
      <c r="M210" s="66">
        <f>5950</f>
        <v>5950</v>
      </c>
      <c r="N210" s="67" t="s">
        <v>817</v>
      </c>
      <c r="O210" s="66">
        <f>5560</f>
        <v>5560</v>
      </c>
      <c r="P210" s="67" t="s">
        <v>91</v>
      </c>
      <c r="Q210" s="66">
        <f>5590</f>
        <v>5590</v>
      </c>
      <c r="R210" s="67" t="s">
        <v>50</v>
      </c>
      <c r="S210" s="68">
        <f>5667</f>
        <v>5667</v>
      </c>
      <c r="T210" s="65">
        <f>12065</f>
        <v>12065</v>
      </c>
      <c r="U210" s="65">
        <f>2</f>
        <v>2</v>
      </c>
      <c r="V210" s="65">
        <f>68335380</f>
        <v>68335380</v>
      </c>
      <c r="W210" s="65">
        <f>11320</f>
        <v>11320</v>
      </c>
      <c r="X210" s="69">
        <f>20</f>
        <v>20</v>
      </c>
    </row>
    <row r="211" spans="1:24">
      <c r="A211" s="60" t="s">
        <v>902</v>
      </c>
      <c r="B211" s="60" t="s">
        <v>626</v>
      </c>
      <c r="C211" s="60" t="s">
        <v>627</v>
      </c>
      <c r="D211" s="60" t="s">
        <v>628</v>
      </c>
      <c r="E211" s="61" t="s">
        <v>46</v>
      </c>
      <c r="F211" s="62" t="s">
        <v>46</v>
      </c>
      <c r="G211" s="63" t="s">
        <v>46</v>
      </c>
      <c r="H211" s="64"/>
      <c r="I211" s="64" t="s">
        <v>577</v>
      </c>
      <c r="J211" s="65">
        <v>1</v>
      </c>
      <c r="K211" s="66">
        <f>8400</f>
        <v>8400</v>
      </c>
      <c r="L211" s="67" t="s">
        <v>817</v>
      </c>
      <c r="M211" s="66">
        <f>8520</f>
        <v>8520</v>
      </c>
      <c r="N211" s="67" t="s">
        <v>48</v>
      </c>
      <c r="O211" s="66">
        <f>8000</f>
        <v>8000</v>
      </c>
      <c r="P211" s="67" t="s">
        <v>50</v>
      </c>
      <c r="Q211" s="66">
        <f>8000</f>
        <v>8000</v>
      </c>
      <c r="R211" s="67" t="s">
        <v>50</v>
      </c>
      <c r="S211" s="68">
        <f>8371.82</f>
        <v>8371.82</v>
      </c>
      <c r="T211" s="65">
        <f>1544</f>
        <v>1544</v>
      </c>
      <c r="U211" s="65">
        <f>1</f>
        <v>1</v>
      </c>
      <c r="V211" s="65">
        <f>12899450</f>
        <v>12899450</v>
      </c>
      <c r="W211" s="65">
        <f>8360</f>
        <v>8360</v>
      </c>
      <c r="X211" s="69">
        <f>11</f>
        <v>11</v>
      </c>
    </row>
    <row r="212" spans="1:24">
      <c r="A212" s="60" t="s">
        <v>902</v>
      </c>
      <c r="B212" s="60" t="s">
        <v>629</v>
      </c>
      <c r="C212" s="60" t="s">
        <v>630</v>
      </c>
      <c r="D212" s="60" t="s">
        <v>631</v>
      </c>
      <c r="E212" s="61" t="s">
        <v>46</v>
      </c>
      <c r="F212" s="62" t="s">
        <v>46</v>
      </c>
      <c r="G212" s="63" t="s">
        <v>46</v>
      </c>
      <c r="H212" s="64"/>
      <c r="I212" s="64" t="s">
        <v>577</v>
      </c>
      <c r="J212" s="65">
        <v>1</v>
      </c>
      <c r="K212" s="66">
        <f>10190</f>
        <v>10190</v>
      </c>
      <c r="L212" s="67" t="s">
        <v>833</v>
      </c>
      <c r="M212" s="66">
        <f>10190</f>
        <v>10190</v>
      </c>
      <c r="N212" s="67" t="s">
        <v>833</v>
      </c>
      <c r="O212" s="66">
        <f>10030</f>
        <v>10030</v>
      </c>
      <c r="P212" s="67" t="s">
        <v>95</v>
      </c>
      <c r="Q212" s="66">
        <f>10030</f>
        <v>10030</v>
      </c>
      <c r="R212" s="67" t="s">
        <v>95</v>
      </c>
      <c r="S212" s="68">
        <f>10113.75</f>
        <v>10113.75</v>
      </c>
      <c r="T212" s="65">
        <f>11</f>
        <v>11</v>
      </c>
      <c r="U212" s="65" t="str">
        <f>"－"</f>
        <v>－</v>
      </c>
      <c r="V212" s="65">
        <f>111480</f>
        <v>111480</v>
      </c>
      <c r="W212" s="65" t="str">
        <f>"－"</f>
        <v>－</v>
      </c>
      <c r="X212" s="69">
        <f>8</f>
        <v>8</v>
      </c>
    </row>
    <row r="213" spans="1:24">
      <c r="A213" s="60" t="s">
        <v>902</v>
      </c>
      <c r="B213" s="60" t="s">
        <v>632</v>
      </c>
      <c r="C213" s="60" t="s">
        <v>633</v>
      </c>
      <c r="D213" s="60" t="s">
        <v>634</v>
      </c>
      <c r="E213" s="61" t="s">
        <v>46</v>
      </c>
      <c r="F213" s="62" t="s">
        <v>46</v>
      </c>
      <c r="G213" s="63" t="s">
        <v>46</v>
      </c>
      <c r="H213" s="64"/>
      <c r="I213" s="64" t="s">
        <v>577</v>
      </c>
      <c r="J213" s="65">
        <v>1</v>
      </c>
      <c r="K213" s="66">
        <f>10390</f>
        <v>10390</v>
      </c>
      <c r="L213" s="67" t="s">
        <v>820</v>
      </c>
      <c r="M213" s="66">
        <f>10410</f>
        <v>10410</v>
      </c>
      <c r="N213" s="67" t="s">
        <v>90</v>
      </c>
      <c r="O213" s="66">
        <f>9980</f>
        <v>9980</v>
      </c>
      <c r="P213" s="67" t="s">
        <v>50</v>
      </c>
      <c r="Q213" s="66">
        <f>9980</f>
        <v>9980</v>
      </c>
      <c r="R213" s="67" t="s">
        <v>50</v>
      </c>
      <c r="S213" s="68">
        <f>10262.5</f>
        <v>10262.5</v>
      </c>
      <c r="T213" s="65">
        <f>4240</f>
        <v>4240</v>
      </c>
      <c r="U213" s="65">
        <f>1</f>
        <v>1</v>
      </c>
      <c r="V213" s="65">
        <f>43831070</f>
        <v>43831070</v>
      </c>
      <c r="W213" s="65">
        <f>10240</f>
        <v>10240</v>
      </c>
      <c r="X213" s="69">
        <f>8</f>
        <v>8</v>
      </c>
    </row>
    <row r="214" spans="1:24">
      <c r="A214" s="60" t="s">
        <v>902</v>
      </c>
      <c r="B214" s="60" t="s">
        <v>635</v>
      </c>
      <c r="C214" s="60" t="s">
        <v>636</v>
      </c>
      <c r="D214" s="60" t="s">
        <v>637</v>
      </c>
      <c r="E214" s="61" t="s">
        <v>46</v>
      </c>
      <c r="F214" s="62" t="s">
        <v>46</v>
      </c>
      <c r="G214" s="63" t="s">
        <v>46</v>
      </c>
      <c r="H214" s="64"/>
      <c r="I214" s="64" t="s">
        <v>577</v>
      </c>
      <c r="J214" s="65">
        <v>1</v>
      </c>
      <c r="K214" s="66">
        <f>11000</f>
        <v>11000</v>
      </c>
      <c r="L214" s="67" t="s">
        <v>65</v>
      </c>
      <c r="M214" s="66">
        <f>11000</f>
        <v>11000</v>
      </c>
      <c r="N214" s="67" t="s">
        <v>65</v>
      </c>
      <c r="O214" s="66">
        <f>10310</f>
        <v>10310</v>
      </c>
      <c r="P214" s="67" t="s">
        <v>91</v>
      </c>
      <c r="Q214" s="66">
        <f>10310</f>
        <v>10310</v>
      </c>
      <c r="R214" s="67" t="s">
        <v>91</v>
      </c>
      <c r="S214" s="68">
        <f>10596</f>
        <v>10596</v>
      </c>
      <c r="T214" s="65">
        <f>158</f>
        <v>158</v>
      </c>
      <c r="U214" s="65" t="str">
        <f>"－"</f>
        <v>－</v>
      </c>
      <c r="V214" s="65">
        <f>1645870</f>
        <v>1645870</v>
      </c>
      <c r="W214" s="65" t="str">
        <f>"－"</f>
        <v>－</v>
      </c>
      <c r="X214" s="69">
        <f>5</f>
        <v>5</v>
      </c>
    </row>
    <row r="215" spans="1:24">
      <c r="A215" s="60" t="s">
        <v>902</v>
      </c>
      <c r="B215" s="60" t="s">
        <v>638</v>
      </c>
      <c r="C215" s="60" t="s">
        <v>639</v>
      </c>
      <c r="D215" s="60" t="s">
        <v>640</v>
      </c>
      <c r="E215" s="61" t="s">
        <v>46</v>
      </c>
      <c r="F215" s="62" t="s">
        <v>46</v>
      </c>
      <c r="G215" s="63" t="s">
        <v>46</v>
      </c>
      <c r="H215" s="64"/>
      <c r="I215" s="64" t="s">
        <v>577</v>
      </c>
      <c r="J215" s="65">
        <v>1</v>
      </c>
      <c r="K215" s="66">
        <f>9910</f>
        <v>9910</v>
      </c>
      <c r="L215" s="67" t="s">
        <v>833</v>
      </c>
      <c r="M215" s="66">
        <f>10130</f>
        <v>10130</v>
      </c>
      <c r="N215" s="67" t="s">
        <v>119</v>
      </c>
      <c r="O215" s="66">
        <f>9450</f>
        <v>9450</v>
      </c>
      <c r="P215" s="67" t="s">
        <v>50</v>
      </c>
      <c r="Q215" s="66">
        <f>9450</f>
        <v>9450</v>
      </c>
      <c r="R215" s="67" t="s">
        <v>50</v>
      </c>
      <c r="S215" s="68">
        <f>9843.75</f>
        <v>9843.75</v>
      </c>
      <c r="T215" s="65">
        <f>7045</f>
        <v>7045</v>
      </c>
      <c r="U215" s="65" t="str">
        <f>"－"</f>
        <v>－</v>
      </c>
      <c r="V215" s="65">
        <f>68869850</f>
        <v>68869850</v>
      </c>
      <c r="W215" s="65" t="str">
        <f>"－"</f>
        <v>－</v>
      </c>
      <c r="X215" s="69">
        <f>16</f>
        <v>16</v>
      </c>
    </row>
    <row r="216" spans="1:24">
      <c r="A216" s="60" t="s">
        <v>902</v>
      </c>
      <c r="B216" s="60" t="s">
        <v>641</v>
      </c>
      <c r="C216" s="60" t="s">
        <v>642</v>
      </c>
      <c r="D216" s="60" t="s">
        <v>643</v>
      </c>
      <c r="E216" s="61" t="s">
        <v>46</v>
      </c>
      <c r="F216" s="62" t="s">
        <v>46</v>
      </c>
      <c r="G216" s="63" t="s">
        <v>46</v>
      </c>
      <c r="H216" s="64"/>
      <c r="I216" s="64" t="s">
        <v>577</v>
      </c>
      <c r="J216" s="65">
        <v>1</v>
      </c>
      <c r="K216" s="66">
        <f>9920</f>
        <v>9920</v>
      </c>
      <c r="L216" s="67" t="s">
        <v>817</v>
      </c>
      <c r="M216" s="66">
        <f>10360</f>
        <v>10360</v>
      </c>
      <c r="N216" s="67" t="s">
        <v>820</v>
      </c>
      <c r="O216" s="66">
        <f>9920</f>
        <v>9920</v>
      </c>
      <c r="P216" s="67" t="s">
        <v>817</v>
      </c>
      <c r="Q216" s="66">
        <f>10030</f>
        <v>10030</v>
      </c>
      <c r="R216" s="67" t="s">
        <v>50</v>
      </c>
      <c r="S216" s="68">
        <f>10167.14</f>
        <v>10167.14</v>
      </c>
      <c r="T216" s="65">
        <f>6206</f>
        <v>6206</v>
      </c>
      <c r="U216" s="65" t="str">
        <f>"－"</f>
        <v>－</v>
      </c>
      <c r="V216" s="65">
        <f>63709860</f>
        <v>63709860</v>
      </c>
      <c r="W216" s="65" t="str">
        <f>"－"</f>
        <v>－</v>
      </c>
      <c r="X216" s="69">
        <f>7</f>
        <v>7</v>
      </c>
    </row>
    <row r="217" spans="1:24">
      <c r="A217" s="60" t="s">
        <v>902</v>
      </c>
      <c r="B217" s="60" t="s">
        <v>644</v>
      </c>
      <c r="C217" s="60" t="s">
        <v>645</v>
      </c>
      <c r="D217" s="60" t="s">
        <v>646</v>
      </c>
      <c r="E217" s="61" t="s">
        <v>46</v>
      </c>
      <c r="F217" s="62" t="s">
        <v>46</v>
      </c>
      <c r="G217" s="63" t="s">
        <v>46</v>
      </c>
      <c r="H217" s="64"/>
      <c r="I217" s="64" t="s">
        <v>577</v>
      </c>
      <c r="J217" s="65">
        <v>1</v>
      </c>
      <c r="K217" s="66">
        <f>10930</f>
        <v>10930</v>
      </c>
      <c r="L217" s="67" t="s">
        <v>100</v>
      </c>
      <c r="M217" s="66">
        <f>10970</f>
        <v>10970</v>
      </c>
      <c r="N217" s="67" t="s">
        <v>119</v>
      </c>
      <c r="O217" s="66">
        <f>10750</f>
        <v>10750</v>
      </c>
      <c r="P217" s="67" t="s">
        <v>91</v>
      </c>
      <c r="Q217" s="66">
        <f>10750</f>
        <v>10750</v>
      </c>
      <c r="R217" s="67" t="s">
        <v>91</v>
      </c>
      <c r="S217" s="68">
        <f>10903.33</f>
        <v>10903.33</v>
      </c>
      <c r="T217" s="65">
        <f>44</f>
        <v>44</v>
      </c>
      <c r="U217" s="65" t="str">
        <f>"－"</f>
        <v>－</v>
      </c>
      <c r="V217" s="65">
        <f>480630</f>
        <v>480630</v>
      </c>
      <c r="W217" s="65" t="str">
        <f>"－"</f>
        <v>－</v>
      </c>
      <c r="X217" s="69">
        <f>6</f>
        <v>6</v>
      </c>
    </row>
    <row r="218" spans="1:24">
      <c r="A218" s="60" t="s">
        <v>902</v>
      </c>
      <c r="B218" s="60" t="s">
        <v>647</v>
      </c>
      <c r="C218" s="60" t="s">
        <v>648</v>
      </c>
      <c r="D218" s="60" t="s">
        <v>649</v>
      </c>
      <c r="E218" s="61" t="s">
        <v>46</v>
      </c>
      <c r="F218" s="62" t="s">
        <v>46</v>
      </c>
      <c r="G218" s="63" t="s">
        <v>46</v>
      </c>
      <c r="H218" s="64"/>
      <c r="I218" s="64" t="s">
        <v>47</v>
      </c>
      <c r="J218" s="65">
        <v>10</v>
      </c>
      <c r="K218" s="66">
        <f>998</f>
        <v>998</v>
      </c>
      <c r="L218" s="67" t="s">
        <v>833</v>
      </c>
      <c r="M218" s="66">
        <f>999</f>
        <v>999</v>
      </c>
      <c r="N218" s="67" t="s">
        <v>833</v>
      </c>
      <c r="O218" s="66">
        <f>994</f>
        <v>994</v>
      </c>
      <c r="P218" s="67" t="s">
        <v>820</v>
      </c>
      <c r="Q218" s="66">
        <f>995</f>
        <v>995</v>
      </c>
      <c r="R218" s="67" t="s">
        <v>50</v>
      </c>
      <c r="S218" s="68">
        <f>996.57</f>
        <v>996.57</v>
      </c>
      <c r="T218" s="65">
        <f>113060</f>
        <v>113060</v>
      </c>
      <c r="U218" s="65">
        <f>10</f>
        <v>10</v>
      </c>
      <c r="V218" s="65">
        <f>112660510</f>
        <v>112660510</v>
      </c>
      <c r="W218" s="65">
        <f>9960</f>
        <v>9960</v>
      </c>
      <c r="X218" s="69">
        <f>21</f>
        <v>21</v>
      </c>
    </row>
    <row r="219" spans="1:24">
      <c r="A219" s="60" t="s">
        <v>902</v>
      </c>
      <c r="B219" s="60" t="s">
        <v>650</v>
      </c>
      <c r="C219" s="60" t="s">
        <v>651</v>
      </c>
      <c r="D219" s="60" t="s">
        <v>652</v>
      </c>
      <c r="E219" s="61" t="s">
        <v>46</v>
      </c>
      <c r="F219" s="62" t="s">
        <v>46</v>
      </c>
      <c r="G219" s="63" t="s">
        <v>46</v>
      </c>
      <c r="H219" s="64"/>
      <c r="I219" s="64" t="s">
        <v>47</v>
      </c>
      <c r="J219" s="65">
        <v>10</v>
      </c>
      <c r="K219" s="66">
        <f>1000</f>
        <v>1000</v>
      </c>
      <c r="L219" s="67" t="s">
        <v>833</v>
      </c>
      <c r="M219" s="66">
        <f>1009</f>
        <v>1009</v>
      </c>
      <c r="N219" s="67" t="s">
        <v>49</v>
      </c>
      <c r="O219" s="66">
        <f>985</f>
        <v>985</v>
      </c>
      <c r="P219" s="67" t="s">
        <v>50</v>
      </c>
      <c r="Q219" s="66">
        <f>985</f>
        <v>985</v>
      </c>
      <c r="R219" s="67" t="s">
        <v>50</v>
      </c>
      <c r="S219" s="68">
        <f>998.67</f>
        <v>998.67</v>
      </c>
      <c r="T219" s="65">
        <f>334460</f>
        <v>334460</v>
      </c>
      <c r="U219" s="65">
        <f>100910</f>
        <v>100910</v>
      </c>
      <c r="V219" s="65">
        <f>333490120</f>
        <v>333490120</v>
      </c>
      <c r="W219" s="65">
        <f>100328700</f>
        <v>100328700</v>
      </c>
      <c r="X219" s="69">
        <f>21</f>
        <v>21</v>
      </c>
    </row>
    <row r="220" spans="1:24">
      <c r="A220" s="60" t="s">
        <v>902</v>
      </c>
      <c r="B220" s="60" t="s">
        <v>653</v>
      </c>
      <c r="C220" s="60" t="s">
        <v>654</v>
      </c>
      <c r="D220" s="60" t="s">
        <v>655</v>
      </c>
      <c r="E220" s="61" t="s">
        <v>46</v>
      </c>
      <c r="F220" s="62" t="s">
        <v>46</v>
      </c>
      <c r="G220" s="63" t="s">
        <v>46</v>
      </c>
      <c r="H220" s="64"/>
      <c r="I220" s="64" t="s">
        <v>47</v>
      </c>
      <c r="J220" s="65">
        <v>10</v>
      </c>
      <c r="K220" s="66">
        <f>1059</f>
        <v>1059</v>
      </c>
      <c r="L220" s="67" t="s">
        <v>833</v>
      </c>
      <c r="M220" s="66">
        <f>1063</f>
        <v>1063</v>
      </c>
      <c r="N220" s="67" t="s">
        <v>819</v>
      </c>
      <c r="O220" s="66">
        <f>1052</f>
        <v>1052</v>
      </c>
      <c r="P220" s="67" t="s">
        <v>65</v>
      </c>
      <c r="Q220" s="66">
        <f>1059</f>
        <v>1059</v>
      </c>
      <c r="R220" s="67" t="s">
        <v>50</v>
      </c>
      <c r="S220" s="68">
        <f>1058.24</f>
        <v>1058.24</v>
      </c>
      <c r="T220" s="65">
        <f>454380</f>
        <v>454380</v>
      </c>
      <c r="U220" s="65">
        <f>331450</f>
        <v>331450</v>
      </c>
      <c r="V220" s="65">
        <f>480704159</f>
        <v>480704159</v>
      </c>
      <c r="W220" s="65">
        <f>350693549</f>
        <v>350693549</v>
      </c>
      <c r="X220" s="69">
        <f>21</f>
        <v>21</v>
      </c>
    </row>
    <row r="221" spans="1:24">
      <c r="A221" s="60" t="s">
        <v>902</v>
      </c>
      <c r="B221" s="60" t="s">
        <v>656</v>
      </c>
      <c r="C221" s="60" t="s">
        <v>657</v>
      </c>
      <c r="D221" s="60" t="s">
        <v>658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f>1118</f>
        <v>1118</v>
      </c>
      <c r="L221" s="67" t="s">
        <v>833</v>
      </c>
      <c r="M221" s="66">
        <f>1165</f>
        <v>1165</v>
      </c>
      <c r="N221" s="67" t="s">
        <v>820</v>
      </c>
      <c r="O221" s="66">
        <f>1061</f>
        <v>1061</v>
      </c>
      <c r="P221" s="67" t="s">
        <v>50</v>
      </c>
      <c r="Q221" s="66">
        <f>1061</f>
        <v>1061</v>
      </c>
      <c r="R221" s="67" t="s">
        <v>50</v>
      </c>
      <c r="S221" s="68">
        <f>1128.48</f>
        <v>1128.48</v>
      </c>
      <c r="T221" s="65">
        <f>785330</f>
        <v>785330</v>
      </c>
      <c r="U221" s="65">
        <f>269000</f>
        <v>269000</v>
      </c>
      <c r="V221" s="65">
        <f>891384890</f>
        <v>891384890</v>
      </c>
      <c r="W221" s="65">
        <f>308220200</f>
        <v>308220200</v>
      </c>
      <c r="X221" s="69">
        <f>21</f>
        <v>21</v>
      </c>
    </row>
    <row r="222" spans="1:24">
      <c r="A222" s="60" t="s">
        <v>902</v>
      </c>
      <c r="B222" s="60" t="s">
        <v>659</v>
      </c>
      <c r="C222" s="60" t="s">
        <v>660</v>
      </c>
      <c r="D222" s="60" t="s">
        <v>661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1164</f>
        <v>1164</v>
      </c>
      <c r="L222" s="67" t="s">
        <v>833</v>
      </c>
      <c r="M222" s="66">
        <f>1215</f>
        <v>1215</v>
      </c>
      <c r="N222" s="67" t="s">
        <v>820</v>
      </c>
      <c r="O222" s="66">
        <f>1114</f>
        <v>1114</v>
      </c>
      <c r="P222" s="67" t="s">
        <v>50</v>
      </c>
      <c r="Q222" s="66">
        <f>1114</f>
        <v>1114</v>
      </c>
      <c r="R222" s="67" t="s">
        <v>50</v>
      </c>
      <c r="S222" s="68">
        <f>1176.29</f>
        <v>1176.29</v>
      </c>
      <c r="T222" s="65">
        <f>72700</f>
        <v>72700</v>
      </c>
      <c r="U222" s="65" t="str">
        <f>"－"</f>
        <v>－</v>
      </c>
      <c r="V222" s="65">
        <f>83232150</f>
        <v>83232150</v>
      </c>
      <c r="W222" s="65" t="str">
        <f>"－"</f>
        <v>－</v>
      </c>
      <c r="X222" s="69">
        <f>21</f>
        <v>21</v>
      </c>
    </row>
    <row r="223" spans="1:24">
      <c r="A223" s="60" t="s">
        <v>902</v>
      </c>
      <c r="B223" s="60" t="s">
        <v>662</v>
      </c>
      <c r="C223" s="60" t="s">
        <v>663</v>
      </c>
      <c r="D223" s="60" t="s">
        <v>664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847</f>
        <v>847</v>
      </c>
      <c r="L223" s="67" t="s">
        <v>833</v>
      </c>
      <c r="M223" s="66">
        <f>878</f>
        <v>878</v>
      </c>
      <c r="N223" s="67" t="s">
        <v>119</v>
      </c>
      <c r="O223" s="66">
        <f>787</f>
        <v>787</v>
      </c>
      <c r="P223" s="67" t="s">
        <v>50</v>
      </c>
      <c r="Q223" s="66">
        <f>787</f>
        <v>787</v>
      </c>
      <c r="R223" s="67" t="s">
        <v>50</v>
      </c>
      <c r="S223" s="68">
        <f>844.62</f>
        <v>844.62</v>
      </c>
      <c r="T223" s="65">
        <f>520190</f>
        <v>520190</v>
      </c>
      <c r="U223" s="65">
        <f>10</f>
        <v>10</v>
      </c>
      <c r="V223" s="65">
        <f>436094020</f>
        <v>436094020</v>
      </c>
      <c r="W223" s="65">
        <f>8260</f>
        <v>8260</v>
      </c>
      <c r="X223" s="69">
        <f>21</f>
        <v>21</v>
      </c>
    </row>
    <row r="224" spans="1:24">
      <c r="A224" s="60" t="s">
        <v>902</v>
      </c>
      <c r="B224" s="60" t="s">
        <v>665</v>
      </c>
      <c r="C224" s="60" t="s">
        <v>666</v>
      </c>
      <c r="D224" s="60" t="s">
        <v>667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955</f>
        <v>955</v>
      </c>
      <c r="L224" s="67" t="s">
        <v>833</v>
      </c>
      <c r="M224" s="66">
        <f>1049</f>
        <v>1049</v>
      </c>
      <c r="N224" s="67" t="s">
        <v>820</v>
      </c>
      <c r="O224" s="66">
        <f>895</f>
        <v>895</v>
      </c>
      <c r="P224" s="67" t="s">
        <v>50</v>
      </c>
      <c r="Q224" s="66">
        <f>902</f>
        <v>902</v>
      </c>
      <c r="R224" s="67" t="s">
        <v>50</v>
      </c>
      <c r="S224" s="68">
        <f>984.05</f>
        <v>984.05</v>
      </c>
      <c r="T224" s="65">
        <f>23799130</f>
        <v>23799130</v>
      </c>
      <c r="U224" s="65">
        <f>8900</f>
        <v>8900</v>
      </c>
      <c r="V224" s="65">
        <f>23172153425</f>
        <v>23172153425</v>
      </c>
      <c r="W224" s="65">
        <f>8877965</f>
        <v>8877965</v>
      </c>
      <c r="X224" s="69">
        <f>21</f>
        <v>21</v>
      </c>
    </row>
    <row r="225" spans="1:24">
      <c r="A225" s="60" t="s">
        <v>902</v>
      </c>
      <c r="B225" s="60" t="s">
        <v>668</v>
      </c>
      <c r="C225" s="60" t="s">
        <v>669</v>
      </c>
      <c r="D225" s="60" t="s">
        <v>670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1011</f>
        <v>1011</v>
      </c>
      <c r="L225" s="67" t="s">
        <v>833</v>
      </c>
      <c r="M225" s="66">
        <f>1039</f>
        <v>1039</v>
      </c>
      <c r="N225" s="67" t="s">
        <v>100</v>
      </c>
      <c r="O225" s="66">
        <f>961</f>
        <v>961</v>
      </c>
      <c r="P225" s="67" t="s">
        <v>245</v>
      </c>
      <c r="Q225" s="66">
        <f>964</f>
        <v>964</v>
      </c>
      <c r="R225" s="67" t="s">
        <v>50</v>
      </c>
      <c r="S225" s="68">
        <f>1001.75</f>
        <v>1001.75</v>
      </c>
      <c r="T225" s="65">
        <f>164150</f>
        <v>164150</v>
      </c>
      <c r="U225" s="65" t="str">
        <f>"－"</f>
        <v>－</v>
      </c>
      <c r="V225" s="65">
        <f>164692640</f>
        <v>164692640</v>
      </c>
      <c r="W225" s="65" t="str">
        <f>"－"</f>
        <v>－</v>
      </c>
      <c r="X225" s="69">
        <f>20</f>
        <v>20</v>
      </c>
    </row>
    <row r="226" spans="1:24">
      <c r="A226" s="60" t="s">
        <v>902</v>
      </c>
      <c r="B226" s="60" t="s">
        <v>671</v>
      </c>
      <c r="C226" s="60" t="s">
        <v>672</v>
      </c>
      <c r="D226" s="60" t="s">
        <v>673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</v>
      </c>
      <c r="K226" s="66">
        <f>966</f>
        <v>966</v>
      </c>
      <c r="L226" s="67" t="s">
        <v>833</v>
      </c>
      <c r="M226" s="66">
        <f>978</f>
        <v>978</v>
      </c>
      <c r="N226" s="67" t="s">
        <v>119</v>
      </c>
      <c r="O226" s="66">
        <f>925</f>
        <v>925</v>
      </c>
      <c r="P226" s="67" t="s">
        <v>50</v>
      </c>
      <c r="Q226" s="66">
        <f>925</f>
        <v>925</v>
      </c>
      <c r="R226" s="67" t="s">
        <v>50</v>
      </c>
      <c r="S226" s="68">
        <f>957.29</f>
        <v>957.29</v>
      </c>
      <c r="T226" s="65">
        <f>51308</f>
        <v>51308</v>
      </c>
      <c r="U226" s="65">
        <f>1</f>
        <v>1</v>
      </c>
      <c r="V226" s="65">
        <f>49481926</f>
        <v>49481926</v>
      </c>
      <c r="W226" s="65">
        <f>959</f>
        <v>959</v>
      </c>
      <c r="X226" s="69">
        <f>21</f>
        <v>21</v>
      </c>
    </row>
    <row r="227" spans="1:24">
      <c r="A227" s="60" t="s">
        <v>902</v>
      </c>
      <c r="B227" s="60" t="s">
        <v>674</v>
      </c>
      <c r="C227" s="60" t="s">
        <v>675</v>
      </c>
      <c r="D227" s="60" t="s">
        <v>676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1010</f>
        <v>1010</v>
      </c>
      <c r="L227" s="67" t="s">
        <v>833</v>
      </c>
      <c r="M227" s="66">
        <f>1022</f>
        <v>1022</v>
      </c>
      <c r="N227" s="67" t="s">
        <v>815</v>
      </c>
      <c r="O227" s="66">
        <f>986</f>
        <v>986</v>
      </c>
      <c r="P227" s="67" t="s">
        <v>50</v>
      </c>
      <c r="Q227" s="66">
        <f>986</f>
        <v>986</v>
      </c>
      <c r="R227" s="67" t="s">
        <v>50</v>
      </c>
      <c r="S227" s="68">
        <f>1005.05</f>
        <v>1005.05</v>
      </c>
      <c r="T227" s="65">
        <f>40080</f>
        <v>40080</v>
      </c>
      <c r="U227" s="65">
        <f>10</f>
        <v>10</v>
      </c>
      <c r="V227" s="65">
        <f>40191630</f>
        <v>40191630</v>
      </c>
      <c r="W227" s="65">
        <f>10010</f>
        <v>10010</v>
      </c>
      <c r="X227" s="69">
        <f>21</f>
        <v>21</v>
      </c>
    </row>
    <row r="228" spans="1:24">
      <c r="A228" s="60" t="s">
        <v>902</v>
      </c>
      <c r="B228" s="60" t="s">
        <v>677</v>
      </c>
      <c r="C228" s="60" t="s">
        <v>678</v>
      </c>
      <c r="D228" s="60" t="s">
        <v>679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10</v>
      </c>
      <c r="K228" s="66">
        <f>992</f>
        <v>992</v>
      </c>
      <c r="L228" s="67" t="s">
        <v>833</v>
      </c>
      <c r="M228" s="66">
        <f>1036</f>
        <v>1036</v>
      </c>
      <c r="N228" s="67" t="s">
        <v>820</v>
      </c>
      <c r="O228" s="66">
        <f>968</f>
        <v>968</v>
      </c>
      <c r="P228" s="67" t="s">
        <v>833</v>
      </c>
      <c r="Q228" s="66">
        <f>985</f>
        <v>985</v>
      </c>
      <c r="R228" s="67" t="s">
        <v>50</v>
      </c>
      <c r="S228" s="68">
        <f>1013.43</f>
        <v>1013.43</v>
      </c>
      <c r="T228" s="65">
        <f>48180</f>
        <v>48180</v>
      </c>
      <c r="U228" s="65" t="str">
        <f>"－"</f>
        <v>－</v>
      </c>
      <c r="V228" s="65">
        <f>48873760</f>
        <v>48873760</v>
      </c>
      <c r="W228" s="65" t="str">
        <f>"－"</f>
        <v>－</v>
      </c>
      <c r="X228" s="69">
        <f>21</f>
        <v>21</v>
      </c>
    </row>
    <row r="229" spans="1:24">
      <c r="A229" s="60" t="s">
        <v>902</v>
      </c>
      <c r="B229" s="60" t="s">
        <v>680</v>
      </c>
      <c r="C229" s="60" t="s">
        <v>681</v>
      </c>
      <c r="D229" s="60" t="s">
        <v>682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10</v>
      </c>
      <c r="K229" s="66">
        <f>1185</f>
        <v>1185</v>
      </c>
      <c r="L229" s="67" t="s">
        <v>833</v>
      </c>
      <c r="M229" s="66">
        <f>1242</f>
        <v>1242</v>
      </c>
      <c r="N229" s="67" t="s">
        <v>820</v>
      </c>
      <c r="O229" s="66">
        <f>1138</f>
        <v>1138</v>
      </c>
      <c r="P229" s="67" t="s">
        <v>50</v>
      </c>
      <c r="Q229" s="66">
        <f>1138</f>
        <v>1138</v>
      </c>
      <c r="R229" s="67" t="s">
        <v>50</v>
      </c>
      <c r="S229" s="68">
        <f>1201.24</f>
        <v>1201.24</v>
      </c>
      <c r="T229" s="65">
        <f>13858910</f>
        <v>13858910</v>
      </c>
      <c r="U229" s="65">
        <f>5144020</f>
        <v>5144020</v>
      </c>
      <c r="V229" s="65">
        <f>16634043300</f>
        <v>16634043300</v>
      </c>
      <c r="W229" s="65">
        <f>6164442460</f>
        <v>6164442460</v>
      </c>
      <c r="X229" s="69">
        <f>21</f>
        <v>21</v>
      </c>
    </row>
    <row r="230" spans="1:24">
      <c r="A230" s="60" t="s">
        <v>902</v>
      </c>
      <c r="B230" s="60" t="s">
        <v>683</v>
      </c>
      <c r="C230" s="60" t="s">
        <v>684</v>
      </c>
      <c r="D230" s="60" t="s">
        <v>685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</v>
      </c>
      <c r="K230" s="66">
        <f>2736</f>
        <v>2736</v>
      </c>
      <c r="L230" s="67" t="s">
        <v>833</v>
      </c>
      <c r="M230" s="66">
        <f>2887</f>
        <v>2887</v>
      </c>
      <c r="N230" s="67" t="s">
        <v>820</v>
      </c>
      <c r="O230" s="66">
        <f>2689</f>
        <v>2689</v>
      </c>
      <c r="P230" s="67" t="s">
        <v>833</v>
      </c>
      <c r="Q230" s="66">
        <f>2731</f>
        <v>2731</v>
      </c>
      <c r="R230" s="67" t="s">
        <v>50</v>
      </c>
      <c r="S230" s="68">
        <f>2814.24</f>
        <v>2814.24</v>
      </c>
      <c r="T230" s="65">
        <f>62574</f>
        <v>62574</v>
      </c>
      <c r="U230" s="65" t="str">
        <f>"－"</f>
        <v>－</v>
      </c>
      <c r="V230" s="65">
        <f>176313808</f>
        <v>176313808</v>
      </c>
      <c r="W230" s="65" t="str">
        <f>"－"</f>
        <v>－</v>
      </c>
      <c r="X230" s="69">
        <f>21</f>
        <v>21</v>
      </c>
    </row>
    <row r="231" spans="1:24">
      <c r="A231" s="60" t="s">
        <v>902</v>
      </c>
      <c r="B231" s="60" t="s">
        <v>686</v>
      </c>
      <c r="C231" s="60" t="s">
        <v>687</v>
      </c>
      <c r="D231" s="60" t="s">
        <v>688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2010</f>
        <v>2010</v>
      </c>
      <c r="L231" s="67" t="s">
        <v>65</v>
      </c>
      <c r="M231" s="66">
        <f>2010</f>
        <v>2010</v>
      </c>
      <c r="N231" s="67" t="s">
        <v>65</v>
      </c>
      <c r="O231" s="66">
        <f>1437</f>
        <v>1437</v>
      </c>
      <c r="P231" s="67" t="s">
        <v>245</v>
      </c>
      <c r="Q231" s="66">
        <f>1439</f>
        <v>1439</v>
      </c>
      <c r="R231" s="67" t="s">
        <v>50</v>
      </c>
      <c r="S231" s="68">
        <f>1501.2</f>
        <v>1501.2</v>
      </c>
      <c r="T231" s="65">
        <f>9830</f>
        <v>9830</v>
      </c>
      <c r="U231" s="65" t="str">
        <f>"－"</f>
        <v>－</v>
      </c>
      <c r="V231" s="65">
        <f>15251540</f>
        <v>15251540</v>
      </c>
      <c r="W231" s="65" t="str">
        <f>"－"</f>
        <v>－</v>
      </c>
      <c r="X231" s="69">
        <f>15</f>
        <v>15</v>
      </c>
    </row>
    <row r="232" spans="1:24">
      <c r="A232" s="60" t="s">
        <v>902</v>
      </c>
      <c r="B232" s="60" t="s">
        <v>689</v>
      </c>
      <c r="C232" s="60" t="s">
        <v>690</v>
      </c>
      <c r="D232" s="60" t="s">
        <v>691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10</v>
      </c>
      <c r="K232" s="66">
        <f>1666</f>
        <v>1666</v>
      </c>
      <c r="L232" s="67" t="s">
        <v>817</v>
      </c>
      <c r="M232" s="66">
        <f>1687</f>
        <v>1687</v>
      </c>
      <c r="N232" s="67" t="s">
        <v>119</v>
      </c>
      <c r="O232" s="66">
        <f>1634</f>
        <v>1634</v>
      </c>
      <c r="P232" s="67" t="s">
        <v>91</v>
      </c>
      <c r="Q232" s="66">
        <f>1644</f>
        <v>1644</v>
      </c>
      <c r="R232" s="67" t="s">
        <v>91</v>
      </c>
      <c r="S232" s="68">
        <f>1662.83</f>
        <v>1662.83</v>
      </c>
      <c r="T232" s="65">
        <f>127130</f>
        <v>127130</v>
      </c>
      <c r="U232" s="65" t="str">
        <f>"－"</f>
        <v>－</v>
      </c>
      <c r="V232" s="65">
        <f>212171650</f>
        <v>212171650</v>
      </c>
      <c r="W232" s="65" t="str">
        <f>"－"</f>
        <v>－</v>
      </c>
      <c r="X232" s="69">
        <f>6</f>
        <v>6</v>
      </c>
    </row>
    <row r="233" spans="1:24">
      <c r="A233" s="60" t="s">
        <v>902</v>
      </c>
      <c r="B233" s="60" t="s">
        <v>692</v>
      </c>
      <c r="C233" s="60" t="s">
        <v>693</v>
      </c>
      <c r="D233" s="60" t="s">
        <v>694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</v>
      </c>
      <c r="K233" s="66" t="str">
        <f>"－"</f>
        <v>－</v>
      </c>
      <c r="L233" s="67"/>
      <c r="M233" s="66" t="str">
        <f>"－"</f>
        <v>－</v>
      </c>
      <c r="N233" s="67"/>
      <c r="O233" s="66" t="str">
        <f>"－"</f>
        <v>－</v>
      </c>
      <c r="P233" s="67"/>
      <c r="Q233" s="66" t="str">
        <f>"－"</f>
        <v>－</v>
      </c>
      <c r="R233" s="67"/>
      <c r="S233" s="68" t="str">
        <f>"－"</f>
        <v>－</v>
      </c>
      <c r="T233" s="65" t="str">
        <f>"－"</f>
        <v>－</v>
      </c>
      <c r="U233" s="65" t="str">
        <f>"－"</f>
        <v>－</v>
      </c>
      <c r="V233" s="65" t="str">
        <f>"－"</f>
        <v>－</v>
      </c>
      <c r="W233" s="65" t="str">
        <f>"－"</f>
        <v>－</v>
      </c>
      <c r="X233" s="69" t="str">
        <f>"－"</f>
        <v>－</v>
      </c>
    </row>
    <row r="234" spans="1:24">
      <c r="A234" s="60" t="s">
        <v>902</v>
      </c>
      <c r="B234" s="60" t="s">
        <v>695</v>
      </c>
      <c r="C234" s="60" t="s">
        <v>696</v>
      </c>
      <c r="D234" s="60" t="s">
        <v>697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</v>
      </c>
      <c r="K234" s="66">
        <f>14860</f>
        <v>14860</v>
      </c>
      <c r="L234" s="67" t="s">
        <v>833</v>
      </c>
      <c r="M234" s="66">
        <f>15070</f>
        <v>15070</v>
      </c>
      <c r="N234" s="67" t="s">
        <v>119</v>
      </c>
      <c r="O234" s="66">
        <f>14430</f>
        <v>14430</v>
      </c>
      <c r="P234" s="67" t="s">
        <v>50</v>
      </c>
      <c r="Q234" s="66">
        <f>14430</f>
        <v>14430</v>
      </c>
      <c r="R234" s="67" t="s">
        <v>50</v>
      </c>
      <c r="S234" s="68">
        <f>14846.5</f>
        <v>14846.5</v>
      </c>
      <c r="T234" s="65">
        <f>124987</f>
        <v>124987</v>
      </c>
      <c r="U234" s="65">
        <f>55000</f>
        <v>55000</v>
      </c>
      <c r="V234" s="65">
        <f>1867635710</f>
        <v>1867635710</v>
      </c>
      <c r="W234" s="65">
        <f>825165000</f>
        <v>825165000</v>
      </c>
      <c r="X234" s="69">
        <f>20</f>
        <v>20</v>
      </c>
    </row>
    <row r="235" spans="1:24">
      <c r="A235" s="60" t="s">
        <v>902</v>
      </c>
      <c r="B235" s="60" t="s">
        <v>698</v>
      </c>
      <c r="C235" s="60" t="s">
        <v>699</v>
      </c>
      <c r="D235" s="60" t="s">
        <v>700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10</v>
      </c>
      <c r="K235" s="66">
        <f>1033</f>
        <v>1033</v>
      </c>
      <c r="L235" s="67" t="s">
        <v>833</v>
      </c>
      <c r="M235" s="66">
        <f>1035</f>
        <v>1035</v>
      </c>
      <c r="N235" s="67" t="s">
        <v>100</v>
      </c>
      <c r="O235" s="66">
        <f>978</f>
        <v>978</v>
      </c>
      <c r="P235" s="67" t="s">
        <v>95</v>
      </c>
      <c r="Q235" s="66">
        <f>979</f>
        <v>979</v>
      </c>
      <c r="R235" s="67" t="s">
        <v>245</v>
      </c>
      <c r="S235" s="68">
        <f>1007.73</f>
        <v>1007.73</v>
      </c>
      <c r="T235" s="65">
        <f>36330</f>
        <v>36330</v>
      </c>
      <c r="U235" s="65">
        <f>20010</f>
        <v>20010</v>
      </c>
      <c r="V235" s="65">
        <f>35763440</f>
        <v>35763440</v>
      </c>
      <c r="W235" s="65">
        <f>19597880</f>
        <v>19597880</v>
      </c>
      <c r="X235" s="69">
        <f>15</f>
        <v>15</v>
      </c>
    </row>
    <row r="236" spans="1:24">
      <c r="A236" s="60" t="s">
        <v>902</v>
      </c>
      <c r="B236" s="60" t="s">
        <v>701</v>
      </c>
      <c r="C236" s="60" t="s">
        <v>702</v>
      </c>
      <c r="D236" s="60" t="s">
        <v>703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10</v>
      </c>
      <c r="K236" s="66">
        <f>1012</f>
        <v>1012</v>
      </c>
      <c r="L236" s="67" t="s">
        <v>833</v>
      </c>
      <c r="M236" s="66">
        <f>1032</f>
        <v>1032</v>
      </c>
      <c r="N236" s="67" t="s">
        <v>100</v>
      </c>
      <c r="O236" s="66">
        <f>958</f>
        <v>958</v>
      </c>
      <c r="P236" s="67" t="s">
        <v>50</v>
      </c>
      <c r="Q236" s="66">
        <f>959</f>
        <v>959</v>
      </c>
      <c r="R236" s="67" t="s">
        <v>50</v>
      </c>
      <c r="S236" s="68">
        <f>998.29</f>
        <v>998.29</v>
      </c>
      <c r="T236" s="65">
        <f>124550</f>
        <v>124550</v>
      </c>
      <c r="U236" s="65">
        <f>100000</f>
        <v>100000</v>
      </c>
      <c r="V236" s="65">
        <f>126088740</f>
        <v>126088740</v>
      </c>
      <c r="W236" s="65">
        <f>101587000</f>
        <v>101587000</v>
      </c>
      <c r="X236" s="69">
        <f>21</f>
        <v>21</v>
      </c>
    </row>
    <row r="237" spans="1:24">
      <c r="A237" s="60" t="s">
        <v>902</v>
      </c>
      <c r="B237" s="60" t="s">
        <v>704</v>
      </c>
      <c r="C237" s="60" t="s">
        <v>705</v>
      </c>
      <c r="D237" s="60" t="s">
        <v>706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</v>
      </c>
      <c r="K237" s="66">
        <f>887</f>
        <v>887</v>
      </c>
      <c r="L237" s="67" t="s">
        <v>833</v>
      </c>
      <c r="M237" s="66">
        <f>903</f>
        <v>903</v>
      </c>
      <c r="N237" s="67" t="s">
        <v>65</v>
      </c>
      <c r="O237" s="66">
        <f>846</f>
        <v>846</v>
      </c>
      <c r="P237" s="67" t="s">
        <v>50</v>
      </c>
      <c r="Q237" s="66">
        <f>849</f>
        <v>849</v>
      </c>
      <c r="R237" s="67" t="s">
        <v>50</v>
      </c>
      <c r="S237" s="68">
        <f>882.81</f>
        <v>882.81</v>
      </c>
      <c r="T237" s="65">
        <f>30626</f>
        <v>30626</v>
      </c>
      <c r="U237" s="65" t="str">
        <f>"－"</f>
        <v>－</v>
      </c>
      <c r="V237" s="65">
        <f>26901823</f>
        <v>26901823</v>
      </c>
      <c r="W237" s="65" t="str">
        <f>"－"</f>
        <v>－</v>
      </c>
      <c r="X237" s="69">
        <f>21</f>
        <v>21</v>
      </c>
    </row>
    <row r="238" spans="1:24">
      <c r="A238" s="60" t="s">
        <v>902</v>
      </c>
      <c r="B238" s="60" t="s">
        <v>707</v>
      </c>
      <c r="C238" s="60" t="s">
        <v>708</v>
      </c>
      <c r="D238" s="60" t="s">
        <v>709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</v>
      </c>
      <c r="K238" s="66">
        <f>11650</f>
        <v>11650</v>
      </c>
      <c r="L238" s="67" t="s">
        <v>833</v>
      </c>
      <c r="M238" s="66">
        <f>12440</f>
        <v>12440</v>
      </c>
      <c r="N238" s="67" t="s">
        <v>90</v>
      </c>
      <c r="O238" s="66">
        <f>11150</f>
        <v>11150</v>
      </c>
      <c r="P238" s="67" t="s">
        <v>100</v>
      </c>
      <c r="Q238" s="66">
        <f>12000</f>
        <v>12000</v>
      </c>
      <c r="R238" s="67" t="s">
        <v>50</v>
      </c>
      <c r="S238" s="68">
        <f>11929.52</f>
        <v>11929.52</v>
      </c>
      <c r="T238" s="65">
        <f>1447</f>
        <v>1447</v>
      </c>
      <c r="U238" s="65" t="str">
        <f>"－"</f>
        <v>－</v>
      </c>
      <c r="V238" s="65">
        <f>17332540</f>
        <v>17332540</v>
      </c>
      <c r="W238" s="65" t="str">
        <f>"－"</f>
        <v>－</v>
      </c>
      <c r="X238" s="69">
        <f>21</f>
        <v>21</v>
      </c>
    </row>
    <row r="239" spans="1:24">
      <c r="A239" s="60" t="s">
        <v>902</v>
      </c>
      <c r="B239" s="60" t="s">
        <v>710</v>
      </c>
      <c r="C239" s="60" t="s">
        <v>711</v>
      </c>
      <c r="D239" s="60" t="s">
        <v>712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</v>
      </c>
      <c r="K239" s="66">
        <f>1856</f>
        <v>1856</v>
      </c>
      <c r="L239" s="67" t="s">
        <v>833</v>
      </c>
      <c r="M239" s="66">
        <f>1877</f>
        <v>1877</v>
      </c>
      <c r="N239" s="67" t="s">
        <v>48</v>
      </c>
      <c r="O239" s="66">
        <f>1729</f>
        <v>1729</v>
      </c>
      <c r="P239" s="67" t="s">
        <v>245</v>
      </c>
      <c r="Q239" s="66">
        <f>1731</f>
        <v>1731</v>
      </c>
      <c r="R239" s="67" t="s">
        <v>50</v>
      </c>
      <c r="S239" s="68">
        <f>1806.9</f>
        <v>1806.9</v>
      </c>
      <c r="T239" s="65">
        <f>13304</f>
        <v>13304</v>
      </c>
      <c r="U239" s="65">
        <f>1</f>
        <v>1</v>
      </c>
      <c r="V239" s="65">
        <f>23788221</f>
        <v>23788221</v>
      </c>
      <c r="W239" s="65">
        <f>1825</f>
        <v>1825</v>
      </c>
      <c r="X239" s="69">
        <f>21</f>
        <v>21</v>
      </c>
    </row>
    <row r="240" spans="1:24">
      <c r="A240" s="60" t="s">
        <v>902</v>
      </c>
      <c r="B240" s="60" t="s">
        <v>713</v>
      </c>
      <c r="C240" s="60" t="s">
        <v>714</v>
      </c>
      <c r="D240" s="60" t="s">
        <v>715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10</v>
      </c>
      <c r="K240" s="66">
        <f>1350</f>
        <v>1350</v>
      </c>
      <c r="L240" s="67" t="s">
        <v>817</v>
      </c>
      <c r="M240" s="66">
        <f>1438</f>
        <v>1438</v>
      </c>
      <c r="N240" s="67" t="s">
        <v>821</v>
      </c>
      <c r="O240" s="66">
        <f>1350</f>
        <v>1350</v>
      </c>
      <c r="P240" s="67" t="s">
        <v>817</v>
      </c>
      <c r="Q240" s="66">
        <f>1429</f>
        <v>1429</v>
      </c>
      <c r="R240" s="67" t="s">
        <v>91</v>
      </c>
      <c r="S240" s="68">
        <f>1392.6</f>
        <v>1392.6</v>
      </c>
      <c r="T240" s="65">
        <f>540</f>
        <v>540</v>
      </c>
      <c r="U240" s="65" t="str">
        <f>"－"</f>
        <v>－</v>
      </c>
      <c r="V240" s="65">
        <f>762100</f>
        <v>762100</v>
      </c>
      <c r="W240" s="65" t="str">
        <f>"－"</f>
        <v>－</v>
      </c>
      <c r="X240" s="69">
        <f>10</f>
        <v>10</v>
      </c>
    </row>
    <row r="241" spans="1:24">
      <c r="A241" s="60" t="s">
        <v>902</v>
      </c>
      <c r="B241" s="60" t="s">
        <v>716</v>
      </c>
      <c r="C241" s="60" t="s">
        <v>717</v>
      </c>
      <c r="D241" s="60" t="s">
        <v>718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10</v>
      </c>
      <c r="K241" s="66">
        <f>1023</f>
        <v>1023</v>
      </c>
      <c r="L241" s="67" t="s">
        <v>833</v>
      </c>
      <c r="M241" s="66">
        <f>1033</f>
        <v>1033</v>
      </c>
      <c r="N241" s="67" t="s">
        <v>815</v>
      </c>
      <c r="O241" s="66">
        <f>1019</f>
        <v>1019</v>
      </c>
      <c r="P241" s="67" t="s">
        <v>817</v>
      </c>
      <c r="Q241" s="66">
        <f>1024</f>
        <v>1024</v>
      </c>
      <c r="R241" s="67" t="s">
        <v>50</v>
      </c>
      <c r="S241" s="68">
        <f>1023.6</f>
        <v>1023.6</v>
      </c>
      <c r="T241" s="65">
        <f>21870</f>
        <v>21870</v>
      </c>
      <c r="U241" s="65" t="str">
        <f>"－"</f>
        <v>－</v>
      </c>
      <c r="V241" s="65">
        <f>22401240</f>
        <v>22401240</v>
      </c>
      <c r="W241" s="65" t="str">
        <f>"－"</f>
        <v>－</v>
      </c>
      <c r="X241" s="69">
        <f>20</f>
        <v>20</v>
      </c>
    </row>
    <row r="242" spans="1:24">
      <c r="A242" s="60" t="s">
        <v>902</v>
      </c>
      <c r="B242" s="60" t="s">
        <v>719</v>
      </c>
      <c r="C242" s="60" t="s">
        <v>720</v>
      </c>
      <c r="D242" s="60" t="s">
        <v>721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10</v>
      </c>
      <c r="K242" s="66">
        <f>1777</f>
        <v>1777</v>
      </c>
      <c r="L242" s="67" t="s">
        <v>833</v>
      </c>
      <c r="M242" s="66">
        <f>1809</f>
        <v>1809</v>
      </c>
      <c r="N242" s="67" t="s">
        <v>100</v>
      </c>
      <c r="O242" s="66">
        <f>1651</f>
        <v>1651</v>
      </c>
      <c r="P242" s="67" t="s">
        <v>245</v>
      </c>
      <c r="Q242" s="66">
        <f>1672</f>
        <v>1672</v>
      </c>
      <c r="R242" s="67" t="s">
        <v>50</v>
      </c>
      <c r="S242" s="68">
        <f>1728.1</f>
        <v>1728.1</v>
      </c>
      <c r="T242" s="65">
        <f>45710</f>
        <v>45710</v>
      </c>
      <c r="U242" s="65">
        <f>20</f>
        <v>20</v>
      </c>
      <c r="V242" s="65">
        <f>78658980</f>
        <v>78658980</v>
      </c>
      <c r="W242" s="65">
        <f>34050</f>
        <v>34050</v>
      </c>
      <c r="X242" s="69">
        <f>21</f>
        <v>21</v>
      </c>
    </row>
    <row r="243" spans="1:24">
      <c r="A243" s="60" t="s">
        <v>902</v>
      </c>
      <c r="B243" s="60" t="s">
        <v>722</v>
      </c>
      <c r="C243" s="60" t="s">
        <v>723</v>
      </c>
      <c r="D243" s="60" t="s">
        <v>724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f>1769</f>
        <v>1769</v>
      </c>
      <c r="L243" s="67" t="s">
        <v>833</v>
      </c>
      <c r="M243" s="66">
        <f>1789</f>
        <v>1789</v>
      </c>
      <c r="N243" s="67" t="s">
        <v>48</v>
      </c>
      <c r="O243" s="66">
        <f>1640</f>
        <v>1640</v>
      </c>
      <c r="P243" s="67" t="s">
        <v>245</v>
      </c>
      <c r="Q243" s="66">
        <f>1652</f>
        <v>1652</v>
      </c>
      <c r="R243" s="67" t="s">
        <v>50</v>
      </c>
      <c r="S243" s="68">
        <f>1722.19</f>
        <v>1722.19</v>
      </c>
      <c r="T243" s="65">
        <f>172770</f>
        <v>172770</v>
      </c>
      <c r="U243" s="65">
        <f>20010</f>
        <v>20010</v>
      </c>
      <c r="V243" s="65">
        <f>297116340</f>
        <v>297116340</v>
      </c>
      <c r="W243" s="65">
        <f>33144610</f>
        <v>33144610</v>
      </c>
      <c r="X243" s="69">
        <f>21</f>
        <v>21</v>
      </c>
    </row>
    <row r="244" spans="1:24">
      <c r="A244" s="60" t="s">
        <v>902</v>
      </c>
      <c r="B244" s="60" t="s">
        <v>725</v>
      </c>
      <c r="C244" s="60" t="s">
        <v>726</v>
      </c>
      <c r="D244" s="60" t="s">
        <v>727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1654</f>
        <v>1654</v>
      </c>
      <c r="L244" s="67" t="s">
        <v>817</v>
      </c>
      <c r="M244" s="66">
        <f>1661</f>
        <v>1661</v>
      </c>
      <c r="N244" s="67" t="s">
        <v>48</v>
      </c>
      <c r="O244" s="66">
        <f>1585</f>
        <v>1585</v>
      </c>
      <c r="P244" s="67" t="s">
        <v>50</v>
      </c>
      <c r="Q244" s="66">
        <f>1585</f>
        <v>1585</v>
      </c>
      <c r="R244" s="67" t="s">
        <v>50</v>
      </c>
      <c r="S244" s="68">
        <f>1627.22</f>
        <v>1627.22</v>
      </c>
      <c r="T244" s="65">
        <f>600370</f>
        <v>600370</v>
      </c>
      <c r="U244" s="65">
        <f>600000</f>
        <v>600000</v>
      </c>
      <c r="V244" s="65">
        <f>993095330</f>
        <v>993095330</v>
      </c>
      <c r="W244" s="65">
        <f>992490000</f>
        <v>992490000</v>
      </c>
      <c r="X244" s="69">
        <f>9</f>
        <v>9</v>
      </c>
    </row>
    <row r="245" spans="1:24">
      <c r="A245" s="60" t="s">
        <v>902</v>
      </c>
      <c r="B245" s="60" t="s">
        <v>728</v>
      </c>
      <c r="C245" s="60" t="s">
        <v>729</v>
      </c>
      <c r="D245" s="60" t="s">
        <v>730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</v>
      </c>
      <c r="K245" s="66">
        <f>10220</f>
        <v>10220</v>
      </c>
      <c r="L245" s="67" t="s">
        <v>833</v>
      </c>
      <c r="M245" s="66">
        <f>10690</f>
        <v>10690</v>
      </c>
      <c r="N245" s="67" t="s">
        <v>820</v>
      </c>
      <c r="O245" s="66">
        <f>9700</f>
        <v>9700</v>
      </c>
      <c r="P245" s="67" t="s">
        <v>50</v>
      </c>
      <c r="Q245" s="66">
        <f>9700</f>
        <v>9700</v>
      </c>
      <c r="R245" s="67" t="s">
        <v>50</v>
      </c>
      <c r="S245" s="68">
        <f>10316.19</f>
        <v>10316.19</v>
      </c>
      <c r="T245" s="65">
        <f>257377</f>
        <v>257377</v>
      </c>
      <c r="U245" s="65">
        <f>20000</f>
        <v>20000</v>
      </c>
      <c r="V245" s="65">
        <f>2630041580</f>
        <v>2630041580</v>
      </c>
      <c r="W245" s="65">
        <f>205900000</f>
        <v>205900000</v>
      </c>
      <c r="X245" s="69">
        <f>21</f>
        <v>21</v>
      </c>
    </row>
    <row r="246" spans="1:24">
      <c r="A246" s="60" t="s">
        <v>902</v>
      </c>
      <c r="B246" s="60" t="s">
        <v>734</v>
      </c>
      <c r="C246" s="60" t="s">
        <v>735</v>
      </c>
      <c r="D246" s="60" t="s">
        <v>736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</v>
      </c>
      <c r="K246" s="66">
        <f>9940</f>
        <v>9940</v>
      </c>
      <c r="L246" s="67" t="s">
        <v>833</v>
      </c>
      <c r="M246" s="66">
        <f>10350</f>
        <v>10350</v>
      </c>
      <c r="N246" s="67" t="s">
        <v>820</v>
      </c>
      <c r="O246" s="66">
        <f>9440</f>
        <v>9440</v>
      </c>
      <c r="P246" s="67" t="s">
        <v>50</v>
      </c>
      <c r="Q246" s="66">
        <f>9450</f>
        <v>9450</v>
      </c>
      <c r="R246" s="67" t="s">
        <v>50</v>
      </c>
      <c r="S246" s="68">
        <f>10015.24</f>
        <v>10015.24</v>
      </c>
      <c r="T246" s="65">
        <f>77751</f>
        <v>77751</v>
      </c>
      <c r="U246" s="65">
        <f>2</f>
        <v>2</v>
      </c>
      <c r="V246" s="65">
        <f>775511770</f>
        <v>775511770</v>
      </c>
      <c r="W246" s="65">
        <f>20260</f>
        <v>20260</v>
      </c>
      <c r="X246" s="69">
        <f>21</f>
        <v>21</v>
      </c>
    </row>
    <row r="247" spans="1:24">
      <c r="A247" s="60" t="s">
        <v>902</v>
      </c>
      <c r="B247" s="60" t="s">
        <v>824</v>
      </c>
      <c r="C247" s="60" t="s">
        <v>825</v>
      </c>
      <c r="D247" s="60" t="s">
        <v>826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</v>
      </c>
      <c r="K247" s="66">
        <f>21890</f>
        <v>21890</v>
      </c>
      <c r="L247" s="67" t="s">
        <v>48</v>
      </c>
      <c r="M247" s="66">
        <f>21970</f>
        <v>21970</v>
      </c>
      <c r="N247" s="67" t="s">
        <v>820</v>
      </c>
      <c r="O247" s="66">
        <f>21400</f>
        <v>21400</v>
      </c>
      <c r="P247" s="67" t="s">
        <v>95</v>
      </c>
      <c r="Q247" s="66">
        <f>21400</f>
        <v>21400</v>
      </c>
      <c r="R247" s="67" t="s">
        <v>95</v>
      </c>
      <c r="S247" s="68">
        <f>21690</f>
        <v>21690</v>
      </c>
      <c r="T247" s="65">
        <f>35</f>
        <v>35</v>
      </c>
      <c r="U247" s="65" t="str">
        <f>"－"</f>
        <v>－</v>
      </c>
      <c r="V247" s="65">
        <f>764370</f>
        <v>764370</v>
      </c>
      <c r="W247" s="65" t="str">
        <f>"－"</f>
        <v>－</v>
      </c>
      <c r="X247" s="69">
        <f>4</f>
        <v>4</v>
      </c>
    </row>
    <row r="248" spans="1:24">
      <c r="A248" s="60" t="s">
        <v>902</v>
      </c>
      <c r="B248" s="60" t="s">
        <v>828</v>
      </c>
      <c r="C248" s="60" t="s">
        <v>829</v>
      </c>
      <c r="D248" s="60" t="s">
        <v>830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</v>
      </c>
      <c r="K248" s="66">
        <f>2738</f>
        <v>2738</v>
      </c>
      <c r="L248" s="67" t="s">
        <v>833</v>
      </c>
      <c r="M248" s="66">
        <f>2740</f>
        <v>2740</v>
      </c>
      <c r="N248" s="67" t="s">
        <v>833</v>
      </c>
      <c r="O248" s="66">
        <f>2719</f>
        <v>2719</v>
      </c>
      <c r="P248" s="67" t="s">
        <v>820</v>
      </c>
      <c r="Q248" s="66">
        <f>2729</f>
        <v>2729</v>
      </c>
      <c r="R248" s="67" t="s">
        <v>50</v>
      </c>
      <c r="S248" s="68">
        <f>2728.62</f>
        <v>2728.62</v>
      </c>
      <c r="T248" s="65">
        <f>1016764</f>
        <v>1016764</v>
      </c>
      <c r="U248" s="65">
        <f>717822</f>
        <v>717822</v>
      </c>
      <c r="V248" s="65">
        <f>2777939986</f>
        <v>2777939986</v>
      </c>
      <c r="W248" s="65">
        <f>1962129493</f>
        <v>1962129493</v>
      </c>
      <c r="X248" s="69">
        <f>21</f>
        <v>21</v>
      </c>
    </row>
    <row r="249" spans="1:24">
      <c r="A249" s="60" t="s">
        <v>902</v>
      </c>
      <c r="B249" s="60" t="s">
        <v>835</v>
      </c>
      <c r="C249" s="60" t="s">
        <v>836</v>
      </c>
      <c r="D249" s="60" t="s">
        <v>837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10</v>
      </c>
      <c r="K249" s="66">
        <f>2406</f>
        <v>2406</v>
      </c>
      <c r="L249" s="67" t="s">
        <v>833</v>
      </c>
      <c r="M249" s="66">
        <f>2497</f>
        <v>2497</v>
      </c>
      <c r="N249" s="67" t="s">
        <v>820</v>
      </c>
      <c r="O249" s="66">
        <f>2263</f>
        <v>2263</v>
      </c>
      <c r="P249" s="67" t="s">
        <v>50</v>
      </c>
      <c r="Q249" s="66">
        <f>2263</f>
        <v>2263</v>
      </c>
      <c r="R249" s="67" t="s">
        <v>50</v>
      </c>
      <c r="S249" s="68">
        <f>2425.14</f>
        <v>2425.14</v>
      </c>
      <c r="T249" s="65">
        <f>2183570</f>
        <v>2183570</v>
      </c>
      <c r="U249" s="65">
        <f>475020</f>
        <v>475020</v>
      </c>
      <c r="V249" s="65">
        <f>5247421270</f>
        <v>5247421270</v>
      </c>
      <c r="W249" s="65">
        <f>1117576750</f>
        <v>1117576750</v>
      </c>
      <c r="X249" s="69">
        <f>21</f>
        <v>21</v>
      </c>
    </row>
    <row r="250" spans="1:24">
      <c r="A250" s="60" t="s">
        <v>902</v>
      </c>
      <c r="B250" s="60" t="s">
        <v>849</v>
      </c>
      <c r="C250" s="60" t="s">
        <v>850</v>
      </c>
      <c r="D250" s="60" t="s">
        <v>851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2188</f>
        <v>2188</v>
      </c>
      <c r="L250" s="67" t="s">
        <v>833</v>
      </c>
      <c r="M250" s="66">
        <f>2290</f>
        <v>2290</v>
      </c>
      <c r="N250" s="67" t="s">
        <v>820</v>
      </c>
      <c r="O250" s="66">
        <f>2103</f>
        <v>2103</v>
      </c>
      <c r="P250" s="67" t="s">
        <v>50</v>
      </c>
      <c r="Q250" s="66">
        <f>2103</f>
        <v>2103</v>
      </c>
      <c r="R250" s="67" t="s">
        <v>50</v>
      </c>
      <c r="S250" s="68">
        <f>2217.38</f>
        <v>2217.38</v>
      </c>
      <c r="T250" s="65">
        <f>3360593</f>
        <v>3360593</v>
      </c>
      <c r="U250" s="65">
        <f>2180202</f>
        <v>2180202</v>
      </c>
      <c r="V250" s="65">
        <f>7401840009</f>
        <v>7401840009</v>
      </c>
      <c r="W250" s="65">
        <f>4837839164</f>
        <v>4837839164</v>
      </c>
      <c r="X250" s="69">
        <f>21</f>
        <v>21</v>
      </c>
    </row>
    <row r="251" spans="1:24">
      <c r="A251" s="60" t="s">
        <v>902</v>
      </c>
      <c r="B251" s="60" t="s">
        <v>865</v>
      </c>
      <c r="C251" s="60" t="s">
        <v>866</v>
      </c>
      <c r="D251" s="60" t="s">
        <v>867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</v>
      </c>
      <c r="K251" s="66">
        <f>1547</f>
        <v>1547</v>
      </c>
      <c r="L251" s="67" t="s">
        <v>833</v>
      </c>
      <c r="M251" s="66">
        <f>1596</f>
        <v>1596</v>
      </c>
      <c r="N251" s="67" t="s">
        <v>65</v>
      </c>
      <c r="O251" s="66">
        <f>1492</f>
        <v>1492</v>
      </c>
      <c r="P251" s="67" t="s">
        <v>50</v>
      </c>
      <c r="Q251" s="66">
        <f>1496</f>
        <v>1496</v>
      </c>
      <c r="R251" s="67" t="s">
        <v>50</v>
      </c>
      <c r="S251" s="68">
        <f>1554.71</f>
        <v>1554.71</v>
      </c>
      <c r="T251" s="65">
        <f>68070</f>
        <v>68070</v>
      </c>
      <c r="U251" s="65">
        <f>2</f>
        <v>2</v>
      </c>
      <c r="V251" s="65">
        <f>106615763</f>
        <v>106615763</v>
      </c>
      <c r="W251" s="65">
        <f>3158</f>
        <v>3158</v>
      </c>
      <c r="X251" s="69">
        <f>21</f>
        <v>21</v>
      </c>
    </row>
    <row r="252" spans="1:24">
      <c r="A252" s="60" t="s">
        <v>902</v>
      </c>
      <c r="B252" s="60" t="s">
        <v>869</v>
      </c>
      <c r="C252" s="60" t="s">
        <v>870</v>
      </c>
      <c r="D252" s="60" t="s">
        <v>871</v>
      </c>
      <c r="E252" s="61" t="s">
        <v>46</v>
      </c>
      <c r="F252" s="62" t="s">
        <v>46</v>
      </c>
      <c r="G252" s="63" t="s">
        <v>46</v>
      </c>
      <c r="H252" s="64"/>
      <c r="I252" s="64" t="s">
        <v>47</v>
      </c>
      <c r="J252" s="65">
        <v>1</v>
      </c>
      <c r="K252" s="66">
        <f>1058</f>
        <v>1058</v>
      </c>
      <c r="L252" s="67" t="s">
        <v>833</v>
      </c>
      <c r="M252" s="66">
        <f>1066</f>
        <v>1066</v>
      </c>
      <c r="N252" s="67" t="s">
        <v>833</v>
      </c>
      <c r="O252" s="66">
        <f>992</f>
        <v>992</v>
      </c>
      <c r="P252" s="67" t="s">
        <v>91</v>
      </c>
      <c r="Q252" s="66">
        <f>1016</f>
        <v>1016</v>
      </c>
      <c r="R252" s="67" t="s">
        <v>50</v>
      </c>
      <c r="S252" s="68">
        <f>1026.86</f>
        <v>1026.8599999999999</v>
      </c>
      <c r="T252" s="65">
        <f>328735</f>
        <v>328735</v>
      </c>
      <c r="U252" s="65">
        <f>10213</f>
        <v>10213</v>
      </c>
      <c r="V252" s="65">
        <f>336894833</f>
        <v>336894833</v>
      </c>
      <c r="W252" s="65">
        <f>10445489</f>
        <v>10445489</v>
      </c>
      <c r="X252" s="69">
        <f>21</f>
        <v>21</v>
      </c>
    </row>
    <row r="253" spans="1:24">
      <c r="A253" s="60" t="s">
        <v>902</v>
      </c>
      <c r="B253" s="60" t="s">
        <v>887</v>
      </c>
      <c r="C253" s="60" t="s">
        <v>888</v>
      </c>
      <c r="D253" s="60" t="s">
        <v>889</v>
      </c>
      <c r="E253" s="61" t="s">
        <v>46</v>
      </c>
      <c r="F253" s="62" t="s">
        <v>46</v>
      </c>
      <c r="G253" s="63" t="s">
        <v>46</v>
      </c>
      <c r="H253" s="64"/>
      <c r="I253" s="64" t="s">
        <v>47</v>
      </c>
      <c r="J253" s="65">
        <v>10</v>
      </c>
      <c r="K253" s="66">
        <f>979</f>
        <v>979</v>
      </c>
      <c r="L253" s="67" t="s">
        <v>833</v>
      </c>
      <c r="M253" s="66">
        <f>983</f>
        <v>983</v>
      </c>
      <c r="N253" s="67" t="s">
        <v>100</v>
      </c>
      <c r="O253" s="66">
        <f>911</f>
        <v>911</v>
      </c>
      <c r="P253" s="67" t="s">
        <v>245</v>
      </c>
      <c r="Q253" s="66">
        <f>913</f>
        <v>913</v>
      </c>
      <c r="R253" s="67" t="s">
        <v>50</v>
      </c>
      <c r="S253" s="68">
        <f>950.1</f>
        <v>950.1</v>
      </c>
      <c r="T253" s="65">
        <f>35370</f>
        <v>35370</v>
      </c>
      <c r="U253" s="65">
        <f>10</f>
        <v>10</v>
      </c>
      <c r="V253" s="65">
        <f>33707620</f>
        <v>33707620</v>
      </c>
      <c r="W253" s="65">
        <f>9630</f>
        <v>9630</v>
      </c>
      <c r="X253" s="69">
        <f>21</f>
        <v>21</v>
      </c>
    </row>
    <row r="254" spans="1:24">
      <c r="A254" s="60" t="s">
        <v>902</v>
      </c>
      <c r="B254" s="60" t="s">
        <v>891</v>
      </c>
      <c r="C254" s="60" t="s">
        <v>892</v>
      </c>
      <c r="D254" s="60" t="s">
        <v>893</v>
      </c>
      <c r="E254" s="61" t="s">
        <v>46</v>
      </c>
      <c r="F254" s="62" t="s">
        <v>46</v>
      </c>
      <c r="G254" s="63" t="s">
        <v>46</v>
      </c>
      <c r="H254" s="64"/>
      <c r="I254" s="64" t="s">
        <v>47</v>
      </c>
      <c r="J254" s="65">
        <v>10</v>
      </c>
      <c r="K254" s="66">
        <f>214</f>
        <v>214</v>
      </c>
      <c r="L254" s="67" t="s">
        <v>833</v>
      </c>
      <c r="M254" s="66">
        <f>218</f>
        <v>218</v>
      </c>
      <c r="N254" s="67" t="s">
        <v>815</v>
      </c>
      <c r="O254" s="66">
        <f>200</f>
        <v>200</v>
      </c>
      <c r="P254" s="67" t="s">
        <v>50</v>
      </c>
      <c r="Q254" s="66">
        <f>209</f>
        <v>209</v>
      </c>
      <c r="R254" s="67" t="s">
        <v>50</v>
      </c>
      <c r="S254" s="68">
        <f>213.29</f>
        <v>213.29</v>
      </c>
      <c r="T254" s="65">
        <f>169990</f>
        <v>169990</v>
      </c>
      <c r="U254" s="65" t="str">
        <f>"－"</f>
        <v>－</v>
      </c>
      <c r="V254" s="65">
        <f>36321230</f>
        <v>36321230</v>
      </c>
      <c r="W254" s="65" t="str">
        <f>"－"</f>
        <v>－</v>
      </c>
      <c r="X254" s="69">
        <f>21</f>
        <v>21</v>
      </c>
    </row>
    <row r="255" spans="1:24">
      <c r="A255" s="60" t="s">
        <v>902</v>
      </c>
      <c r="B255" s="60" t="s">
        <v>895</v>
      </c>
      <c r="C255" s="60" t="s">
        <v>896</v>
      </c>
      <c r="D255" s="60" t="s">
        <v>897</v>
      </c>
      <c r="E255" s="61" t="s">
        <v>46</v>
      </c>
      <c r="F255" s="62" t="s">
        <v>46</v>
      </c>
      <c r="G255" s="63" t="s">
        <v>46</v>
      </c>
      <c r="H255" s="64"/>
      <c r="I255" s="64" t="s">
        <v>47</v>
      </c>
      <c r="J255" s="65">
        <v>10</v>
      </c>
      <c r="K255" s="66">
        <f>2111</f>
        <v>2111</v>
      </c>
      <c r="L255" s="67" t="s">
        <v>833</v>
      </c>
      <c r="M255" s="66">
        <f>2220</f>
        <v>2220</v>
      </c>
      <c r="N255" s="67" t="s">
        <v>90</v>
      </c>
      <c r="O255" s="66">
        <f>1988</f>
        <v>1988</v>
      </c>
      <c r="P255" s="67" t="s">
        <v>50</v>
      </c>
      <c r="Q255" s="66">
        <f>1991</f>
        <v>1991</v>
      </c>
      <c r="R255" s="67" t="s">
        <v>50</v>
      </c>
      <c r="S255" s="68">
        <f>2109.38</f>
        <v>2109.38</v>
      </c>
      <c r="T255" s="65">
        <f>1156220</f>
        <v>1156220</v>
      </c>
      <c r="U255" s="65">
        <f>95000</f>
        <v>95000</v>
      </c>
      <c r="V255" s="65">
        <f>2437086270</f>
        <v>2437086270</v>
      </c>
      <c r="W255" s="65">
        <f>200597100</f>
        <v>200597100</v>
      </c>
      <c r="X255" s="69">
        <f>21</f>
        <v>21</v>
      </c>
    </row>
    <row r="256" spans="1:24">
      <c r="A256" s="60" t="s">
        <v>902</v>
      </c>
      <c r="B256" s="60" t="s">
        <v>899</v>
      </c>
      <c r="C256" s="60" t="s">
        <v>900</v>
      </c>
      <c r="D256" s="60" t="s">
        <v>901</v>
      </c>
      <c r="E256" s="61" t="s">
        <v>46</v>
      </c>
      <c r="F256" s="62" t="s">
        <v>46</v>
      </c>
      <c r="G256" s="63" t="s">
        <v>46</v>
      </c>
      <c r="H256" s="64"/>
      <c r="I256" s="64" t="s">
        <v>47</v>
      </c>
      <c r="J256" s="65">
        <v>10</v>
      </c>
      <c r="K256" s="66">
        <f>2093</f>
        <v>2093</v>
      </c>
      <c r="L256" s="67" t="s">
        <v>833</v>
      </c>
      <c r="M256" s="66">
        <f>2199</f>
        <v>2199</v>
      </c>
      <c r="N256" s="67" t="s">
        <v>90</v>
      </c>
      <c r="O256" s="66">
        <f>2000</f>
        <v>2000</v>
      </c>
      <c r="P256" s="67" t="s">
        <v>50</v>
      </c>
      <c r="Q256" s="66">
        <f>2000</f>
        <v>2000</v>
      </c>
      <c r="R256" s="67" t="s">
        <v>50</v>
      </c>
      <c r="S256" s="68">
        <f>2099.67</f>
        <v>2099.67</v>
      </c>
      <c r="T256" s="65">
        <f>1836340</f>
        <v>1836340</v>
      </c>
      <c r="U256" s="65">
        <f>1047900</f>
        <v>1047900</v>
      </c>
      <c r="V256" s="65">
        <f>3854731690</f>
        <v>3854731690</v>
      </c>
      <c r="W256" s="65">
        <f>2201191250</f>
        <v>2201191250</v>
      </c>
      <c r="X256" s="69">
        <f>21</f>
        <v>21</v>
      </c>
    </row>
    <row r="257" spans="1:24">
      <c r="A257" s="60" t="s">
        <v>902</v>
      </c>
      <c r="B257" s="60" t="s">
        <v>903</v>
      </c>
      <c r="C257" s="60" t="s">
        <v>904</v>
      </c>
      <c r="D257" s="60" t="s">
        <v>905</v>
      </c>
      <c r="E257" s="61" t="s">
        <v>731</v>
      </c>
      <c r="F257" s="62" t="s">
        <v>732</v>
      </c>
      <c r="G257" s="63" t="s">
        <v>906</v>
      </c>
      <c r="H257" s="64"/>
      <c r="I257" s="64" t="s">
        <v>47</v>
      </c>
      <c r="J257" s="65">
        <v>1</v>
      </c>
      <c r="K257" s="66">
        <f>2507</f>
        <v>2507</v>
      </c>
      <c r="L257" s="67" t="s">
        <v>86</v>
      </c>
      <c r="M257" s="66">
        <f>2531</f>
        <v>2531</v>
      </c>
      <c r="N257" s="67" t="s">
        <v>150</v>
      </c>
      <c r="O257" s="66">
        <f>2482</f>
        <v>2482</v>
      </c>
      <c r="P257" s="67" t="s">
        <v>50</v>
      </c>
      <c r="Q257" s="66">
        <f>2482</f>
        <v>2482</v>
      </c>
      <c r="R257" s="67" t="s">
        <v>50</v>
      </c>
      <c r="S257" s="68">
        <f>2506.17</f>
        <v>2506.17</v>
      </c>
      <c r="T257" s="65">
        <f>1714</f>
        <v>1714</v>
      </c>
      <c r="U257" s="65">
        <f>100</f>
        <v>100</v>
      </c>
      <c r="V257" s="65">
        <f>4302301</f>
        <v>4302301</v>
      </c>
      <c r="W257" s="65">
        <f>249701</f>
        <v>249701</v>
      </c>
      <c r="X257" s="69">
        <f>12</f>
        <v>12</v>
      </c>
    </row>
    <row r="258" spans="1:24">
      <c r="A258" s="60" t="s">
        <v>902</v>
      </c>
      <c r="B258" s="60" t="s">
        <v>907</v>
      </c>
      <c r="C258" s="60" t="s">
        <v>908</v>
      </c>
      <c r="D258" s="60" t="s">
        <v>909</v>
      </c>
      <c r="E258" s="61" t="s">
        <v>731</v>
      </c>
      <c r="F258" s="62" t="s">
        <v>732</v>
      </c>
      <c r="G258" s="63" t="s">
        <v>906</v>
      </c>
      <c r="H258" s="64"/>
      <c r="I258" s="64" t="s">
        <v>47</v>
      </c>
      <c r="J258" s="65">
        <v>1</v>
      </c>
      <c r="K258" s="66">
        <f>2514</f>
        <v>2514</v>
      </c>
      <c r="L258" s="67" t="s">
        <v>86</v>
      </c>
      <c r="M258" s="66">
        <f>2532</f>
        <v>2532</v>
      </c>
      <c r="N258" s="67" t="s">
        <v>72</v>
      </c>
      <c r="O258" s="66">
        <f>2450</f>
        <v>2450</v>
      </c>
      <c r="P258" s="67" t="s">
        <v>99</v>
      </c>
      <c r="Q258" s="66">
        <f>2499</f>
        <v>2499</v>
      </c>
      <c r="R258" s="67" t="s">
        <v>50</v>
      </c>
      <c r="S258" s="68">
        <f>2494.92</f>
        <v>2494.92</v>
      </c>
      <c r="T258" s="65">
        <f>9497</f>
        <v>9497</v>
      </c>
      <c r="U258" s="65">
        <f>100</f>
        <v>100</v>
      </c>
      <c r="V258" s="65">
        <f>23706580</f>
        <v>23706580</v>
      </c>
      <c r="W258" s="65">
        <f>246300</f>
        <v>246300</v>
      </c>
      <c r="X258" s="69">
        <f>12</f>
        <v>12</v>
      </c>
    </row>
    <row r="259" spans="1:24">
      <c r="A259" s="60" t="s">
        <v>902</v>
      </c>
      <c r="B259" s="60" t="s">
        <v>910</v>
      </c>
      <c r="C259" s="60" t="s">
        <v>911</v>
      </c>
      <c r="D259" s="60" t="s">
        <v>912</v>
      </c>
      <c r="E259" s="61" t="s">
        <v>731</v>
      </c>
      <c r="F259" s="62" t="s">
        <v>732</v>
      </c>
      <c r="G259" s="63" t="s">
        <v>906</v>
      </c>
      <c r="H259" s="64"/>
      <c r="I259" s="64" t="s">
        <v>47</v>
      </c>
      <c r="J259" s="65">
        <v>1</v>
      </c>
      <c r="K259" s="66">
        <f>2520</f>
        <v>2520</v>
      </c>
      <c r="L259" s="67" t="s">
        <v>86</v>
      </c>
      <c r="M259" s="66">
        <f>2630</f>
        <v>2630</v>
      </c>
      <c r="N259" s="67" t="s">
        <v>819</v>
      </c>
      <c r="O259" s="66">
        <f>2482</f>
        <v>2482</v>
      </c>
      <c r="P259" s="67" t="s">
        <v>99</v>
      </c>
      <c r="Q259" s="66">
        <f>2485</f>
        <v>2485</v>
      </c>
      <c r="R259" s="67" t="s">
        <v>50</v>
      </c>
      <c r="S259" s="68">
        <f>2512.25</f>
        <v>2512.25</v>
      </c>
      <c r="T259" s="65">
        <f>2696</f>
        <v>2696</v>
      </c>
      <c r="U259" s="65">
        <f>5</f>
        <v>5</v>
      </c>
      <c r="V259" s="65">
        <f>6774128</f>
        <v>6774128</v>
      </c>
      <c r="W259" s="65">
        <f>12495</f>
        <v>12495</v>
      </c>
      <c r="X259" s="69">
        <f>12</f>
        <v>12</v>
      </c>
    </row>
    <row r="260" spans="1:24">
      <c r="A260" s="60" t="s">
        <v>902</v>
      </c>
      <c r="B260" s="60" t="s">
        <v>913</v>
      </c>
      <c r="C260" s="60" t="s">
        <v>914</v>
      </c>
      <c r="D260" s="60" t="s">
        <v>915</v>
      </c>
      <c r="E260" s="61" t="s">
        <v>731</v>
      </c>
      <c r="F260" s="62" t="s">
        <v>732</v>
      </c>
      <c r="G260" s="63" t="s">
        <v>906</v>
      </c>
      <c r="H260" s="64"/>
      <c r="I260" s="64" t="s">
        <v>47</v>
      </c>
      <c r="J260" s="65">
        <v>1</v>
      </c>
      <c r="K260" s="66">
        <f>2519</f>
        <v>2519</v>
      </c>
      <c r="L260" s="67" t="s">
        <v>86</v>
      </c>
      <c r="M260" s="66">
        <f>2862</f>
        <v>2862</v>
      </c>
      <c r="N260" s="67" t="s">
        <v>86</v>
      </c>
      <c r="O260" s="66">
        <f>2495</f>
        <v>2495</v>
      </c>
      <c r="P260" s="67" t="s">
        <v>91</v>
      </c>
      <c r="Q260" s="66">
        <f>2500</f>
        <v>2500</v>
      </c>
      <c r="R260" s="67" t="s">
        <v>50</v>
      </c>
      <c r="S260" s="68">
        <f>2507.1</f>
        <v>2507.1</v>
      </c>
      <c r="T260" s="65">
        <f>21680</f>
        <v>21680</v>
      </c>
      <c r="U260" s="65">
        <f>19649</f>
        <v>19649</v>
      </c>
      <c r="V260" s="65">
        <f>54274354</f>
        <v>54274354</v>
      </c>
      <c r="W260" s="65">
        <f>49142149</f>
        <v>49142149</v>
      </c>
      <c r="X260" s="69">
        <f>10</f>
        <v>10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FAAE-8F6F-4FE1-876D-790F274CCC4F}">
  <sheetPr>
    <pageSetUpPr fitToPage="1"/>
  </sheetPr>
  <dimension ref="A1:X256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RowHeight="13.5"/>
  <cols>
    <col min="1" max="1" width="13.125" style="1" bestFit="1" customWidth="1"/>
    <col min="2" max="2" width="10.75" style="1" bestFit="1" customWidth="1"/>
    <col min="3" max="4" width="27.625" style="1" customWidth="1"/>
    <col min="5" max="5" width="13.75" style="1" bestFit="1" customWidth="1"/>
    <col min="6" max="6" width="20.75" style="1" bestFit="1" customWidth="1"/>
    <col min="7" max="7" width="11.25" style="1" customWidth="1"/>
    <col min="8" max="8" width="8.75" style="1" bestFit="1" customWidth="1"/>
    <col min="9" max="9" width="11.75" style="1" bestFit="1" customWidth="1"/>
    <col min="10" max="10" width="12.625" style="1" bestFit="1" customWidth="1"/>
    <col min="11" max="11" width="16.25" style="1" customWidth="1"/>
    <col min="12" max="12" width="5.625" style="1" bestFit="1" customWidth="1"/>
    <col min="13" max="13" width="16.25" style="1" customWidth="1"/>
    <col min="14" max="14" width="5.625" style="1" bestFit="1" customWidth="1"/>
    <col min="15" max="15" width="16.25" style="1" customWidth="1"/>
    <col min="16" max="16" width="5.625" style="1" bestFit="1" customWidth="1"/>
    <col min="17" max="17" width="16.25" style="1" customWidth="1"/>
    <col min="18" max="18" width="5.625" style="1" bestFit="1" customWidth="1"/>
    <col min="19" max="19" width="23.875" style="1" bestFit="1" customWidth="1"/>
    <col min="20" max="20" width="16.25" style="1" customWidth="1"/>
    <col min="21" max="21" width="24.125" style="1" customWidth="1"/>
    <col min="22" max="22" width="19.875" style="1" bestFit="1" customWidth="1"/>
    <col min="23" max="23" width="25" style="1" bestFit="1" customWidth="1"/>
    <col min="24" max="24" width="13.12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872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1682</f>
        <v>1682</v>
      </c>
      <c r="L7" s="67" t="s">
        <v>840</v>
      </c>
      <c r="M7" s="66">
        <f>1753</f>
        <v>1753</v>
      </c>
      <c r="N7" s="67" t="s">
        <v>245</v>
      </c>
      <c r="O7" s="66">
        <f>1660</f>
        <v>1660</v>
      </c>
      <c r="P7" s="67" t="s">
        <v>119</v>
      </c>
      <c r="Q7" s="66">
        <f>1704</f>
        <v>1704</v>
      </c>
      <c r="R7" s="67" t="s">
        <v>50</v>
      </c>
      <c r="S7" s="68">
        <f>1702.5</f>
        <v>1702.5</v>
      </c>
      <c r="T7" s="65">
        <f>15550100</f>
        <v>15550100</v>
      </c>
      <c r="U7" s="65">
        <f>6203370</f>
        <v>6203370</v>
      </c>
      <c r="V7" s="65">
        <f>26218416154</f>
        <v>26218416154</v>
      </c>
      <c r="W7" s="65">
        <f>10325225544</f>
        <v>10325225544</v>
      </c>
      <c r="X7" s="69">
        <f>20</f>
        <v>20</v>
      </c>
    </row>
    <row r="8" spans="1:24">
      <c r="A8" s="60" t="s">
        <v>872</v>
      </c>
      <c r="B8" s="60" t="s">
        <v>52</v>
      </c>
      <c r="C8" s="60" t="s">
        <v>873</v>
      </c>
      <c r="D8" s="60" t="s">
        <v>874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1662</f>
        <v>1662</v>
      </c>
      <c r="L8" s="67" t="s">
        <v>840</v>
      </c>
      <c r="M8" s="66">
        <f>1733</f>
        <v>1733</v>
      </c>
      <c r="N8" s="67" t="s">
        <v>245</v>
      </c>
      <c r="O8" s="66">
        <f>1639</f>
        <v>1639</v>
      </c>
      <c r="P8" s="67" t="s">
        <v>119</v>
      </c>
      <c r="Q8" s="66">
        <f>1686</f>
        <v>1686</v>
      </c>
      <c r="R8" s="67" t="s">
        <v>50</v>
      </c>
      <c r="S8" s="68">
        <f>1682.45</f>
        <v>1682.45</v>
      </c>
      <c r="T8" s="65">
        <f>58654410</f>
        <v>58654410</v>
      </c>
      <c r="U8" s="65">
        <f>15729920</f>
        <v>15729920</v>
      </c>
      <c r="V8" s="65">
        <f>98426538760</f>
        <v>98426538760</v>
      </c>
      <c r="W8" s="65">
        <f>26441359940</f>
        <v>26441359940</v>
      </c>
      <c r="X8" s="69">
        <f>20</f>
        <v>20</v>
      </c>
    </row>
    <row r="9" spans="1:24">
      <c r="A9" s="60" t="s">
        <v>872</v>
      </c>
      <c r="B9" s="60" t="s">
        <v>55</v>
      </c>
      <c r="C9" s="60" t="s">
        <v>56</v>
      </c>
      <c r="D9" s="60" t="s">
        <v>57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1644</f>
        <v>1644</v>
      </c>
      <c r="L9" s="67" t="s">
        <v>840</v>
      </c>
      <c r="M9" s="66">
        <f>1714</f>
        <v>1714</v>
      </c>
      <c r="N9" s="67" t="s">
        <v>245</v>
      </c>
      <c r="O9" s="66">
        <f>1623</f>
        <v>1623</v>
      </c>
      <c r="P9" s="67" t="s">
        <v>119</v>
      </c>
      <c r="Q9" s="66">
        <f>1668</f>
        <v>1668</v>
      </c>
      <c r="R9" s="67" t="s">
        <v>50</v>
      </c>
      <c r="S9" s="68">
        <f>1664.65</f>
        <v>1664.65</v>
      </c>
      <c r="T9" s="65">
        <f>8064800</f>
        <v>8064800</v>
      </c>
      <c r="U9" s="65">
        <f>1200</f>
        <v>1200</v>
      </c>
      <c r="V9" s="65">
        <f>13481270800</f>
        <v>13481270800</v>
      </c>
      <c r="W9" s="65">
        <f>1994000</f>
        <v>1994000</v>
      </c>
      <c r="X9" s="69">
        <f>20</f>
        <v>20</v>
      </c>
    </row>
    <row r="10" spans="1:24">
      <c r="A10" s="60" t="s">
        <v>872</v>
      </c>
      <c r="B10" s="60" t="s">
        <v>58</v>
      </c>
      <c r="C10" s="60" t="s">
        <v>59</v>
      </c>
      <c r="D10" s="60" t="s">
        <v>60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39650</f>
        <v>39650</v>
      </c>
      <c r="L10" s="67" t="s">
        <v>840</v>
      </c>
      <c r="M10" s="66">
        <f>39750</f>
        <v>39750</v>
      </c>
      <c r="N10" s="67" t="s">
        <v>814</v>
      </c>
      <c r="O10" s="66">
        <f>37550</f>
        <v>37550</v>
      </c>
      <c r="P10" s="67" t="s">
        <v>834</v>
      </c>
      <c r="Q10" s="66">
        <f>38250</f>
        <v>38250</v>
      </c>
      <c r="R10" s="67" t="s">
        <v>50</v>
      </c>
      <c r="S10" s="68">
        <f>38532.5</f>
        <v>38532.5</v>
      </c>
      <c r="T10" s="65">
        <f>5128</f>
        <v>5128</v>
      </c>
      <c r="U10" s="65" t="str">
        <f>"－"</f>
        <v>－</v>
      </c>
      <c r="V10" s="65">
        <f>197287900</f>
        <v>197287900</v>
      </c>
      <c r="W10" s="65" t="str">
        <f>"－"</f>
        <v>－</v>
      </c>
      <c r="X10" s="69">
        <f>20</f>
        <v>20</v>
      </c>
    </row>
    <row r="11" spans="1:24">
      <c r="A11" s="60" t="s">
        <v>872</v>
      </c>
      <c r="B11" s="60" t="s">
        <v>62</v>
      </c>
      <c r="C11" s="60" t="s">
        <v>875</v>
      </c>
      <c r="D11" s="60" t="s">
        <v>876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730</f>
        <v>730</v>
      </c>
      <c r="L11" s="67" t="s">
        <v>840</v>
      </c>
      <c r="M11" s="66">
        <f>749</f>
        <v>749</v>
      </c>
      <c r="N11" s="67" t="s">
        <v>245</v>
      </c>
      <c r="O11" s="66">
        <f>712</f>
        <v>712</v>
      </c>
      <c r="P11" s="67" t="s">
        <v>119</v>
      </c>
      <c r="Q11" s="66">
        <f>731</f>
        <v>731</v>
      </c>
      <c r="R11" s="67" t="s">
        <v>50</v>
      </c>
      <c r="S11" s="68">
        <f>730.65</f>
        <v>730.65</v>
      </c>
      <c r="T11" s="65">
        <f>78880</f>
        <v>78880</v>
      </c>
      <c r="U11" s="65" t="str">
        <f>"－"</f>
        <v>－</v>
      </c>
      <c r="V11" s="65">
        <f>57795580</f>
        <v>57795580</v>
      </c>
      <c r="W11" s="65" t="str">
        <f>"－"</f>
        <v>－</v>
      </c>
      <c r="X11" s="69">
        <f>20</f>
        <v>20</v>
      </c>
    </row>
    <row r="12" spans="1:24">
      <c r="A12" s="60" t="s">
        <v>872</v>
      </c>
      <c r="B12" s="60" t="s">
        <v>66</v>
      </c>
      <c r="C12" s="60" t="s">
        <v>877</v>
      </c>
      <c r="D12" s="60" t="s">
        <v>878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18630</f>
        <v>18630</v>
      </c>
      <c r="L12" s="67" t="s">
        <v>840</v>
      </c>
      <c r="M12" s="66">
        <f>20030</f>
        <v>20030</v>
      </c>
      <c r="N12" s="67" t="s">
        <v>245</v>
      </c>
      <c r="O12" s="66">
        <f>18400</f>
        <v>18400</v>
      </c>
      <c r="P12" s="67" t="s">
        <v>818</v>
      </c>
      <c r="Q12" s="66">
        <f>20000</f>
        <v>20000</v>
      </c>
      <c r="R12" s="67" t="s">
        <v>50</v>
      </c>
      <c r="S12" s="68">
        <f>19150</f>
        <v>19150</v>
      </c>
      <c r="T12" s="65">
        <f>352</f>
        <v>352</v>
      </c>
      <c r="U12" s="65" t="str">
        <f>"－"</f>
        <v>－</v>
      </c>
      <c r="V12" s="65">
        <f>6639890</f>
        <v>6639890</v>
      </c>
      <c r="W12" s="65" t="str">
        <f>"－"</f>
        <v>－</v>
      </c>
      <c r="X12" s="69">
        <f>16</f>
        <v>16</v>
      </c>
    </row>
    <row r="13" spans="1:24">
      <c r="A13" s="60" t="s">
        <v>872</v>
      </c>
      <c r="B13" s="60" t="s">
        <v>69</v>
      </c>
      <c r="C13" s="60" t="s">
        <v>70</v>
      </c>
      <c r="D13" s="60" t="s">
        <v>71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2800</f>
        <v>2800</v>
      </c>
      <c r="L13" s="67" t="s">
        <v>840</v>
      </c>
      <c r="M13" s="66">
        <f>3045</f>
        <v>3045</v>
      </c>
      <c r="N13" s="67" t="s">
        <v>86</v>
      </c>
      <c r="O13" s="66">
        <f>2713</f>
        <v>2713</v>
      </c>
      <c r="P13" s="67" t="s">
        <v>818</v>
      </c>
      <c r="Q13" s="66">
        <f>2775</f>
        <v>2775</v>
      </c>
      <c r="R13" s="67" t="s">
        <v>50</v>
      </c>
      <c r="S13" s="68">
        <f>2808.94</f>
        <v>2808.94</v>
      </c>
      <c r="T13" s="65">
        <f>6580</f>
        <v>6580</v>
      </c>
      <c r="U13" s="65" t="str">
        <f>"－"</f>
        <v>－</v>
      </c>
      <c r="V13" s="65">
        <f>19103070</f>
        <v>19103070</v>
      </c>
      <c r="W13" s="65" t="str">
        <f>"－"</f>
        <v>－</v>
      </c>
      <c r="X13" s="69">
        <f>18</f>
        <v>18</v>
      </c>
    </row>
    <row r="14" spans="1:24">
      <c r="A14" s="60" t="s">
        <v>872</v>
      </c>
      <c r="B14" s="60" t="s">
        <v>73</v>
      </c>
      <c r="C14" s="60" t="s">
        <v>879</v>
      </c>
      <c r="D14" s="60" t="s">
        <v>880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308</f>
        <v>308</v>
      </c>
      <c r="L14" s="67" t="s">
        <v>840</v>
      </c>
      <c r="M14" s="66">
        <f>321</f>
        <v>321</v>
      </c>
      <c r="N14" s="67" t="s">
        <v>50</v>
      </c>
      <c r="O14" s="66">
        <f>299</f>
        <v>299</v>
      </c>
      <c r="P14" s="67" t="s">
        <v>119</v>
      </c>
      <c r="Q14" s="66">
        <f>319</f>
        <v>319</v>
      </c>
      <c r="R14" s="67" t="s">
        <v>50</v>
      </c>
      <c r="S14" s="68">
        <f>308.59</f>
        <v>308.58999999999997</v>
      </c>
      <c r="T14" s="65">
        <f>196000</f>
        <v>196000</v>
      </c>
      <c r="U14" s="65" t="str">
        <f>"－"</f>
        <v>－</v>
      </c>
      <c r="V14" s="65">
        <f>60455000</f>
        <v>60455000</v>
      </c>
      <c r="W14" s="65" t="str">
        <f>"－"</f>
        <v>－</v>
      </c>
      <c r="X14" s="69">
        <f>17</f>
        <v>17</v>
      </c>
    </row>
    <row r="15" spans="1:24">
      <c r="A15" s="60" t="s">
        <v>872</v>
      </c>
      <c r="B15" s="60" t="s">
        <v>76</v>
      </c>
      <c r="C15" s="60" t="s">
        <v>77</v>
      </c>
      <c r="D15" s="60" t="s">
        <v>78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23600</f>
        <v>23600</v>
      </c>
      <c r="L15" s="67" t="s">
        <v>840</v>
      </c>
      <c r="M15" s="66">
        <f>24260</f>
        <v>24260</v>
      </c>
      <c r="N15" s="67" t="s">
        <v>245</v>
      </c>
      <c r="O15" s="66">
        <f>23380</f>
        <v>23380</v>
      </c>
      <c r="P15" s="67" t="s">
        <v>119</v>
      </c>
      <c r="Q15" s="66">
        <f>23820</f>
        <v>23820</v>
      </c>
      <c r="R15" s="67" t="s">
        <v>50</v>
      </c>
      <c r="S15" s="68">
        <f>23818</f>
        <v>23818</v>
      </c>
      <c r="T15" s="65">
        <f>1824236</f>
        <v>1824236</v>
      </c>
      <c r="U15" s="65">
        <f>804874</f>
        <v>804874</v>
      </c>
      <c r="V15" s="65">
        <f>43379393171</f>
        <v>43379393171</v>
      </c>
      <c r="W15" s="65">
        <f>19146823291</f>
        <v>19146823291</v>
      </c>
      <c r="X15" s="69">
        <f>20</f>
        <v>20</v>
      </c>
    </row>
    <row r="16" spans="1:24">
      <c r="A16" s="60" t="s">
        <v>872</v>
      </c>
      <c r="B16" s="60" t="s">
        <v>80</v>
      </c>
      <c r="C16" s="60" t="s">
        <v>881</v>
      </c>
      <c r="D16" s="60" t="s">
        <v>882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23660</f>
        <v>23660</v>
      </c>
      <c r="L16" s="67" t="s">
        <v>840</v>
      </c>
      <c r="M16" s="66">
        <f>24320</f>
        <v>24320</v>
      </c>
      <c r="N16" s="67" t="s">
        <v>245</v>
      </c>
      <c r="O16" s="66">
        <f>23430</f>
        <v>23430</v>
      </c>
      <c r="P16" s="67" t="s">
        <v>119</v>
      </c>
      <c r="Q16" s="66">
        <f>23880</f>
        <v>23880</v>
      </c>
      <c r="R16" s="67" t="s">
        <v>50</v>
      </c>
      <c r="S16" s="68">
        <f>23877</f>
        <v>23877</v>
      </c>
      <c r="T16" s="65">
        <f>4491451</f>
        <v>4491451</v>
      </c>
      <c r="U16" s="65">
        <f>122724</f>
        <v>122724</v>
      </c>
      <c r="V16" s="65">
        <f>107190037725</f>
        <v>107190037725</v>
      </c>
      <c r="W16" s="65">
        <f>2942328355</f>
        <v>2942328355</v>
      </c>
      <c r="X16" s="69">
        <f>20</f>
        <v>20</v>
      </c>
    </row>
    <row r="17" spans="1:24">
      <c r="A17" s="60" t="s">
        <v>872</v>
      </c>
      <c r="B17" s="60" t="s">
        <v>83</v>
      </c>
      <c r="C17" s="60" t="s">
        <v>84</v>
      </c>
      <c r="D17" s="60" t="s">
        <v>85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7150</f>
        <v>7150</v>
      </c>
      <c r="L17" s="67" t="s">
        <v>840</v>
      </c>
      <c r="M17" s="66">
        <f>7420</f>
        <v>7420</v>
      </c>
      <c r="N17" s="67" t="s">
        <v>840</v>
      </c>
      <c r="O17" s="66">
        <f>6760</f>
        <v>6760</v>
      </c>
      <c r="P17" s="67" t="s">
        <v>95</v>
      </c>
      <c r="Q17" s="66">
        <f>6840</f>
        <v>6840</v>
      </c>
      <c r="R17" s="67" t="s">
        <v>50</v>
      </c>
      <c r="S17" s="68">
        <f>6955</f>
        <v>6955</v>
      </c>
      <c r="T17" s="65">
        <f>14310</f>
        <v>14310</v>
      </c>
      <c r="U17" s="65" t="str">
        <f>"－"</f>
        <v>－</v>
      </c>
      <c r="V17" s="65">
        <f>100857600</f>
        <v>100857600</v>
      </c>
      <c r="W17" s="65" t="str">
        <f>"－"</f>
        <v>－</v>
      </c>
      <c r="X17" s="69">
        <f>20</f>
        <v>20</v>
      </c>
    </row>
    <row r="18" spans="1:24">
      <c r="A18" s="60" t="s">
        <v>872</v>
      </c>
      <c r="B18" s="60" t="s">
        <v>87</v>
      </c>
      <c r="C18" s="60" t="s">
        <v>88</v>
      </c>
      <c r="D18" s="60" t="s">
        <v>89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314</f>
        <v>314</v>
      </c>
      <c r="L18" s="67" t="s">
        <v>840</v>
      </c>
      <c r="M18" s="66">
        <f>326</f>
        <v>326</v>
      </c>
      <c r="N18" s="67" t="s">
        <v>822</v>
      </c>
      <c r="O18" s="66">
        <f>310</f>
        <v>310</v>
      </c>
      <c r="P18" s="67" t="s">
        <v>119</v>
      </c>
      <c r="Q18" s="66">
        <f>319</f>
        <v>319</v>
      </c>
      <c r="R18" s="67" t="s">
        <v>50</v>
      </c>
      <c r="S18" s="68">
        <f>317.4</f>
        <v>317.39999999999998</v>
      </c>
      <c r="T18" s="65">
        <f>26900</f>
        <v>26900</v>
      </c>
      <c r="U18" s="65" t="str">
        <f>"－"</f>
        <v>－</v>
      </c>
      <c r="V18" s="65">
        <f>8588100</f>
        <v>8588100</v>
      </c>
      <c r="W18" s="65" t="str">
        <f>"－"</f>
        <v>－</v>
      </c>
      <c r="X18" s="69">
        <f>20</f>
        <v>20</v>
      </c>
    </row>
    <row r="19" spans="1:24">
      <c r="A19" s="60" t="s">
        <v>872</v>
      </c>
      <c r="B19" s="60" t="s">
        <v>92</v>
      </c>
      <c r="C19" s="60" t="s">
        <v>93</v>
      </c>
      <c r="D19" s="60" t="s">
        <v>94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135</f>
        <v>135</v>
      </c>
      <c r="L19" s="67" t="s">
        <v>840</v>
      </c>
      <c r="M19" s="66">
        <f>136</f>
        <v>136</v>
      </c>
      <c r="N19" s="67" t="s">
        <v>840</v>
      </c>
      <c r="O19" s="66">
        <f>129</f>
        <v>129</v>
      </c>
      <c r="P19" s="67" t="s">
        <v>50</v>
      </c>
      <c r="Q19" s="66">
        <f>130</f>
        <v>130</v>
      </c>
      <c r="R19" s="67" t="s">
        <v>50</v>
      </c>
      <c r="S19" s="68">
        <f>133.05</f>
        <v>133.05000000000001</v>
      </c>
      <c r="T19" s="65">
        <f>228500</f>
        <v>228500</v>
      </c>
      <c r="U19" s="65">
        <f>4100</f>
        <v>4100</v>
      </c>
      <c r="V19" s="65">
        <f>30292500</f>
        <v>30292500</v>
      </c>
      <c r="W19" s="65">
        <f>537100</f>
        <v>537100</v>
      </c>
      <c r="X19" s="69">
        <f>20</f>
        <v>20</v>
      </c>
    </row>
    <row r="20" spans="1:24">
      <c r="A20" s="60" t="s">
        <v>872</v>
      </c>
      <c r="B20" s="60" t="s">
        <v>96</v>
      </c>
      <c r="C20" s="60" t="s">
        <v>97</v>
      </c>
      <c r="D20" s="60" t="s">
        <v>98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159</f>
        <v>159</v>
      </c>
      <c r="L20" s="67" t="s">
        <v>840</v>
      </c>
      <c r="M20" s="66">
        <f>160</f>
        <v>160</v>
      </c>
      <c r="N20" s="67" t="s">
        <v>833</v>
      </c>
      <c r="O20" s="66">
        <f>150</f>
        <v>150</v>
      </c>
      <c r="P20" s="67" t="s">
        <v>175</v>
      </c>
      <c r="Q20" s="66">
        <f>150</f>
        <v>150</v>
      </c>
      <c r="R20" s="67" t="s">
        <v>50</v>
      </c>
      <c r="S20" s="68">
        <f>155.45</f>
        <v>155.44999999999999</v>
      </c>
      <c r="T20" s="65">
        <f>261200</f>
        <v>261200</v>
      </c>
      <c r="U20" s="65" t="str">
        <f>"－"</f>
        <v>－</v>
      </c>
      <c r="V20" s="65">
        <f>40569500</f>
        <v>40569500</v>
      </c>
      <c r="W20" s="65" t="str">
        <f>"－"</f>
        <v>－</v>
      </c>
      <c r="X20" s="69">
        <f>20</f>
        <v>20</v>
      </c>
    </row>
    <row r="21" spans="1:24">
      <c r="A21" s="60" t="s">
        <v>872</v>
      </c>
      <c r="B21" s="60" t="s">
        <v>101</v>
      </c>
      <c r="C21" s="60" t="s">
        <v>102</v>
      </c>
      <c r="D21" s="60" t="s">
        <v>103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19600</f>
        <v>19600</v>
      </c>
      <c r="L21" s="67" t="s">
        <v>840</v>
      </c>
      <c r="M21" s="66">
        <f>19760</f>
        <v>19760</v>
      </c>
      <c r="N21" s="67" t="s">
        <v>840</v>
      </c>
      <c r="O21" s="66">
        <f>18310</f>
        <v>18310</v>
      </c>
      <c r="P21" s="67" t="s">
        <v>175</v>
      </c>
      <c r="Q21" s="66">
        <f>18710</f>
        <v>18710</v>
      </c>
      <c r="R21" s="67" t="s">
        <v>50</v>
      </c>
      <c r="S21" s="68">
        <f>19106</f>
        <v>19106</v>
      </c>
      <c r="T21" s="65">
        <f>422095</f>
        <v>422095</v>
      </c>
      <c r="U21" s="65" t="str">
        <f>"－"</f>
        <v>－</v>
      </c>
      <c r="V21" s="65">
        <f>8016795750</f>
        <v>8016795750</v>
      </c>
      <c r="W21" s="65" t="str">
        <f>"－"</f>
        <v>－</v>
      </c>
      <c r="X21" s="69">
        <f>20</f>
        <v>20</v>
      </c>
    </row>
    <row r="22" spans="1:24">
      <c r="A22" s="60" t="s">
        <v>872</v>
      </c>
      <c r="B22" s="60" t="s">
        <v>104</v>
      </c>
      <c r="C22" s="60" t="s">
        <v>105</v>
      </c>
      <c r="D22" s="60" t="s">
        <v>106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2766</f>
        <v>2766</v>
      </c>
      <c r="L22" s="67" t="s">
        <v>840</v>
      </c>
      <c r="M22" s="66">
        <f>2810</f>
        <v>2810</v>
      </c>
      <c r="N22" s="67" t="s">
        <v>833</v>
      </c>
      <c r="O22" s="66">
        <f>2642</f>
        <v>2642</v>
      </c>
      <c r="P22" s="67" t="s">
        <v>119</v>
      </c>
      <c r="Q22" s="66">
        <f>2760</f>
        <v>2760</v>
      </c>
      <c r="R22" s="67" t="s">
        <v>50</v>
      </c>
      <c r="S22" s="68">
        <f>2738.8</f>
        <v>2738.8</v>
      </c>
      <c r="T22" s="65">
        <f>3621</f>
        <v>3621</v>
      </c>
      <c r="U22" s="65" t="str">
        <f>"－"</f>
        <v>－</v>
      </c>
      <c r="V22" s="65">
        <f>9858931</f>
        <v>9858931</v>
      </c>
      <c r="W22" s="65" t="str">
        <f>"－"</f>
        <v>－</v>
      </c>
      <c r="X22" s="69">
        <f>20</f>
        <v>20</v>
      </c>
    </row>
    <row r="23" spans="1:24">
      <c r="A23" s="60" t="s">
        <v>872</v>
      </c>
      <c r="B23" s="60" t="s">
        <v>107</v>
      </c>
      <c r="C23" s="60" t="s">
        <v>883</v>
      </c>
      <c r="D23" s="60" t="s">
        <v>884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5410</f>
        <v>5410</v>
      </c>
      <c r="L23" s="67" t="s">
        <v>840</v>
      </c>
      <c r="M23" s="66">
        <f>5410</f>
        <v>5410</v>
      </c>
      <c r="N23" s="67" t="s">
        <v>840</v>
      </c>
      <c r="O23" s="66">
        <f>5000</f>
        <v>5000</v>
      </c>
      <c r="P23" s="67" t="s">
        <v>175</v>
      </c>
      <c r="Q23" s="66">
        <f>5120</f>
        <v>5120</v>
      </c>
      <c r="R23" s="67" t="s">
        <v>50</v>
      </c>
      <c r="S23" s="68">
        <f>5233</f>
        <v>5233</v>
      </c>
      <c r="T23" s="65">
        <f>424900</f>
        <v>424900</v>
      </c>
      <c r="U23" s="65" t="str">
        <f>"－"</f>
        <v>－</v>
      </c>
      <c r="V23" s="65">
        <f>2214328800</f>
        <v>2214328800</v>
      </c>
      <c r="W23" s="65" t="str">
        <f>"－"</f>
        <v>－</v>
      </c>
      <c r="X23" s="69">
        <f>20</f>
        <v>20</v>
      </c>
    </row>
    <row r="24" spans="1:24">
      <c r="A24" s="60" t="s">
        <v>872</v>
      </c>
      <c r="B24" s="60" t="s">
        <v>110</v>
      </c>
      <c r="C24" s="60" t="s">
        <v>111</v>
      </c>
      <c r="D24" s="60" t="s">
        <v>112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23760</f>
        <v>23760</v>
      </c>
      <c r="L24" s="67" t="s">
        <v>840</v>
      </c>
      <c r="M24" s="66">
        <f>24410</f>
        <v>24410</v>
      </c>
      <c r="N24" s="67" t="s">
        <v>245</v>
      </c>
      <c r="O24" s="66">
        <f>23530</f>
        <v>23530</v>
      </c>
      <c r="P24" s="67" t="s">
        <v>119</v>
      </c>
      <c r="Q24" s="66">
        <f>23970</f>
        <v>23970</v>
      </c>
      <c r="R24" s="67" t="s">
        <v>50</v>
      </c>
      <c r="S24" s="68">
        <f>23969</f>
        <v>23969</v>
      </c>
      <c r="T24" s="65">
        <f>397339</f>
        <v>397339</v>
      </c>
      <c r="U24" s="65">
        <f>85566</f>
        <v>85566</v>
      </c>
      <c r="V24" s="65">
        <f>9523516286</f>
        <v>9523516286</v>
      </c>
      <c r="W24" s="65">
        <f>2054149226</f>
        <v>2054149226</v>
      </c>
      <c r="X24" s="69">
        <f>20</f>
        <v>20</v>
      </c>
    </row>
    <row r="25" spans="1:24">
      <c r="A25" s="60" t="s">
        <v>872</v>
      </c>
      <c r="B25" s="60" t="s">
        <v>113</v>
      </c>
      <c r="C25" s="60" t="s">
        <v>114</v>
      </c>
      <c r="D25" s="60" t="s">
        <v>115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23700</f>
        <v>23700</v>
      </c>
      <c r="L25" s="67" t="s">
        <v>840</v>
      </c>
      <c r="M25" s="66">
        <f>24360</f>
        <v>24360</v>
      </c>
      <c r="N25" s="67" t="s">
        <v>245</v>
      </c>
      <c r="O25" s="66">
        <f>23470</f>
        <v>23470</v>
      </c>
      <c r="P25" s="67" t="s">
        <v>119</v>
      </c>
      <c r="Q25" s="66">
        <f>23910</f>
        <v>23910</v>
      </c>
      <c r="R25" s="67" t="s">
        <v>50</v>
      </c>
      <c r="S25" s="68">
        <f>23919</f>
        <v>23919</v>
      </c>
      <c r="T25" s="65">
        <f>1505670</f>
        <v>1505670</v>
      </c>
      <c r="U25" s="65">
        <f>94920</f>
        <v>94920</v>
      </c>
      <c r="V25" s="65">
        <f>35963579329</f>
        <v>35963579329</v>
      </c>
      <c r="W25" s="65">
        <f>2257483129</f>
        <v>2257483129</v>
      </c>
      <c r="X25" s="69">
        <f>20</f>
        <v>20</v>
      </c>
    </row>
    <row r="26" spans="1:24">
      <c r="A26" s="60" t="s">
        <v>872</v>
      </c>
      <c r="B26" s="60" t="s">
        <v>116</v>
      </c>
      <c r="C26" s="60" t="s">
        <v>117</v>
      </c>
      <c r="D26" s="60" t="s">
        <v>118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1870</f>
        <v>1870</v>
      </c>
      <c r="L26" s="67" t="s">
        <v>840</v>
      </c>
      <c r="M26" s="66">
        <f>1888</f>
        <v>1888</v>
      </c>
      <c r="N26" s="67" t="s">
        <v>822</v>
      </c>
      <c r="O26" s="66">
        <f>1805</f>
        <v>1805</v>
      </c>
      <c r="P26" s="67" t="s">
        <v>834</v>
      </c>
      <c r="Q26" s="66">
        <f>1858</f>
        <v>1858</v>
      </c>
      <c r="R26" s="67" t="s">
        <v>50</v>
      </c>
      <c r="S26" s="68">
        <f>1846.5</f>
        <v>1846.5</v>
      </c>
      <c r="T26" s="65">
        <f>8328720</f>
        <v>8328720</v>
      </c>
      <c r="U26" s="65">
        <f>616640</f>
        <v>616640</v>
      </c>
      <c r="V26" s="65">
        <f>15436433407</f>
        <v>15436433407</v>
      </c>
      <c r="W26" s="65">
        <f>1152269537</f>
        <v>1152269537</v>
      </c>
      <c r="X26" s="69">
        <f>20</f>
        <v>20</v>
      </c>
    </row>
    <row r="27" spans="1:24">
      <c r="A27" s="60" t="s">
        <v>872</v>
      </c>
      <c r="B27" s="60" t="s">
        <v>120</v>
      </c>
      <c r="C27" s="60" t="s">
        <v>121</v>
      </c>
      <c r="D27" s="60" t="s">
        <v>122</v>
      </c>
      <c r="E27" s="61" t="s">
        <v>46</v>
      </c>
      <c r="F27" s="62" t="s">
        <v>46</v>
      </c>
      <c r="G27" s="63" t="s">
        <v>46</v>
      </c>
      <c r="H27" s="64"/>
      <c r="I27" s="64" t="s">
        <v>47</v>
      </c>
      <c r="J27" s="65">
        <v>10</v>
      </c>
      <c r="K27" s="66">
        <f>710</f>
        <v>710</v>
      </c>
      <c r="L27" s="67" t="s">
        <v>840</v>
      </c>
      <c r="M27" s="66">
        <f>723</f>
        <v>723</v>
      </c>
      <c r="N27" s="67" t="s">
        <v>50</v>
      </c>
      <c r="O27" s="66">
        <f>693</f>
        <v>693</v>
      </c>
      <c r="P27" s="67" t="s">
        <v>119</v>
      </c>
      <c r="Q27" s="66">
        <f>715</f>
        <v>715</v>
      </c>
      <c r="R27" s="67" t="s">
        <v>50</v>
      </c>
      <c r="S27" s="68">
        <f>710.15</f>
        <v>710.15</v>
      </c>
      <c r="T27" s="65">
        <f>45980</f>
        <v>45980</v>
      </c>
      <c r="U27" s="65" t="str">
        <f>"－"</f>
        <v>－</v>
      </c>
      <c r="V27" s="65">
        <f>32771580</f>
        <v>32771580</v>
      </c>
      <c r="W27" s="65" t="str">
        <f>"－"</f>
        <v>－</v>
      </c>
      <c r="X27" s="69">
        <f>20</f>
        <v>20</v>
      </c>
    </row>
    <row r="28" spans="1:24">
      <c r="A28" s="60" t="s">
        <v>872</v>
      </c>
      <c r="B28" s="60" t="s">
        <v>123</v>
      </c>
      <c r="C28" s="60" t="s">
        <v>124</v>
      </c>
      <c r="D28" s="60" t="s">
        <v>125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1777</f>
        <v>1777</v>
      </c>
      <c r="L28" s="67" t="s">
        <v>840</v>
      </c>
      <c r="M28" s="66">
        <f>1780</f>
        <v>1780</v>
      </c>
      <c r="N28" s="67" t="s">
        <v>840</v>
      </c>
      <c r="O28" s="66">
        <f>1697</f>
        <v>1697</v>
      </c>
      <c r="P28" s="67" t="s">
        <v>834</v>
      </c>
      <c r="Q28" s="66">
        <f>1748</f>
        <v>1748</v>
      </c>
      <c r="R28" s="67" t="s">
        <v>50</v>
      </c>
      <c r="S28" s="68">
        <f>1740.8</f>
        <v>1740.8</v>
      </c>
      <c r="T28" s="65">
        <f>1459500</f>
        <v>1459500</v>
      </c>
      <c r="U28" s="65">
        <f>209800</f>
        <v>209800</v>
      </c>
      <c r="V28" s="65">
        <f>2543711724</f>
        <v>2543711724</v>
      </c>
      <c r="W28" s="65">
        <f>361743724</f>
        <v>361743724</v>
      </c>
      <c r="X28" s="69">
        <f>20</f>
        <v>20</v>
      </c>
    </row>
    <row r="29" spans="1:24">
      <c r="A29" s="60" t="s">
        <v>872</v>
      </c>
      <c r="B29" s="60" t="s">
        <v>126</v>
      </c>
      <c r="C29" s="60" t="s">
        <v>127</v>
      </c>
      <c r="D29" s="60" t="s">
        <v>128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23780</f>
        <v>23780</v>
      </c>
      <c r="L29" s="67" t="s">
        <v>840</v>
      </c>
      <c r="M29" s="66">
        <f>24430</f>
        <v>24430</v>
      </c>
      <c r="N29" s="67" t="s">
        <v>245</v>
      </c>
      <c r="O29" s="66">
        <f>23540</f>
        <v>23540</v>
      </c>
      <c r="P29" s="67" t="s">
        <v>119</v>
      </c>
      <c r="Q29" s="66">
        <f>24000</f>
        <v>24000</v>
      </c>
      <c r="R29" s="67" t="s">
        <v>50</v>
      </c>
      <c r="S29" s="68">
        <f>23984</f>
        <v>23984</v>
      </c>
      <c r="T29" s="65">
        <f>453161</f>
        <v>453161</v>
      </c>
      <c r="U29" s="65">
        <f>115</f>
        <v>115</v>
      </c>
      <c r="V29" s="65">
        <f>10859180575</f>
        <v>10859180575</v>
      </c>
      <c r="W29" s="65">
        <f>2765685</f>
        <v>2765685</v>
      </c>
      <c r="X29" s="69">
        <f>20</f>
        <v>20</v>
      </c>
    </row>
    <row r="30" spans="1:24">
      <c r="A30" s="60" t="s">
        <v>872</v>
      </c>
      <c r="B30" s="60" t="s">
        <v>129</v>
      </c>
      <c r="C30" s="60" t="s">
        <v>130</v>
      </c>
      <c r="D30" s="60" t="s">
        <v>131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1660</f>
        <v>1660</v>
      </c>
      <c r="L30" s="67" t="s">
        <v>840</v>
      </c>
      <c r="M30" s="66">
        <f>1733</f>
        <v>1733</v>
      </c>
      <c r="N30" s="67" t="s">
        <v>245</v>
      </c>
      <c r="O30" s="66">
        <f>1640</f>
        <v>1640</v>
      </c>
      <c r="P30" s="67" t="s">
        <v>119</v>
      </c>
      <c r="Q30" s="66">
        <f>1687</f>
        <v>1687</v>
      </c>
      <c r="R30" s="67" t="s">
        <v>50</v>
      </c>
      <c r="S30" s="68">
        <f>1683</f>
        <v>1683</v>
      </c>
      <c r="T30" s="65">
        <f>2224330</f>
        <v>2224330</v>
      </c>
      <c r="U30" s="65">
        <f>120300</f>
        <v>120300</v>
      </c>
      <c r="V30" s="65">
        <f>3742221510</f>
        <v>3742221510</v>
      </c>
      <c r="W30" s="65">
        <f>204686400</f>
        <v>204686400</v>
      </c>
      <c r="X30" s="69">
        <f>20</f>
        <v>20</v>
      </c>
    </row>
    <row r="31" spans="1:24">
      <c r="A31" s="60" t="s">
        <v>872</v>
      </c>
      <c r="B31" s="60" t="s">
        <v>132</v>
      </c>
      <c r="C31" s="60" t="s">
        <v>133</v>
      </c>
      <c r="D31" s="60" t="s">
        <v>134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12870</f>
        <v>12870</v>
      </c>
      <c r="L31" s="67" t="s">
        <v>840</v>
      </c>
      <c r="M31" s="66">
        <f>12870</f>
        <v>12870</v>
      </c>
      <c r="N31" s="67" t="s">
        <v>840</v>
      </c>
      <c r="O31" s="66">
        <f>12640</f>
        <v>12640</v>
      </c>
      <c r="P31" s="67" t="s">
        <v>840</v>
      </c>
      <c r="Q31" s="66">
        <f>12710</f>
        <v>12710</v>
      </c>
      <c r="R31" s="67" t="s">
        <v>50</v>
      </c>
      <c r="S31" s="68">
        <f>12724</f>
        <v>12724</v>
      </c>
      <c r="T31" s="65">
        <f>861</f>
        <v>861</v>
      </c>
      <c r="U31" s="65" t="str">
        <f>"－"</f>
        <v>－</v>
      </c>
      <c r="V31" s="65">
        <f>10939450</f>
        <v>10939450</v>
      </c>
      <c r="W31" s="65" t="str">
        <f>"－"</f>
        <v>－</v>
      </c>
      <c r="X31" s="69">
        <f>20</f>
        <v>20</v>
      </c>
    </row>
    <row r="32" spans="1:24">
      <c r="A32" s="60" t="s">
        <v>872</v>
      </c>
      <c r="B32" s="60" t="s">
        <v>135</v>
      </c>
      <c r="C32" s="60" t="s">
        <v>136</v>
      </c>
      <c r="D32" s="60" t="s">
        <v>137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1871</f>
        <v>1871</v>
      </c>
      <c r="L32" s="67" t="s">
        <v>840</v>
      </c>
      <c r="M32" s="66">
        <f>1913</f>
        <v>1913</v>
      </c>
      <c r="N32" s="67" t="s">
        <v>119</v>
      </c>
      <c r="O32" s="66">
        <f>1705</f>
        <v>1705</v>
      </c>
      <c r="P32" s="67" t="s">
        <v>245</v>
      </c>
      <c r="Q32" s="66">
        <f>1800</f>
        <v>1800</v>
      </c>
      <c r="R32" s="67" t="s">
        <v>50</v>
      </c>
      <c r="S32" s="68">
        <f>1815.25</f>
        <v>1815.25</v>
      </c>
      <c r="T32" s="65">
        <f>5375570</f>
        <v>5375570</v>
      </c>
      <c r="U32" s="65">
        <f>1680</f>
        <v>1680</v>
      </c>
      <c r="V32" s="65">
        <f>9879407390</f>
        <v>9879407390</v>
      </c>
      <c r="W32" s="65">
        <f>3055310</f>
        <v>3055310</v>
      </c>
      <c r="X32" s="69">
        <f>20</f>
        <v>20</v>
      </c>
    </row>
    <row r="33" spans="1:24">
      <c r="A33" s="60" t="s">
        <v>872</v>
      </c>
      <c r="B33" s="60" t="s">
        <v>138</v>
      </c>
      <c r="C33" s="60" t="s">
        <v>139</v>
      </c>
      <c r="D33" s="60" t="s">
        <v>140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731</f>
        <v>731</v>
      </c>
      <c r="L33" s="67" t="s">
        <v>840</v>
      </c>
      <c r="M33" s="66">
        <f>743</f>
        <v>743</v>
      </c>
      <c r="N33" s="67" t="s">
        <v>119</v>
      </c>
      <c r="O33" s="66">
        <f>686</f>
        <v>686</v>
      </c>
      <c r="P33" s="67" t="s">
        <v>245</v>
      </c>
      <c r="Q33" s="66">
        <f>710</f>
        <v>710</v>
      </c>
      <c r="R33" s="67" t="s">
        <v>50</v>
      </c>
      <c r="S33" s="68">
        <f>714.8</f>
        <v>714.8</v>
      </c>
      <c r="T33" s="65">
        <f>796611858</f>
        <v>796611858</v>
      </c>
      <c r="U33" s="65">
        <f>2563019</f>
        <v>2563019</v>
      </c>
      <c r="V33" s="65">
        <f>570131642913</f>
        <v>570131642913</v>
      </c>
      <c r="W33" s="65">
        <f>1860496310</f>
        <v>1860496310</v>
      </c>
      <c r="X33" s="69">
        <f>20</f>
        <v>20</v>
      </c>
    </row>
    <row r="34" spans="1:24">
      <c r="A34" s="60" t="s">
        <v>872</v>
      </c>
      <c r="B34" s="60" t="s">
        <v>141</v>
      </c>
      <c r="C34" s="60" t="s">
        <v>142</v>
      </c>
      <c r="D34" s="60" t="s">
        <v>143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18990</f>
        <v>18990</v>
      </c>
      <c r="L34" s="67" t="s">
        <v>840</v>
      </c>
      <c r="M34" s="66">
        <f>20050</f>
        <v>20050</v>
      </c>
      <c r="N34" s="67" t="s">
        <v>245</v>
      </c>
      <c r="O34" s="66">
        <f>18610</f>
        <v>18610</v>
      </c>
      <c r="P34" s="67" t="s">
        <v>119</v>
      </c>
      <c r="Q34" s="66">
        <f>19320</f>
        <v>19320</v>
      </c>
      <c r="R34" s="67" t="s">
        <v>50</v>
      </c>
      <c r="S34" s="68">
        <f>19322</f>
        <v>19322</v>
      </c>
      <c r="T34" s="65">
        <f>301782</f>
        <v>301782</v>
      </c>
      <c r="U34" s="65">
        <f>20</f>
        <v>20</v>
      </c>
      <c r="V34" s="65">
        <f>5830484210</f>
        <v>5830484210</v>
      </c>
      <c r="W34" s="65">
        <f>394400</f>
        <v>394400</v>
      </c>
      <c r="X34" s="69">
        <f>20</f>
        <v>20</v>
      </c>
    </row>
    <row r="35" spans="1:24">
      <c r="A35" s="60" t="s">
        <v>872</v>
      </c>
      <c r="B35" s="60" t="s">
        <v>144</v>
      </c>
      <c r="C35" s="60" t="s">
        <v>145</v>
      </c>
      <c r="D35" s="60" t="s">
        <v>146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1778</f>
        <v>1778</v>
      </c>
      <c r="L35" s="67" t="s">
        <v>840</v>
      </c>
      <c r="M35" s="66">
        <f>1806</f>
        <v>1806</v>
      </c>
      <c r="N35" s="67" t="s">
        <v>119</v>
      </c>
      <c r="O35" s="66">
        <f>1668</f>
        <v>1668</v>
      </c>
      <c r="P35" s="67" t="s">
        <v>245</v>
      </c>
      <c r="Q35" s="66">
        <f>1731</f>
        <v>1731</v>
      </c>
      <c r="R35" s="67" t="s">
        <v>50</v>
      </c>
      <c r="S35" s="68">
        <f>1738.2</f>
        <v>1738.2</v>
      </c>
      <c r="T35" s="65">
        <f>62146950</f>
        <v>62146950</v>
      </c>
      <c r="U35" s="65">
        <f>3350</f>
        <v>3350</v>
      </c>
      <c r="V35" s="65">
        <f>108387712860</f>
        <v>108387712860</v>
      </c>
      <c r="W35" s="65">
        <f>5892170</f>
        <v>5892170</v>
      </c>
      <c r="X35" s="69">
        <f>20</f>
        <v>20</v>
      </c>
    </row>
    <row r="36" spans="1:24">
      <c r="A36" s="60" t="s">
        <v>872</v>
      </c>
      <c r="B36" s="60" t="s">
        <v>147</v>
      </c>
      <c r="C36" s="60" t="s">
        <v>148</v>
      </c>
      <c r="D36" s="60" t="s">
        <v>149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14780</f>
        <v>14780</v>
      </c>
      <c r="L36" s="67" t="s">
        <v>840</v>
      </c>
      <c r="M36" s="66">
        <f>15270</f>
        <v>15270</v>
      </c>
      <c r="N36" s="67" t="s">
        <v>245</v>
      </c>
      <c r="O36" s="66">
        <f>14620</f>
        <v>14620</v>
      </c>
      <c r="P36" s="67" t="s">
        <v>119</v>
      </c>
      <c r="Q36" s="66">
        <f>14990</f>
        <v>14990</v>
      </c>
      <c r="R36" s="67" t="s">
        <v>50</v>
      </c>
      <c r="S36" s="68">
        <f>14937</f>
        <v>14937</v>
      </c>
      <c r="T36" s="65">
        <f>18332</f>
        <v>18332</v>
      </c>
      <c r="U36" s="65">
        <f>9000</f>
        <v>9000</v>
      </c>
      <c r="V36" s="65">
        <f>272541880</f>
        <v>272541880</v>
      </c>
      <c r="W36" s="65">
        <f>133380000</f>
        <v>133380000</v>
      </c>
      <c r="X36" s="69">
        <f>20</f>
        <v>20</v>
      </c>
    </row>
    <row r="37" spans="1:24">
      <c r="A37" s="60" t="s">
        <v>872</v>
      </c>
      <c r="B37" s="60" t="s">
        <v>151</v>
      </c>
      <c r="C37" s="60" t="s">
        <v>152</v>
      </c>
      <c r="D37" s="60" t="s">
        <v>153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15590</f>
        <v>15590</v>
      </c>
      <c r="L37" s="67" t="s">
        <v>840</v>
      </c>
      <c r="M37" s="66">
        <f>16480</f>
        <v>16480</v>
      </c>
      <c r="N37" s="67" t="s">
        <v>245</v>
      </c>
      <c r="O37" s="66">
        <f>15290</f>
        <v>15290</v>
      </c>
      <c r="P37" s="67" t="s">
        <v>119</v>
      </c>
      <c r="Q37" s="66">
        <f>15880</f>
        <v>15880</v>
      </c>
      <c r="R37" s="67" t="s">
        <v>50</v>
      </c>
      <c r="S37" s="68">
        <f>15885</f>
        <v>15885</v>
      </c>
      <c r="T37" s="65">
        <f>792437</f>
        <v>792437</v>
      </c>
      <c r="U37" s="65" t="str">
        <f>"－"</f>
        <v>－</v>
      </c>
      <c r="V37" s="65">
        <f>12547797110</f>
        <v>12547797110</v>
      </c>
      <c r="W37" s="65" t="str">
        <f>"－"</f>
        <v>－</v>
      </c>
      <c r="X37" s="69">
        <f>20</f>
        <v>20</v>
      </c>
    </row>
    <row r="38" spans="1:24">
      <c r="A38" s="60" t="s">
        <v>872</v>
      </c>
      <c r="B38" s="60" t="s">
        <v>154</v>
      </c>
      <c r="C38" s="60" t="s">
        <v>155</v>
      </c>
      <c r="D38" s="60" t="s">
        <v>156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1905</f>
        <v>1905</v>
      </c>
      <c r="L38" s="67" t="s">
        <v>840</v>
      </c>
      <c r="M38" s="66">
        <f>1936</f>
        <v>1936</v>
      </c>
      <c r="N38" s="67" t="s">
        <v>119</v>
      </c>
      <c r="O38" s="66">
        <f>1790</f>
        <v>1790</v>
      </c>
      <c r="P38" s="67" t="s">
        <v>245</v>
      </c>
      <c r="Q38" s="66">
        <f>1855</f>
        <v>1855</v>
      </c>
      <c r="R38" s="67" t="s">
        <v>50</v>
      </c>
      <c r="S38" s="68">
        <f>1863.3</f>
        <v>1863.3</v>
      </c>
      <c r="T38" s="65">
        <f>6416551</f>
        <v>6416551</v>
      </c>
      <c r="U38" s="65">
        <f>203</f>
        <v>203</v>
      </c>
      <c r="V38" s="65">
        <f>12009239443</f>
        <v>12009239443</v>
      </c>
      <c r="W38" s="65">
        <f>383179</f>
        <v>383179</v>
      </c>
      <c r="X38" s="69">
        <f>20</f>
        <v>20</v>
      </c>
    </row>
    <row r="39" spans="1:24">
      <c r="A39" s="60" t="s">
        <v>872</v>
      </c>
      <c r="B39" s="60" t="s">
        <v>157</v>
      </c>
      <c r="C39" s="60" t="s">
        <v>158</v>
      </c>
      <c r="D39" s="60" t="s">
        <v>159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12610</f>
        <v>12610</v>
      </c>
      <c r="L39" s="67" t="s">
        <v>840</v>
      </c>
      <c r="M39" s="66">
        <f>13700</f>
        <v>13700</v>
      </c>
      <c r="N39" s="67" t="s">
        <v>245</v>
      </c>
      <c r="O39" s="66">
        <f>12270</f>
        <v>12270</v>
      </c>
      <c r="P39" s="67" t="s">
        <v>119</v>
      </c>
      <c r="Q39" s="66">
        <f>12960</f>
        <v>12960</v>
      </c>
      <c r="R39" s="67" t="s">
        <v>50</v>
      </c>
      <c r="S39" s="68">
        <f>12915.5</f>
        <v>12915.5</v>
      </c>
      <c r="T39" s="65">
        <f>208945</f>
        <v>208945</v>
      </c>
      <c r="U39" s="65">
        <f>200</f>
        <v>200</v>
      </c>
      <c r="V39" s="65">
        <f>2725379910</f>
        <v>2725379910</v>
      </c>
      <c r="W39" s="65">
        <f>2510000</f>
        <v>2510000</v>
      </c>
      <c r="X39" s="69">
        <f>20</f>
        <v>20</v>
      </c>
    </row>
    <row r="40" spans="1:24">
      <c r="A40" s="60" t="s">
        <v>872</v>
      </c>
      <c r="B40" s="60" t="s">
        <v>160</v>
      </c>
      <c r="C40" s="60" t="s">
        <v>161</v>
      </c>
      <c r="D40" s="60" t="s">
        <v>162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2719</f>
        <v>2719</v>
      </c>
      <c r="L40" s="67" t="s">
        <v>840</v>
      </c>
      <c r="M40" s="66">
        <f>2779</f>
        <v>2779</v>
      </c>
      <c r="N40" s="67" t="s">
        <v>119</v>
      </c>
      <c r="O40" s="66">
        <f>2477</f>
        <v>2477</v>
      </c>
      <c r="P40" s="67" t="s">
        <v>245</v>
      </c>
      <c r="Q40" s="66">
        <f>2614</f>
        <v>2614</v>
      </c>
      <c r="R40" s="67" t="s">
        <v>50</v>
      </c>
      <c r="S40" s="68">
        <f>2636.95</f>
        <v>2636.95</v>
      </c>
      <c r="T40" s="65">
        <f>1566185</f>
        <v>1566185</v>
      </c>
      <c r="U40" s="65">
        <f>3893</f>
        <v>3893</v>
      </c>
      <c r="V40" s="65">
        <f>4194216351</f>
        <v>4194216351</v>
      </c>
      <c r="W40" s="65">
        <f>10078384</f>
        <v>10078384</v>
      </c>
      <c r="X40" s="69">
        <f>20</f>
        <v>20</v>
      </c>
    </row>
    <row r="41" spans="1:24">
      <c r="A41" s="60" t="s">
        <v>872</v>
      </c>
      <c r="B41" s="60" t="s">
        <v>163</v>
      </c>
      <c r="C41" s="60" t="s">
        <v>164</v>
      </c>
      <c r="D41" s="60" t="s">
        <v>165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23090</f>
        <v>23090</v>
      </c>
      <c r="L41" s="67" t="s">
        <v>840</v>
      </c>
      <c r="M41" s="66">
        <f>23710</f>
        <v>23710</v>
      </c>
      <c r="N41" s="67" t="s">
        <v>245</v>
      </c>
      <c r="O41" s="66">
        <f>22900</f>
        <v>22900</v>
      </c>
      <c r="P41" s="67" t="s">
        <v>119</v>
      </c>
      <c r="Q41" s="66">
        <f>23330</f>
        <v>23330</v>
      </c>
      <c r="R41" s="67" t="s">
        <v>50</v>
      </c>
      <c r="S41" s="68">
        <f>23326</f>
        <v>23326</v>
      </c>
      <c r="T41" s="65">
        <f>92950</f>
        <v>92950</v>
      </c>
      <c r="U41" s="65">
        <f>27843</f>
        <v>27843</v>
      </c>
      <c r="V41" s="65">
        <f>2179511586</f>
        <v>2179511586</v>
      </c>
      <c r="W41" s="65">
        <f>651891496</f>
        <v>651891496</v>
      </c>
      <c r="X41" s="69">
        <f>20</f>
        <v>20</v>
      </c>
    </row>
    <row r="42" spans="1:24">
      <c r="A42" s="60" t="s">
        <v>872</v>
      </c>
      <c r="B42" s="60" t="s">
        <v>166</v>
      </c>
      <c r="C42" s="60" t="s">
        <v>167</v>
      </c>
      <c r="D42" s="60" t="s">
        <v>168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4250</f>
        <v>4250</v>
      </c>
      <c r="L42" s="67" t="s">
        <v>840</v>
      </c>
      <c r="M42" s="66">
        <f>4290</f>
        <v>4290</v>
      </c>
      <c r="N42" s="67" t="s">
        <v>814</v>
      </c>
      <c r="O42" s="66">
        <f>3955</f>
        <v>3955</v>
      </c>
      <c r="P42" s="67" t="s">
        <v>175</v>
      </c>
      <c r="Q42" s="66">
        <f>4080</f>
        <v>4080</v>
      </c>
      <c r="R42" s="67" t="s">
        <v>50</v>
      </c>
      <c r="S42" s="68">
        <f>4167.5</f>
        <v>4167.5</v>
      </c>
      <c r="T42" s="65">
        <f>4924</f>
        <v>4924</v>
      </c>
      <c r="U42" s="65" t="str">
        <f>"－"</f>
        <v>－</v>
      </c>
      <c r="V42" s="65">
        <f>20495285</f>
        <v>20495285</v>
      </c>
      <c r="W42" s="65" t="str">
        <f>"－"</f>
        <v>－</v>
      </c>
      <c r="X42" s="69">
        <f>20</f>
        <v>20</v>
      </c>
    </row>
    <row r="43" spans="1:24">
      <c r="A43" s="60" t="s">
        <v>872</v>
      </c>
      <c r="B43" s="60" t="s">
        <v>169</v>
      </c>
      <c r="C43" s="60" t="s">
        <v>170</v>
      </c>
      <c r="D43" s="60" t="s">
        <v>171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7790</f>
        <v>7790</v>
      </c>
      <c r="L43" s="67" t="s">
        <v>840</v>
      </c>
      <c r="M43" s="66">
        <f>7910</f>
        <v>7910</v>
      </c>
      <c r="N43" s="67" t="s">
        <v>814</v>
      </c>
      <c r="O43" s="66">
        <f>7260</f>
        <v>7260</v>
      </c>
      <c r="P43" s="67" t="s">
        <v>816</v>
      </c>
      <c r="Q43" s="66">
        <f>7470</f>
        <v>7470</v>
      </c>
      <c r="R43" s="67" t="s">
        <v>50</v>
      </c>
      <c r="S43" s="68">
        <f>7627</f>
        <v>7627</v>
      </c>
      <c r="T43" s="65">
        <f>1739</f>
        <v>1739</v>
      </c>
      <c r="U43" s="65" t="str">
        <f>"－"</f>
        <v>－</v>
      </c>
      <c r="V43" s="65">
        <f>13170990</f>
        <v>13170990</v>
      </c>
      <c r="W43" s="65" t="str">
        <f>"－"</f>
        <v>－</v>
      </c>
      <c r="X43" s="69">
        <f>20</f>
        <v>20</v>
      </c>
    </row>
    <row r="44" spans="1:24">
      <c r="A44" s="60" t="s">
        <v>872</v>
      </c>
      <c r="B44" s="60" t="s">
        <v>172</v>
      </c>
      <c r="C44" s="60" t="s">
        <v>173</v>
      </c>
      <c r="D44" s="60" t="s">
        <v>174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14600</f>
        <v>14600</v>
      </c>
      <c r="L44" s="67" t="s">
        <v>833</v>
      </c>
      <c r="M44" s="66">
        <f>15130</f>
        <v>15130</v>
      </c>
      <c r="N44" s="67" t="s">
        <v>814</v>
      </c>
      <c r="O44" s="66">
        <f>13900</f>
        <v>13900</v>
      </c>
      <c r="P44" s="67" t="s">
        <v>175</v>
      </c>
      <c r="Q44" s="66">
        <f>13900</f>
        <v>13900</v>
      </c>
      <c r="R44" s="67" t="s">
        <v>175</v>
      </c>
      <c r="S44" s="68">
        <f>14497</f>
        <v>14497</v>
      </c>
      <c r="T44" s="65">
        <f>4423</f>
        <v>4423</v>
      </c>
      <c r="U44" s="65">
        <f>4250</f>
        <v>4250</v>
      </c>
      <c r="V44" s="65">
        <f>59007410</f>
        <v>59007410</v>
      </c>
      <c r="W44" s="65">
        <f>56521750</f>
        <v>56521750</v>
      </c>
      <c r="X44" s="69">
        <f>10</f>
        <v>10</v>
      </c>
    </row>
    <row r="45" spans="1:24">
      <c r="A45" s="60" t="s">
        <v>872</v>
      </c>
      <c r="B45" s="60" t="s">
        <v>176</v>
      </c>
      <c r="C45" s="60" t="s">
        <v>177</v>
      </c>
      <c r="D45" s="60" t="s">
        <v>178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11810</f>
        <v>11810</v>
      </c>
      <c r="L45" s="67" t="s">
        <v>840</v>
      </c>
      <c r="M45" s="66">
        <f>12470</f>
        <v>12470</v>
      </c>
      <c r="N45" s="67" t="s">
        <v>61</v>
      </c>
      <c r="O45" s="66">
        <f>11340</f>
        <v>11340</v>
      </c>
      <c r="P45" s="67" t="s">
        <v>99</v>
      </c>
      <c r="Q45" s="66">
        <f>11540</f>
        <v>11540</v>
      </c>
      <c r="R45" s="67" t="s">
        <v>50</v>
      </c>
      <c r="S45" s="68">
        <f>11866.25</f>
        <v>11866.25</v>
      </c>
      <c r="T45" s="65">
        <f>222</f>
        <v>222</v>
      </c>
      <c r="U45" s="65" t="str">
        <f t="shared" ref="U45:U54" si="0">"－"</f>
        <v>－</v>
      </c>
      <c r="V45" s="65">
        <f>2598170</f>
        <v>2598170</v>
      </c>
      <c r="W45" s="65" t="str">
        <f t="shared" ref="W45:W54" si="1">"－"</f>
        <v>－</v>
      </c>
      <c r="X45" s="69">
        <f>16</f>
        <v>16</v>
      </c>
    </row>
    <row r="46" spans="1:24">
      <c r="A46" s="60" t="s">
        <v>872</v>
      </c>
      <c r="B46" s="60" t="s">
        <v>179</v>
      </c>
      <c r="C46" s="60" t="s">
        <v>180</v>
      </c>
      <c r="D46" s="60" t="s">
        <v>181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7930</f>
        <v>7930</v>
      </c>
      <c r="L46" s="67" t="s">
        <v>840</v>
      </c>
      <c r="M46" s="66">
        <f>8150</f>
        <v>8150</v>
      </c>
      <c r="N46" s="67" t="s">
        <v>79</v>
      </c>
      <c r="O46" s="66">
        <f>7580</f>
        <v>7580</v>
      </c>
      <c r="P46" s="67" t="s">
        <v>245</v>
      </c>
      <c r="Q46" s="66">
        <f>7770</f>
        <v>7770</v>
      </c>
      <c r="R46" s="67" t="s">
        <v>50</v>
      </c>
      <c r="S46" s="68">
        <f>7845.5</f>
        <v>7845.5</v>
      </c>
      <c r="T46" s="65">
        <f>7906</f>
        <v>7906</v>
      </c>
      <c r="U46" s="65" t="str">
        <f t="shared" si="0"/>
        <v>－</v>
      </c>
      <c r="V46" s="65">
        <f>62081680</f>
        <v>62081680</v>
      </c>
      <c r="W46" s="65" t="str">
        <f t="shared" si="1"/>
        <v>－</v>
      </c>
      <c r="X46" s="69">
        <f>20</f>
        <v>20</v>
      </c>
    </row>
    <row r="47" spans="1:24">
      <c r="A47" s="60" t="s">
        <v>872</v>
      </c>
      <c r="B47" s="60" t="s">
        <v>182</v>
      </c>
      <c r="C47" s="60" t="s">
        <v>183</v>
      </c>
      <c r="D47" s="60" t="s">
        <v>184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4300</f>
        <v>4300</v>
      </c>
      <c r="L47" s="67" t="s">
        <v>840</v>
      </c>
      <c r="M47" s="66">
        <f>4500</f>
        <v>4500</v>
      </c>
      <c r="N47" s="67" t="s">
        <v>72</v>
      </c>
      <c r="O47" s="66">
        <f>4205</f>
        <v>4205</v>
      </c>
      <c r="P47" s="67" t="s">
        <v>245</v>
      </c>
      <c r="Q47" s="66">
        <f>4310</f>
        <v>4310</v>
      </c>
      <c r="R47" s="67" t="s">
        <v>50</v>
      </c>
      <c r="S47" s="68">
        <f>4329</f>
        <v>4329</v>
      </c>
      <c r="T47" s="65">
        <f>1448</f>
        <v>1448</v>
      </c>
      <c r="U47" s="65" t="str">
        <f t="shared" si="0"/>
        <v>－</v>
      </c>
      <c r="V47" s="65">
        <f>6314305</f>
        <v>6314305</v>
      </c>
      <c r="W47" s="65" t="str">
        <f t="shared" si="1"/>
        <v>－</v>
      </c>
      <c r="X47" s="69">
        <f>20</f>
        <v>20</v>
      </c>
    </row>
    <row r="48" spans="1:24">
      <c r="A48" s="60" t="s">
        <v>872</v>
      </c>
      <c r="B48" s="60" t="s">
        <v>185</v>
      </c>
      <c r="C48" s="60" t="s">
        <v>186</v>
      </c>
      <c r="D48" s="60" t="s">
        <v>187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2326</f>
        <v>2326</v>
      </c>
      <c r="L48" s="67" t="s">
        <v>840</v>
      </c>
      <c r="M48" s="66">
        <f>2390</f>
        <v>2390</v>
      </c>
      <c r="N48" s="67" t="s">
        <v>79</v>
      </c>
      <c r="O48" s="66">
        <f>2300</f>
        <v>2300</v>
      </c>
      <c r="P48" s="67" t="s">
        <v>175</v>
      </c>
      <c r="Q48" s="66">
        <f>2314</f>
        <v>2314</v>
      </c>
      <c r="R48" s="67" t="s">
        <v>50</v>
      </c>
      <c r="S48" s="68">
        <f>2340.4</f>
        <v>2340.4</v>
      </c>
      <c r="T48" s="65">
        <f>1901</f>
        <v>1901</v>
      </c>
      <c r="U48" s="65" t="str">
        <f t="shared" si="0"/>
        <v>－</v>
      </c>
      <c r="V48" s="65">
        <f>4440605</f>
        <v>4440605</v>
      </c>
      <c r="W48" s="65" t="str">
        <f t="shared" si="1"/>
        <v>－</v>
      </c>
      <c r="X48" s="69">
        <f>20</f>
        <v>20</v>
      </c>
    </row>
    <row r="49" spans="1:24">
      <c r="A49" s="60" t="s">
        <v>872</v>
      </c>
      <c r="B49" s="60" t="s">
        <v>188</v>
      </c>
      <c r="C49" s="60" t="s">
        <v>189</v>
      </c>
      <c r="D49" s="60" t="s">
        <v>190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2209</f>
        <v>2209</v>
      </c>
      <c r="L49" s="67" t="s">
        <v>840</v>
      </c>
      <c r="M49" s="66">
        <f>2209</f>
        <v>2209</v>
      </c>
      <c r="N49" s="67" t="s">
        <v>840</v>
      </c>
      <c r="O49" s="66">
        <f>2025</f>
        <v>2025</v>
      </c>
      <c r="P49" s="67" t="s">
        <v>175</v>
      </c>
      <c r="Q49" s="66">
        <f>2075</f>
        <v>2075</v>
      </c>
      <c r="R49" s="67" t="s">
        <v>50</v>
      </c>
      <c r="S49" s="68">
        <f>2108.95</f>
        <v>2108.9499999999998</v>
      </c>
      <c r="T49" s="65">
        <f>6299</f>
        <v>6299</v>
      </c>
      <c r="U49" s="65" t="str">
        <f t="shared" si="0"/>
        <v>－</v>
      </c>
      <c r="V49" s="65">
        <f>13291759</f>
        <v>13291759</v>
      </c>
      <c r="W49" s="65" t="str">
        <f t="shared" si="1"/>
        <v>－</v>
      </c>
      <c r="X49" s="69">
        <f>20</f>
        <v>20</v>
      </c>
    </row>
    <row r="50" spans="1:24">
      <c r="A50" s="60" t="s">
        <v>872</v>
      </c>
      <c r="B50" s="60" t="s">
        <v>191</v>
      </c>
      <c r="C50" s="60" t="s">
        <v>192</v>
      </c>
      <c r="D50" s="60" t="s">
        <v>193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36000</f>
        <v>36000</v>
      </c>
      <c r="L50" s="67" t="s">
        <v>840</v>
      </c>
      <c r="M50" s="66">
        <f>37000</f>
        <v>37000</v>
      </c>
      <c r="N50" s="67" t="s">
        <v>814</v>
      </c>
      <c r="O50" s="66">
        <f>33000</f>
        <v>33000</v>
      </c>
      <c r="P50" s="67" t="s">
        <v>175</v>
      </c>
      <c r="Q50" s="66">
        <f>34300</f>
        <v>34300</v>
      </c>
      <c r="R50" s="67" t="s">
        <v>50</v>
      </c>
      <c r="S50" s="68">
        <f>34970</f>
        <v>34970</v>
      </c>
      <c r="T50" s="65">
        <f>539</f>
        <v>539</v>
      </c>
      <c r="U50" s="65" t="str">
        <f t="shared" si="0"/>
        <v>－</v>
      </c>
      <c r="V50" s="65">
        <f>18924750</f>
        <v>18924750</v>
      </c>
      <c r="W50" s="65" t="str">
        <f t="shared" si="1"/>
        <v>－</v>
      </c>
      <c r="X50" s="69">
        <f>20</f>
        <v>20</v>
      </c>
    </row>
    <row r="51" spans="1:24">
      <c r="A51" s="60" t="s">
        <v>872</v>
      </c>
      <c r="B51" s="60" t="s">
        <v>194</v>
      </c>
      <c r="C51" s="60" t="s">
        <v>195</v>
      </c>
      <c r="D51" s="60" t="s">
        <v>196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25950</f>
        <v>25950</v>
      </c>
      <c r="L51" s="67" t="s">
        <v>840</v>
      </c>
      <c r="M51" s="66">
        <f>27050</f>
        <v>27050</v>
      </c>
      <c r="N51" s="67" t="s">
        <v>814</v>
      </c>
      <c r="O51" s="66">
        <f>24300</f>
        <v>24300</v>
      </c>
      <c r="P51" s="67" t="s">
        <v>175</v>
      </c>
      <c r="Q51" s="66">
        <f>24630</f>
        <v>24630</v>
      </c>
      <c r="R51" s="67" t="s">
        <v>50</v>
      </c>
      <c r="S51" s="68">
        <f>25350.91</f>
        <v>25350.91</v>
      </c>
      <c r="T51" s="65">
        <f>190</f>
        <v>190</v>
      </c>
      <c r="U51" s="65" t="str">
        <f t="shared" si="0"/>
        <v>－</v>
      </c>
      <c r="V51" s="65">
        <f>4852580</f>
        <v>4852580</v>
      </c>
      <c r="W51" s="65" t="str">
        <f t="shared" si="1"/>
        <v>－</v>
      </c>
      <c r="X51" s="69">
        <f>11</f>
        <v>11</v>
      </c>
    </row>
    <row r="52" spans="1:24">
      <c r="A52" s="60" t="s">
        <v>872</v>
      </c>
      <c r="B52" s="60" t="s">
        <v>197</v>
      </c>
      <c r="C52" s="60" t="s">
        <v>198</v>
      </c>
      <c r="D52" s="60" t="s">
        <v>199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23370</f>
        <v>23370</v>
      </c>
      <c r="L52" s="67" t="s">
        <v>840</v>
      </c>
      <c r="M52" s="66">
        <f>23810</f>
        <v>23810</v>
      </c>
      <c r="N52" s="67" t="s">
        <v>245</v>
      </c>
      <c r="O52" s="66">
        <f>23090</f>
        <v>23090</v>
      </c>
      <c r="P52" s="67" t="s">
        <v>119</v>
      </c>
      <c r="Q52" s="66">
        <f>23810</f>
        <v>23810</v>
      </c>
      <c r="R52" s="67" t="s">
        <v>245</v>
      </c>
      <c r="S52" s="68">
        <f>23482.5</f>
        <v>23482.5</v>
      </c>
      <c r="T52" s="65">
        <f>1588</f>
        <v>1588</v>
      </c>
      <c r="U52" s="65" t="str">
        <f t="shared" si="0"/>
        <v>－</v>
      </c>
      <c r="V52" s="65">
        <f>37306050</f>
        <v>37306050</v>
      </c>
      <c r="W52" s="65" t="str">
        <f t="shared" si="1"/>
        <v>－</v>
      </c>
      <c r="X52" s="69">
        <f>12</f>
        <v>12</v>
      </c>
    </row>
    <row r="53" spans="1:24">
      <c r="A53" s="60" t="s">
        <v>872</v>
      </c>
      <c r="B53" s="60" t="s">
        <v>200</v>
      </c>
      <c r="C53" s="60" t="s">
        <v>201</v>
      </c>
      <c r="D53" s="60" t="s">
        <v>202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1794</f>
        <v>1794</v>
      </c>
      <c r="L53" s="67" t="s">
        <v>840</v>
      </c>
      <c r="M53" s="66">
        <f>1798</f>
        <v>1798</v>
      </c>
      <c r="N53" s="67" t="s">
        <v>818</v>
      </c>
      <c r="O53" s="66">
        <f>1707</f>
        <v>1707</v>
      </c>
      <c r="P53" s="67" t="s">
        <v>834</v>
      </c>
      <c r="Q53" s="66">
        <f>1776</f>
        <v>1776</v>
      </c>
      <c r="R53" s="67" t="s">
        <v>50</v>
      </c>
      <c r="S53" s="68">
        <f>1754.75</f>
        <v>1754.75</v>
      </c>
      <c r="T53" s="65">
        <f>45530</f>
        <v>45530</v>
      </c>
      <c r="U53" s="65" t="str">
        <f t="shared" si="0"/>
        <v>－</v>
      </c>
      <c r="V53" s="65">
        <f>80146100</f>
        <v>80146100</v>
      </c>
      <c r="W53" s="65" t="str">
        <f t="shared" si="1"/>
        <v>－</v>
      </c>
      <c r="X53" s="69">
        <f>20</f>
        <v>20</v>
      </c>
    </row>
    <row r="54" spans="1:24">
      <c r="A54" s="60" t="s">
        <v>872</v>
      </c>
      <c r="B54" s="60" t="s">
        <v>203</v>
      </c>
      <c r="C54" s="60" t="s">
        <v>204</v>
      </c>
      <c r="D54" s="60" t="s">
        <v>205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1342</f>
        <v>1342</v>
      </c>
      <c r="L54" s="67" t="s">
        <v>840</v>
      </c>
      <c r="M54" s="66">
        <f>1478</f>
        <v>1478</v>
      </c>
      <c r="N54" s="67" t="s">
        <v>245</v>
      </c>
      <c r="O54" s="66">
        <f>1332</f>
        <v>1332</v>
      </c>
      <c r="P54" s="67" t="s">
        <v>119</v>
      </c>
      <c r="Q54" s="66">
        <f>1350</f>
        <v>1350</v>
      </c>
      <c r="R54" s="67" t="s">
        <v>50</v>
      </c>
      <c r="S54" s="68">
        <f>1357.8</f>
        <v>1357.8</v>
      </c>
      <c r="T54" s="65">
        <f>203090</f>
        <v>203090</v>
      </c>
      <c r="U54" s="65" t="str">
        <f t="shared" si="0"/>
        <v>－</v>
      </c>
      <c r="V54" s="65">
        <f>275833570</f>
        <v>275833570</v>
      </c>
      <c r="W54" s="65" t="str">
        <f t="shared" si="1"/>
        <v>－</v>
      </c>
      <c r="X54" s="69">
        <f>20</f>
        <v>20</v>
      </c>
    </row>
    <row r="55" spans="1:24">
      <c r="A55" s="60" t="s">
        <v>872</v>
      </c>
      <c r="B55" s="60" t="s">
        <v>206</v>
      </c>
      <c r="C55" s="60" t="s">
        <v>207</v>
      </c>
      <c r="D55" s="60" t="s">
        <v>208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5710</f>
        <v>5710</v>
      </c>
      <c r="L55" s="67" t="s">
        <v>840</v>
      </c>
      <c r="M55" s="66">
        <f>5770</f>
        <v>5770</v>
      </c>
      <c r="N55" s="67" t="s">
        <v>119</v>
      </c>
      <c r="O55" s="66">
        <f>5540</f>
        <v>5540</v>
      </c>
      <c r="P55" s="67" t="s">
        <v>245</v>
      </c>
      <c r="Q55" s="66">
        <f>5650</f>
        <v>5650</v>
      </c>
      <c r="R55" s="67" t="s">
        <v>50</v>
      </c>
      <c r="S55" s="68">
        <f>5659.5</f>
        <v>5659.5</v>
      </c>
      <c r="T55" s="65">
        <f>607746</f>
        <v>607746</v>
      </c>
      <c r="U55" s="65">
        <f>10000</f>
        <v>10000</v>
      </c>
      <c r="V55" s="65">
        <f>3444177802</f>
        <v>3444177802</v>
      </c>
      <c r="W55" s="65">
        <f>56725992</f>
        <v>56725992</v>
      </c>
      <c r="X55" s="69">
        <f>20</f>
        <v>20</v>
      </c>
    </row>
    <row r="56" spans="1:24">
      <c r="A56" s="60" t="s">
        <v>872</v>
      </c>
      <c r="B56" s="60" t="s">
        <v>209</v>
      </c>
      <c r="C56" s="60" t="s">
        <v>210</v>
      </c>
      <c r="D56" s="60" t="s">
        <v>211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6760</f>
        <v>6760</v>
      </c>
      <c r="L56" s="67" t="s">
        <v>840</v>
      </c>
      <c r="M56" s="66">
        <f>6830</f>
        <v>6830</v>
      </c>
      <c r="N56" s="67" t="s">
        <v>119</v>
      </c>
      <c r="O56" s="66">
        <f>6460</f>
        <v>6460</v>
      </c>
      <c r="P56" s="67" t="s">
        <v>245</v>
      </c>
      <c r="Q56" s="66">
        <f>6630</f>
        <v>6630</v>
      </c>
      <c r="R56" s="67" t="s">
        <v>50</v>
      </c>
      <c r="S56" s="68">
        <f>6658.5</f>
        <v>6658.5</v>
      </c>
      <c r="T56" s="65">
        <f>205053</f>
        <v>205053</v>
      </c>
      <c r="U56" s="65" t="str">
        <f>"－"</f>
        <v>－</v>
      </c>
      <c r="V56" s="65">
        <f>1389060950</f>
        <v>1389060950</v>
      </c>
      <c r="W56" s="65" t="str">
        <f>"－"</f>
        <v>－</v>
      </c>
      <c r="X56" s="69">
        <f>20</f>
        <v>20</v>
      </c>
    </row>
    <row r="57" spans="1:24">
      <c r="A57" s="60" t="s">
        <v>872</v>
      </c>
      <c r="B57" s="60" t="s">
        <v>212</v>
      </c>
      <c r="C57" s="60" t="s">
        <v>213</v>
      </c>
      <c r="D57" s="60" t="s">
        <v>214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11810</f>
        <v>11810</v>
      </c>
      <c r="L57" s="67" t="s">
        <v>840</v>
      </c>
      <c r="M57" s="66">
        <f>12490</f>
        <v>12490</v>
      </c>
      <c r="N57" s="67" t="s">
        <v>245</v>
      </c>
      <c r="O57" s="66">
        <f>11590</f>
        <v>11590</v>
      </c>
      <c r="P57" s="67" t="s">
        <v>119</v>
      </c>
      <c r="Q57" s="66">
        <f>12040</f>
        <v>12040</v>
      </c>
      <c r="R57" s="67" t="s">
        <v>50</v>
      </c>
      <c r="S57" s="68">
        <f>12043.5</f>
        <v>12043.5</v>
      </c>
      <c r="T57" s="65">
        <f>4931060</f>
        <v>4931060</v>
      </c>
      <c r="U57" s="65">
        <f>25</f>
        <v>25</v>
      </c>
      <c r="V57" s="65">
        <f>59315774885</f>
        <v>59315774885</v>
      </c>
      <c r="W57" s="65">
        <f>295025</f>
        <v>295025</v>
      </c>
      <c r="X57" s="69">
        <f>20</f>
        <v>20</v>
      </c>
    </row>
    <row r="58" spans="1:24">
      <c r="A58" s="60" t="s">
        <v>872</v>
      </c>
      <c r="B58" s="60" t="s">
        <v>215</v>
      </c>
      <c r="C58" s="60" t="s">
        <v>216</v>
      </c>
      <c r="D58" s="60" t="s">
        <v>217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2906</f>
        <v>2906</v>
      </c>
      <c r="L58" s="67" t="s">
        <v>840</v>
      </c>
      <c r="M58" s="66">
        <f>2954</f>
        <v>2954</v>
      </c>
      <c r="N58" s="67" t="s">
        <v>119</v>
      </c>
      <c r="O58" s="66">
        <f>2730</f>
        <v>2730</v>
      </c>
      <c r="P58" s="67" t="s">
        <v>245</v>
      </c>
      <c r="Q58" s="66">
        <f>2831</f>
        <v>2831</v>
      </c>
      <c r="R58" s="67" t="s">
        <v>50</v>
      </c>
      <c r="S58" s="68">
        <f>2842.75</f>
        <v>2842.75</v>
      </c>
      <c r="T58" s="65">
        <f>25271481</f>
        <v>25271481</v>
      </c>
      <c r="U58" s="65">
        <f>1075</f>
        <v>1075</v>
      </c>
      <c r="V58" s="65">
        <f>71963326247</f>
        <v>71963326247</v>
      </c>
      <c r="W58" s="65">
        <f>3047200</f>
        <v>3047200</v>
      </c>
      <c r="X58" s="69">
        <f>20</f>
        <v>20</v>
      </c>
    </row>
    <row r="59" spans="1:24">
      <c r="A59" s="60" t="s">
        <v>872</v>
      </c>
      <c r="B59" s="60" t="s">
        <v>218</v>
      </c>
      <c r="C59" s="60" t="s">
        <v>219</v>
      </c>
      <c r="D59" s="60" t="s">
        <v>220</v>
      </c>
      <c r="E59" s="61" t="s">
        <v>46</v>
      </c>
      <c r="F59" s="62" t="s">
        <v>46</v>
      </c>
      <c r="G59" s="63" t="s">
        <v>46</v>
      </c>
      <c r="H59" s="64"/>
      <c r="I59" s="64" t="s">
        <v>47</v>
      </c>
      <c r="J59" s="65">
        <v>1</v>
      </c>
      <c r="K59" s="66">
        <f>20380</f>
        <v>20380</v>
      </c>
      <c r="L59" s="67" t="s">
        <v>840</v>
      </c>
      <c r="M59" s="66">
        <f>20440</f>
        <v>20440</v>
      </c>
      <c r="N59" s="67" t="s">
        <v>822</v>
      </c>
      <c r="O59" s="66">
        <f>19710</f>
        <v>19710</v>
      </c>
      <c r="P59" s="67" t="s">
        <v>119</v>
      </c>
      <c r="Q59" s="66">
        <f>20070</f>
        <v>20070</v>
      </c>
      <c r="R59" s="67" t="s">
        <v>175</v>
      </c>
      <c r="S59" s="68">
        <f>20145.71</f>
        <v>20145.71</v>
      </c>
      <c r="T59" s="65">
        <f>35</f>
        <v>35</v>
      </c>
      <c r="U59" s="65" t="str">
        <f t="shared" ref="U59:U64" si="2">"－"</f>
        <v>－</v>
      </c>
      <c r="V59" s="65">
        <f>700350</f>
        <v>700350</v>
      </c>
      <c r="W59" s="65" t="str">
        <f t="shared" ref="W59:W64" si="3">"－"</f>
        <v>－</v>
      </c>
      <c r="X59" s="69">
        <f>7</f>
        <v>7</v>
      </c>
    </row>
    <row r="60" spans="1:24">
      <c r="A60" s="60" t="s">
        <v>872</v>
      </c>
      <c r="B60" s="60" t="s">
        <v>221</v>
      </c>
      <c r="C60" s="60" t="s">
        <v>222</v>
      </c>
      <c r="D60" s="60" t="s">
        <v>223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10100</f>
        <v>10100</v>
      </c>
      <c r="L60" s="67" t="s">
        <v>840</v>
      </c>
      <c r="M60" s="66">
        <f>10750</f>
        <v>10750</v>
      </c>
      <c r="N60" s="67" t="s">
        <v>245</v>
      </c>
      <c r="O60" s="66">
        <f>9880</f>
        <v>9880</v>
      </c>
      <c r="P60" s="67" t="s">
        <v>119</v>
      </c>
      <c r="Q60" s="66">
        <f>10300</f>
        <v>10300</v>
      </c>
      <c r="R60" s="67" t="s">
        <v>50</v>
      </c>
      <c r="S60" s="68">
        <f>10247.37</f>
        <v>10247.370000000001</v>
      </c>
      <c r="T60" s="65">
        <f>1552</f>
        <v>1552</v>
      </c>
      <c r="U60" s="65" t="str">
        <f t="shared" si="2"/>
        <v>－</v>
      </c>
      <c r="V60" s="65">
        <f>16016250</f>
        <v>16016250</v>
      </c>
      <c r="W60" s="65" t="str">
        <f t="shared" si="3"/>
        <v>－</v>
      </c>
      <c r="X60" s="69">
        <f>19</f>
        <v>19</v>
      </c>
    </row>
    <row r="61" spans="1:24">
      <c r="A61" s="60" t="s">
        <v>872</v>
      </c>
      <c r="B61" s="60" t="s">
        <v>224</v>
      </c>
      <c r="C61" s="60" t="s">
        <v>225</v>
      </c>
      <c r="D61" s="60" t="s">
        <v>226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6550</f>
        <v>6550</v>
      </c>
      <c r="L61" s="67" t="s">
        <v>818</v>
      </c>
      <c r="M61" s="66">
        <f>6660</f>
        <v>6660</v>
      </c>
      <c r="N61" s="67" t="s">
        <v>119</v>
      </c>
      <c r="O61" s="66">
        <f>6290</f>
        <v>6290</v>
      </c>
      <c r="P61" s="67" t="s">
        <v>245</v>
      </c>
      <c r="Q61" s="66">
        <f>6390</f>
        <v>6390</v>
      </c>
      <c r="R61" s="67" t="s">
        <v>50</v>
      </c>
      <c r="S61" s="68">
        <f>6488.57</f>
        <v>6488.57</v>
      </c>
      <c r="T61" s="65">
        <f>1010</f>
        <v>1010</v>
      </c>
      <c r="U61" s="65" t="str">
        <f t="shared" si="2"/>
        <v>－</v>
      </c>
      <c r="V61" s="65">
        <f>6514130</f>
        <v>6514130</v>
      </c>
      <c r="W61" s="65" t="str">
        <f t="shared" si="3"/>
        <v>－</v>
      </c>
      <c r="X61" s="69">
        <f>14</f>
        <v>14</v>
      </c>
    </row>
    <row r="62" spans="1:24">
      <c r="A62" s="60" t="s">
        <v>872</v>
      </c>
      <c r="B62" s="60" t="s">
        <v>227</v>
      </c>
      <c r="C62" s="60" t="s">
        <v>228</v>
      </c>
      <c r="D62" s="60" t="s">
        <v>229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3525</f>
        <v>3525</v>
      </c>
      <c r="L62" s="67" t="s">
        <v>840</v>
      </c>
      <c r="M62" s="66">
        <f>3595</f>
        <v>3595</v>
      </c>
      <c r="N62" s="67" t="s">
        <v>119</v>
      </c>
      <c r="O62" s="66">
        <f>3250</f>
        <v>3250</v>
      </c>
      <c r="P62" s="67" t="s">
        <v>245</v>
      </c>
      <c r="Q62" s="66">
        <f>3380</f>
        <v>3380</v>
      </c>
      <c r="R62" s="67" t="s">
        <v>50</v>
      </c>
      <c r="S62" s="68">
        <f>3421.75</f>
        <v>3421.75</v>
      </c>
      <c r="T62" s="65">
        <f>10758</f>
        <v>10758</v>
      </c>
      <c r="U62" s="65" t="str">
        <f t="shared" si="2"/>
        <v>－</v>
      </c>
      <c r="V62" s="65">
        <f>36697420</f>
        <v>36697420</v>
      </c>
      <c r="W62" s="65" t="str">
        <f t="shared" si="3"/>
        <v>－</v>
      </c>
      <c r="X62" s="69">
        <f>20</f>
        <v>20</v>
      </c>
    </row>
    <row r="63" spans="1:24">
      <c r="A63" s="60" t="s">
        <v>872</v>
      </c>
      <c r="B63" s="60" t="s">
        <v>230</v>
      </c>
      <c r="C63" s="60" t="s">
        <v>231</v>
      </c>
      <c r="D63" s="60" t="s">
        <v>232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9690</f>
        <v>9690</v>
      </c>
      <c r="L63" s="67" t="s">
        <v>833</v>
      </c>
      <c r="M63" s="66">
        <f>10250</f>
        <v>10250</v>
      </c>
      <c r="N63" s="67" t="s">
        <v>245</v>
      </c>
      <c r="O63" s="66">
        <f>9410</f>
        <v>9410</v>
      </c>
      <c r="P63" s="67" t="s">
        <v>818</v>
      </c>
      <c r="Q63" s="66">
        <f>9750</f>
        <v>9750</v>
      </c>
      <c r="R63" s="67" t="s">
        <v>50</v>
      </c>
      <c r="S63" s="68">
        <f>9764</f>
        <v>9764</v>
      </c>
      <c r="T63" s="65">
        <f>5100</f>
        <v>5100</v>
      </c>
      <c r="U63" s="65" t="str">
        <f t="shared" si="2"/>
        <v>－</v>
      </c>
      <c r="V63" s="65">
        <f>50183000</f>
        <v>50183000</v>
      </c>
      <c r="W63" s="65" t="str">
        <f t="shared" si="3"/>
        <v>－</v>
      </c>
      <c r="X63" s="69">
        <f>15</f>
        <v>15</v>
      </c>
    </row>
    <row r="64" spans="1:24">
      <c r="A64" s="60" t="s">
        <v>872</v>
      </c>
      <c r="B64" s="60" t="s">
        <v>233</v>
      </c>
      <c r="C64" s="60" t="s">
        <v>234</v>
      </c>
      <c r="D64" s="60" t="s">
        <v>235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6380</f>
        <v>6380</v>
      </c>
      <c r="L64" s="67" t="s">
        <v>814</v>
      </c>
      <c r="M64" s="66">
        <f>6530</f>
        <v>6530</v>
      </c>
      <c r="N64" s="67" t="s">
        <v>119</v>
      </c>
      <c r="O64" s="66">
        <f>6250</f>
        <v>6250</v>
      </c>
      <c r="P64" s="67" t="s">
        <v>245</v>
      </c>
      <c r="Q64" s="66">
        <f>6250</f>
        <v>6250</v>
      </c>
      <c r="R64" s="67" t="s">
        <v>245</v>
      </c>
      <c r="S64" s="68">
        <f>6366.67</f>
        <v>6366.67</v>
      </c>
      <c r="T64" s="65">
        <f>1430</f>
        <v>1430</v>
      </c>
      <c r="U64" s="65" t="str">
        <f t="shared" si="2"/>
        <v>－</v>
      </c>
      <c r="V64" s="65">
        <f>9124200</f>
        <v>9124200</v>
      </c>
      <c r="W64" s="65" t="str">
        <f t="shared" si="3"/>
        <v>－</v>
      </c>
      <c r="X64" s="69">
        <f>12</f>
        <v>12</v>
      </c>
    </row>
    <row r="65" spans="1:24">
      <c r="A65" s="60" t="s">
        <v>872</v>
      </c>
      <c r="B65" s="60" t="s">
        <v>236</v>
      </c>
      <c r="C65" s="60" t="s">
        <v>237</v>
      </c>
      <c r="D65" s="60" t="s">
        <v>238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3490</f>
        <v>3490</v>
      </c>
      <c r="L65" s="67" t="s">
        <v>840</v>
      </c>
      <c r="M65" s="66">
        <f>3580</f>
        <v>3580</v>
      </c>
      <c r="N65" s="67" t="s">
        <v>119</v>
      </c>
      <c r="O65" s="66">
        <f>3265</f>
        <v>3265</v>
      </c>
      <c r="P65" s="67" t="s">
        <v>245</v>
      </c>
      <c r="Q65" s="66">
        <f>3400</f>
        <v>3400</v>
      </c>
      <c r="R65" s="67" t="s">
        <v>50</v>
      </c>
      <c r="S65" s="68">
        <f>3423.5</f>
        <v>3423.5</v>
      </c>
      <c r="T65" s="65">
        <f>33790</f>
        <v>33790</v>
      </c>
      <c r="U65" s="65">
        <f>50</f>
        <v>50</v>
      </c>
      <c r="V65" s="65">
        <f>115665500</f>
        <v>115665500</v>
      </c>
      <c r="W65" s="65">
        <f>163250</f>
        <v>163250</v>
      </c>
      <c r="X65" s="69">
        <f>20</f>
        <v>20</v>
      </c>
    </row>
    <row r="66" spans="1:24">
      <c r="A66" s="60" t="s">
        <v>872</v>
      </c>
      <c r="B66" s="60" t="s">
        <v>239</v>
      </c>
      <c r="C66" s="60" t="s">
        <v>240</v>
      </c>
      <c r="D66" s="60" t="s">
        <v>241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f>20000</f>
        <v>20000</v>
      </c>
      <c r="L66" s="67" t="s">
        <v>840</v>
      </c>
      <c r="M66" s="66">
        <f>21450</f>
        <v>21450</v>
      </c>
      <c r="N66" s="67" t="s">
        <v>245</v>
      </c>
      <c r="O66" s="66">
        <f>19210</f>
        <v>19210</v>
      </c>
      <c r="P66" s="67" t="s">
        <v>95</v>
      </c>
      <c r="Q66" s="66">
        <f>20150</f>
        <v>20150</v>
      </c>
      <c r="R66" s="67" t="s">
        <v>50</v>
      </c>
      <c r="S66" s="68">
        <f>20153.89</f>
        <v>20153.89</v>
      </c>
      <c r="T66" s="65">
        <f>2037</f>
        <v>2037</v>
      </c>
      <c r="U66" s="65" t="str">
        <f>"－"</f>
        <v>－</v>
      </c>
      <c r="V66" s="65">
        <f>41302790</f>
        <v>41302790</v>
      </c>
      <c r="W66" s="65" t="str">
        <f>"－"</f>
        <v>－</v>
      </c>
      <c r="X66" s="69">
        <f>18</f>
        <v>18</v>
      </c>
    </row>
    <row r="67" spans="1:24">
      <c r="A67" s="60" t="s">
        <v>872</v>
      </c>
      <c r="B67" s="60" t="s">
        <v>242</v>
      </c>
      <c r="C67" s="60" t="s">
        <v>243</v>
      </c>
      <c r="D67" s="60" t="s">
        <v>244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4250</f>
        <v>4250</v>
      </c>
      <c r="L67" s="67" t="s">
        <v>840</v>
      </c>
      <c r="M67" s="66">
        <f>4370</f>
        <v>4370</v>
      </c>
      <c r="N67" s="67" t="s">
        <v>61</v>
      </c>
      <c r="O67" s="66">
        <f>4095</f>
        <v>4095</v>
      </c>
      <c r="P67" s="67" t="s">
        <v>245</v>
      </c>
      <c r="Q67" s="66">
        <f>4100</f>
        <v>4100</v>
      </c>
      <c r="R67" s="67" t="s">
        <v>50</v>
      </c>
      <c r="S67" s="68">
        <f>4185.29</f>
        <v>4185.29</v>
      </c>
      <c r="T67" s="65">
        <f>474</f>
        <v>474</v>
      </c>
      <c r="U67" s="65" t="str">
        <f>"－"</f>
        <v>－</v>
      </c>
      <c r="V67" s="65">
        <f>1991925</f>
        <v>1991925</v>
      </c>
      <c r="W67" s="65" t="str">
        <f>"－"</f>
        <v>－</v>
      </c>
      <c r="X67" s="69">
        <f>17</f>
        <v>17</v>
      </c>
    </row>
    <row r="68" spans="1:24">
      <c r="A68" s="60" t="s">
        <v>872</v>
      </c>
      <c r="B68" s="60" t="s">
        <v>246</v>
      </c>
      <c r="C68" s="60" t="s">
        <v>247</v>
      </c>
      <c r="D68" s="60" t="s">
        <v>248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f>1395</f>
        <v>1395</v>
      </c>
      <c r="L68" s="67" t="s">
        <v>840</v>
      </c>
      <c r="M68" s="66">
        <f>1419</f>
        <v>1419</v>
      </c>
      <c r="N68" s="67" t="s">
        <v>119</v>
      </c>
      <c r="O68" s="66">
        <f>1291</f>
        <v>1291</v>
      </c>
      <c r="P68" s="67" t="s">
        <v>245</v>
      </c>
      <c r="Q68" s="66">
        <f>1350</f>
        <v>1350</v>
      </c>
      <c r="R68" s="67" t="s">
        <v>50</v>
      </c>
      <c r="S68" s="68">
        <f>1361.55</f>
        <v>1361.55</v>
      </c>
      <c r="T68" s="65">
        <f>65487</f>
        <v>65487</v>
      </c>
      <c r="U68" s="65">
        <f>170</f>
        <v>170</v>
      </c>
      <c r="V68" s="65">
        <f>89428406</f>
        <v>89428406</v>
      </c>
      <c r="W68" s="65">
        <f>233394</f>
        <v>233394</v>
      </c>
      <c r="X68" s="69">
        <f>20</f>
        <v>20</v>
      </c>
    </row>
    <row r="69" spans="1:24">
      <c r="A69" s="60" t="s">
        <v>872</v>
      </c>
      <c r="B69" s="60" t="s">
        <v>249</v>
      </c>
      <c r="C69" s="60" t="s">
        <v>250</v>
      </c>
      <c r="D69" s="60" t="s">
        <v>251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10</v>
      </c>
      <c r="K69" s="66">
        <f>1626</f>
        <v>1626</v>
      </c>
      <c r="L69" s="67" t="s">
        <v>840</v>
      </c>
      <c r="M69" s="66">
        <f>1690</f>
        <v>1690</v>
      </c>
      <c r="N69" s="67" t="s">
        <v>245</v>
      </c>
      <c r="O69" s="66">
        <f>1608</f>
        <v>1608</v>
      </c>
      <c r="P69" s="67" t="s">
        <v>119</v>
      </c>
      <c r="Q69" s="66">
        <f>1652</f>
        <v>1652</v>
      </c>
      <c r="R69" s="67" t="s">
        <v>50</v>
      </c>
      <c r="S69" s="68">
        <f>1648.35</f>
        <v>1648.35</v>
      </c>
      <c r="T69" s="65">
        <f>541530</f>
        <v>541530</v>
      </c>
      <c r="U69" s="65">
        <f>100000</f>
        <v>100000</v>
      </c>
      <c r="V69" s="65">
        <f>892087320</f>
        <v>892087320</v>
      </c>
      <c r="W69" s="65">
        <f>163180000</f>
        <v>163180000</v>
      </c>
      <c r="X69" s="69">
        <f>20</f>
        <v>20</v>
      </c>
    </row>
    <row r="70" spans="1:24">
      <c r="A70" s="60" t="s">
        <v>872</v>
      </c>
      <c r="B70" s="60" t="s">
        <v>252</v>
      </c>
      <c r="C70" s="60" t="s">
        <v>253</v>
      </c>
      <c r="D70" s="60" t="s">
        <v>254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14660</f>
        <v>14660</v>
      </c>
      <c r="L70" s="67" t="s">
        <v>840</v>
      </c>
      <c r="M70" s="66">
        <f>15200</f>
        <v>15200</v>
      </c>
      <c r="N70" s="67" t="s">
        <v>245</v>
      </c>
      <c r="O70" s="66">
        <f>14450</f>
        <v>14450</v>
      </c>
      <c r="P70" s="67" t="s">
        <v>95</v>
      </c>
      <c r="Q70" s="66">
        <f>14800</f>
        <v>14800</v>
      </c>
      <c r="R70" s="67" t="s">
        <v>50</v>
      </c>
      <c r="S70" s="68">
        <f>14787</f>
        <v>14787</v>
      </c>
      <c r="T70" s="65">
        <f>77450</f>
        <v>77450</v>
      </c>
      <c r="U70" s="65" t="str">
        <f>"－"</f>
        <v>－</v>
      </c>
      <c r="V70" s="65">
        <f>1149778180</f>
        <v>1149778180</v>
      </c>
      <c r="W70" s="65" t="str">
        <f>"－"</f>
        <v>－</v>
      </c>
      <c r="X70" s="69">
        <f>20</f>
        <v>20</v>
      </c>
    </row>
    <row r="71" spans="1:24">
      <c r="A71" s="60" t="s">
        <v>872</v>
      </c>
      <c r="B71" s="60" t="s">
        <v>255</v>
      </c>
      <c r="C71" s="60" t="s">
        <v>256</v>
      </c>
      <c r="D71" s="60" t="s">
        <v>257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1639</f>
        <v>1639</v>
      </c>
      <c r="L71" s="67" t="s">
        <v>840</v>
      </c>
      <c r="M71" s="66">
        <f>1709</f>
        <v>1709</v>
      </c>
      <c r="N71" s="67" t="s">
        <v>245</v>
      </c>
      <c r="O71" s="66">
        <f>1618</f>
        <v>1618</v>
      </c>
      <c r="P71" s="67" t="s">
        <v>119</v>
      </c>
      <c r="Q71" s="66">
        <f>1660</f>
        <v>1660</v>
      </c>
      <c r="R71" s="67" t="s">
        <v>50</v>
      </c>
      <c r="S71" s="68">
        <f>1659</f>
        <v>1659</v>
      </c>
      <c r="T71" s="65">
        <f>4138564</f>
        <v>4138564</v>
      </c>
      <c r="U71" s="65">
        <f>405418</f>
        <v>405418</v>
      </c>
      <c r="V71" s="65">
        <f>6887772580</f>
        <v>6887772580</v>
      </c>
      <c r="W71" s="65">
        <f>675786390</f>
        <v>675786390</v>
      </c>
      <c r="X71" s="69">
        <f>20</f>
        <v>20</v>
      </c>
    </row>
    <row r="72" spans="1:24">
      <c r="A72" s="60" t="s">
        <v>872</v>
      </c>
      <c r="B72" s="60" t="s">
        <v>258</v>
      </c>
      <c r="C72" s="60" t="s">
        <v>259</v>
      </c>
      <c r="D72" s="60" t="s">
        <v>260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1795</f>
        <v>1795</v>
      </c>
      <c r="L72" s="67" t="s">
        <v>840</v>
      </c>
      <c r="M72" s="66">
        <f>1815</f>
        <v>1815</v>
      </c>
      <c r="N72" s="67" t="s">
        <v>245</v>
      </c>
      <c r="O72" s="66">
        <f>1723</f>
        <v>1723</v>
      </c>
      <c r="P72" s="67" t="s">
        <v>834</v>
      </c>
      <c r="Q72" s="66">
        <f>1780</f>
        <v>1780</v>
      </c>
      <c r="R72" s="67" t="s">
        <v>50</v>
      </c>
      <c r="S72" s="68">
        <f>1773.2</f>
        <v>1773.2</v>
      </c>
      <c r="T72" s="65">
        <f>2607940</f>
        <v>2607940</v>
      </c>
      <c r="U72" s="65">
        <f>1194440</f>
        <v>1194440</v>
      </c>
      <c r="V72" s="65">
        <f>4643483086</f>
        <v>4643483086</v>
      </c>
      <c r="W72" s="65">
        <f>2150403009</f>
        <v>2150403009</v>
      </c>
      <c r="X72" s="69">
        <f>20</f>
        <v>20</v>
      </c>
    </row>
    <row r="73" spans="1:24">
      <c r="A73" s="60" t="s">
        <v>872</v>
      </c>
      <c r="B73" s="60" t="s">
        <v>261</v>
      </c>
      <c r="C73" s="60" t="s">
        <v>262</v>
      </c>
      <c r="D73" s="60" t="s">
        <v>263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1719</f>
        <v>1719</v>
      </c>
      <c r="L73" s="67" t="s">
        <v>840</v>
      </c>
      <c r="M73" s="66">
        <f>1758</f>
        <v>1758</v>
      </c>
      <c r="N73" s="67" t="s">
        <v>245</v>
      </c>
      <c r="O73" s="66">
        <f>1683</f>
        <v>1683</v>
      </c>
      <c r="P73" s="67" t="s">
        <v>119</v>
      </c>
      <c r="Q73" s="66">
        <f>1725</f>
        <v>1725</v>
      </c>
      <c r="R73" s="67" t="s">
        <v>50</v>
      </c>
      <c r="S73" s="68">
        <f>1717.4</f>
        <v>1717.4</v>
      </c>
      <c r="T73" s="65">
        <f>324131</f>
        <v>324131</v>
      </c>
      <c r="U73" s="65">
        <f>318388</f>
        <v>318388</v>
      </c>
      <c r="V73" s="65">
        <f>557903951</f>
        <v>557903951</v>
      </c>
      <c r="W73" s="65">
        <f>548047631</f>
        <v>548047631</v>
      </c>
      <c r="X73" s="69">
        <f>20</f>
        <v>20</v>
      </c>
    </row>
    <row r="74" spans="1:24">
      <c r="A74" s="60" t="s">
        <v>872</v>
      </c>
      <c r="B74" s="60" t="s">
        <v>264</v>
      </c>
      <c r="C74" s="60" t="s">
        <v>265</v>
      </c>
      <c r="D74" s="60" t="s">
        <v>266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1730</f>
        <v>1730</v>
      </c>
      <c r="L74" s="67" t="s">
        <v>840</v>
      </c>
      <c r="M74" s="66">
        <f>1765</f>
        <v>1765</v>
      </c>
      <c r="N74" s="67" t="s">
        <v>90</v>
      </c>
      <c r="O74" s="66">
        <f>1680</f>
        <v>1680</v>
      </c>
      <c r="P74" s="67" t="s">
        <v>175</v>
      </c>
      <c r="Q74" s="66">
        <f>1710</f>
        <v>1710</v>
      </c>
      <c r="R74" s="67" t="s">
        <v>50</v>
      </c>
      <c r="S74" s="68">
        <f>1726.05</f>
        <v>1726.05</v>
      </c>
      <c r="T74" s="65">
        <f>156051</f>
        <v>156051</v>
      </c>
      <c r="U74" s="65">
        <f>14900</f>
        <v>14900</v>
      </c>
      <c r="V74" s="65">
        <f>268633662</f>
        <v>268633662</v>
      </c>
      <c r="W74" s="65">
        <f>25747200</f>
        <v>25747200</v>
      </c>
      <c r="X74" s="69">
        <f>20</f>
        <v>20</v>
      </c>
    </row>
    <row r="75" spans="1:24">
      <c r="A75" s="60" t="s">
        <v>872</v>
      </c>
      <c r="B75" s="60" t="s">
        <v>267</v>
      </c>
      <c r="C75" s="60" t="s">
        <v>268</v>
      </c>
      <c r="D75" s="60" t="s">
        <v>269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19640</f>
        <v>19640</v>
      </c>
      <c r="L75" s="67" t="s">
        <v>840</v>
      </c>
      <c r="M75" s="66">
        <f>20230</f>
        <v>20230</v>
      </c>
      <c r="N75" s="67" t="s">
        <v>245</v>
      </c>
      <c r="O75" s="66">
        <f>19280</f>
        <v>19280</v>
      </c>
      <c r="P75" s="67" t="s">
        <v>119</v>
      </c>
      <c r="Q75" s="66">
        <f>20080</f>
        <v>20080</v>
      </c>
      <c r="R75" s="67" t="s">
        <v>50</v>
      </c>
      <c r="S75" s="68">
        <f>19701.82</f>
        <v>19701.82</v>
      </c>
      <c r="T75" s="65">
        <f>17</f>
        <v>17</v>
      </c>
      <c r="U75" s="65" t="str">
        <f>"－"</f>
        <v>－</v>
      </c>
      <c r="V75" s="65">
        <f>336470</f>
        <v>336470</v>
      </c>
      <c r="W75" s="65" t="str">
        <f>"－"</f>
        <v>－</v>
      </c>
      <c r="X75" s="69">
        <f>11</f>
        <v>11</v>
      </c>
    </row>
    <row r="76" spans="1:24">
      <c r="A76" s="60" t="s">
        <v>872</v>
      </c>
      <c r="B76" s="60" t="s">
        <v>270</v>
      </c>
      <c r="C76" s="60" t="s">
        <v>271</v>
      </c>
      <c r="D76" s="60" t="s">
        <v>272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16180</f>
        <v>16180</v>
      </c>
      <c r="L76" s="67" t="s">
        <v>833</v>
      </c>
      <c r="M76" s="66">
        <f>16640</f>
        <v>16640</v>
      </c>
      <c r="N76" s="67" t="s">
        <v>50</v>
      </c>
      <c r="O76" s="66">
        <f>16070</f>
        <v>16070</v>
      </c>
      <c r="P76" s="67" t="s">
        <v>818</v>
      </c>
      <c r="Q76" s="66">
        <f>16450</f>
        <v>16450</v>
      </c>
      <c r="R76" s="67" t="s">
        <v>50</v>
      </c>
      <c r="S76" s="68">
        <f>16289.17</f>
        <v>16289.17</v>
      </c>
      <c r="T76" s="65">
        <f>1761</f>
        <v>1761</v>
      </c>
      <c r="U76" s="65" t="str">
        <f>"－"</f>
        <v>－</v>
      </c>
      <c r="V76" s="65">
        <f>28938010</f>
        <v>28938010</v>
      </c>
      <c r="W76" s="65" t="str">
        <f>"－"</f>
        <v>－</v>
      </c>
      <c r="X76" s="69">
        <f>12</f>
        <v>12</v>
      </c>
    </row>
    <row r="77" spans="1:24">
      <c r="A77" s="60" t="s">
        <v>872</v>
      </c>
      <c r="B77" s="60" t="s">
        <v>273</v>
      </c>
      <c r="C77" s="60" t="s">
        <v>274</v>
      </c>
      <c r="D77" s="60" t="s">
        <v>275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1607</f>
        <v>1607</v>
      </c>
      <c r="L77" s="67" t="s">
        <v>840</v>
      </c>
      <c r="M77" s="66">
        <f>1660</f>
        <v>1660</v>
      </c>
      <c r="N77" s="67" t="s">
        <v>50</v>
      </c>
      <c r="O77" s="66">
        <f>1581</f>
        <v>1581</v>
      </c>
      <c r="P77" s="67" t="s">
        <v>119</v>
      </c>
      <c r="Q77" s="66">
        <f>1633</f>
        <v>1633</v>
      </c>
      <c r="R77" s="67" t="s">
        <v>50</v>
      </c>
      <c r="S77" s="68">
        <f>1616.42</f>
        <v>1616.42</v>
      </c>
      <c r="T77" s="65">
        <f>63680</f>
        <v>63680</v>
      </c>
      <c r="U77" s="65" t="str">
        <f>"－"</f>
        <v>－</v>
      </c>
      <c r="V77" s="65">
        <f>102438751</f>
        <v>102438751</v>
      </c>
      <c r="W77" s="65" t="str">
        <f>"－"</f>
        <v>－</v>
      </c>
      <c r="X77" s="69">
        <f>19</f>
        <v>19</v>
      </c>
    </row>
    <row r="78" spans="1:24">
      <c r="A78" s="60" t="s">
        <v>872</v>
      </c>
      <c r="B78" s="60" t="s">
        <v>276</v>
      </c>
      <c r="C78" s="60" t="s">
        <v>277</v>
      </c>
      <c r="D78" s="60" t="s">
        <v>278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2510</f>
        <v>2510</v>
      </c>
      <c r="L78" s="67" t="s">
        <v>840</v>
      </c>
      <c r="M78" s="66">
        <f>2524</f>
        <v>2524</v>
      </c>
      <c r="N78" s="67" t="s">
        <v>818</v>
      </c>
      <c r="O78" s="66">
        <f>2505</f>
        <v>2505</v>
      </c>
      <c r="P78" s="67" t="s">
        <v>100</v>
      </c>
      <c r="Q78" s="66">
        <f>2522</f>
        <v>2522</v>
      </c>
      <c r="R78" s="67" t="s">
        <v>50</v>
      </c>
      <c r="S78" s="68">
        <f>2515.4</f>
        <v>2515.4</v>
      </c>
      <c r="T78" s="65">
        <f>999480</f>
        <v>999480</v>
      </c>
      <c r="U78" s="65">
        <f>118601</f>
        <v>118601</v>
      </c>
      <c r="V78" s="65">
        <f>2513798271</f>
        <v>2513798271</v>
      </c>
      <c r="W78" s="65">
        <f>298626048</f>
        <v>298626048</v>
      </c>
      <c r="X78" s="69">
        <f>20</f>
        <v>20</v>
      </c>
    </row>
    <row r="79" spans="1:24">
      <c r="A79" s="60" t="s">
        <v>872</v>
      </c>
      <c r="B79" s="60" t="s">
        <v>279</v>
      </c>
      <c r="C79" s="60" t="s">
        <v>280</v>
      </c>
      <c r="D79" s="60" t="s">
        <v>281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f>1540</f>
        <v>1540</v>
      </c>
      <c r="L79" s="67" t="s">
        <v>840</v>
      </c>
      <c r="M79" s="66">
        <f>1625</f>
        <v>1625</v>
      </c>
      <c r="N79" s="67" t="s">
        <v>245</v>
      </c>
      <c r="O79" s="66">
        <f>1525</f>
        <v>1525</v>
      </c>
      <c r="P79" s="67" t="s">
        <v>840</v>
      </c>
      <c r="Q79" s="66">
        <f>1624</f>
        <v>1624</v>
      </c>
      <c r="R79" s="67" t="s">
        <v>50</v>
      </c>
      <c r="S79" s="68">
        <f>1576</f>
        <v>1576</v>
      </c>
      <c r="T79" s="65">
        <f>1342</f>
        <v>1342</v>
      </c>
      <c r="U79" s="65" t="str">
        <f>"－"</f>
        <v>－</v>
      </c>
      <c r="V79" s="65">
        <f>2132751</f>
        <v>2132751</v>
      </c>
      <c r="W79" s="65" t="str">
        <f>"－"</f>
        <v>－</v>
      </c>
      <c r="X79" s="69">
        <f>18</f>
        <v>18</v>
      </c>
    </row>
    <row r="80" spans="1:24">
      <c r="A80" s="60" t="s">
        <v>872</v>
      </c>
      <c r="B80" s="60" t="s">
        <v>282</v>
      </c>
      <c r="C80" s="60" t="s">
        <v>283</v>
      </c>
      <c r="D80" s="60" t="s">
        <v>284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10</v>
      </c>
      <c r="K80" s="66">
        <f>1583</f>
        <v>1583</v>
      </c>
      <c r="L80" s="67" t="s">
        <v>840</v>
      </c>
      <c r="M80" s="66">
        <f>1639</f>
        <v>1639</v>
      </c>
      <c r="N80" s="67" t="s">
        <v>245</v>
      </c>
      <c r="O80" s="66">
        <f>1566</f>
        <v>1566</v>
      </c>
      <c r="P80" s="67" t="s">
        <v>119</v>
      </c>
      <c r="Q80" s="66">
        <f>1618</f>
        <v>1618</v>
      </c>
      <c r="R80" s="67" t="s">
        <v>50</v>
      </c>
      <c r="S80" s="68">
        <f>1596.35</f>
        <v>1596.35</v>
      </c>
      <c r="T80" s="65">
        <f>4880</f>
        <v>4880</v>
      </c>
      <c r="U80" s="65" t="str">
        <f>"－"</f>
        <v>－</v>
      </c>
      <c r="V80" s="65">
        <f>7810090</f>
        <v>7810090</v>
      </c>
      <c r="W80" s="65" t="str">
        <f>"－"</f>
        <v>－</v>
      </c>
      <c r="X80" s="69">
        <f>20</f>
        <v>20</v>
      </c>
    </row>
    <row r="81" spans="1:24">
      <c r="A81" s="60" t="s">
        <v>872</v>
      </c>
      <c r="B81" s="60" t="s">
        <v>285</v>
      </c>
      <c r="C81" s="60" t="s">
        <v>286</v>
      </c>
      <c r="D81" s="60" t="s">
        <v>287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24730</f>
        <v>24730</v>
      </c>
      <c r="L81" s="67" t="s">
        <v>100</v>
      </c>
      <c r="M81" s="66">
        <f>25500</f>
        <v>25500</v>
      </c>
      <c r="N81" s="67" t="s">
        <v>245</v>
      </c>
      <c r="O81" s="66">
        <f>24730</f>
        <v>24730</v>
      </c>
      <c r="P81" s="67" t="s">
        <v>100</v>
      </c>
      <c r="Q81" s="66">
        <f>25500</f>
        <v>25500</v>
      </c>
      <c r="R81" s="67" t="s">
        <v>50</v>
      </c>
      <c r="S81" s="68">
        <f>25296</f>
        <v>25296</v>
      </c>
      <c r="T81" s="65">
        <f>13</f>
        <v>13</v>
      </c>
      <c r="U81" s="65" t="str">
        <f>"－"</f>
        <v>－</v>
      </c>
      <c r="V81" s="65">
        <f>330260</f>
        <v>330260</v>
      </c>
      <c r="W81" s="65" t="str">
        <f>"－"</f>
        <v>－</v>
      </c>
      <c r="X81" s="69">
        <f>5</f>
        <v>5</v>
      </c>
    </row>
    <row r="82" spans="1:24">
      <c r="A82" s="60" t="s">
        <v>872</v>
      </c>
      <c r="B82" s="60" t="s">
        <v>288</v>
      </c>
      <c r="C82" s="60" t="s">
        <v>289</v>
      </c>
      <c r="D82" s="60" t="s">
        <v>290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22000</f>
        <v>22000</v>
      </c>
      <c r="L82" s="67" t="s">
        <v>840</v>
      </c>
      <c r="M82" s="66">
        <f>22150</f>
        <v>22150</v>
      </c>
      <c r="N82" s="67" t="s">
        <v>818</v>
      </c>
      <c r="O82" s="66">
        <f>21760</f>
        <v>21760</v>
      </c>
      <c r="P82" s="67" t="s">
        <v>822</v>
      </c>
      <c r="Q82" s="66">
        <f>21990</f>
        <v>21990</v>
      </c>
      <c r="R82" s="67" t="s">
        <v>50</v>
      </c>
      <c r="S82" s="68">
        <f>21982.11</f>
        <v>21982.11</v>
      </c>
      <c r="T82" s="65">
        <f>383930</f>
        <v>383930</v>
      </c>
      <c r="U82" s="65">
        <f>348000</f>
        <v>348000</v>
      </c>
      <c r="V82" s="65">
        <f>8427322230</f>
        <v>8427322230</v>
      </c>
      <c r="W82" s="65">
        <f>7637334000</f>
        <v>7637334000</v>
      </c>
      <c r="X82" s="69">
        <f>19</f>
        <v>19</v>
      </c>
    </row>
    <row r="83" spans="1:24">
      <c r="A83" s="60" t="s">
        <v>872</v>
      </c>
      <c r="B83" s="60" t="s">
        <v>291</v>
      </c>
      <c r="C83" s="60" t="s">
        <v>292</v>
      </c>
      <c r="D83" s="60" t="s">
        <v>293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</v>
      </c>
      <c r="K83" s="66">
        <f>19620</f>
        <v>19620</v>
      </c>
      <c r="L83" s="67" t="s">
        <v>840</v>
      </c>
      <c r="M83" s="66">
        <f>19750</f>
        <v>19750</v>
      </c>
      <c r="N83" s="67" t="s">
        <v>818</v>
      </c>
      <c r="O83" s="66">
        <f>19620</f>
        <v>19620</v>
      </c>
      <c r="P83" s="67" t="s">
        <v>840</v>
      </c>
      <c r="Q83" s="66">
        <f>19730</f>
        <v>19730</v>
      </c>
      <c r="R83" s="67" t="s">
        <v>50</v>
      </c>
      <c r="S83" s="68">
        <f>19682.5</f>
        <v>19682.5</v>
      </c>
      <c r="T83" s="65">
        <f>53981</f>
        <v>53981</v>
      </c>
      <c r="U83" s="65">
        <f>2500</f>
        <v>2500</v>
      </c>
      <c r="V83" s="65">
        <f>1062756345</f>
        <v>1062756345</v>
      </c>
      <c r="W83" s="65">
        <f>49172075</f>
        <v>49172075</v>
      </c>
      <c r="X83" s="69">
        <f>20</f>
        <v>20</v>
      </c>
    </row>
    <row r="84" spans="1:24">
      <c r="A84" s="60" t="s">
        <v>872</v>
      </c>
      <c r="B84" s="60" t="s">
        <v>294</v>
      </c>
      <c r="C84" s="60" t="s">
        <v>295</v>
      </c>
      <c r="D84" s="60" t="s">
        <v>296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10</v>
      </c>
      <c r="K84" s="66">
        <f>1811</f>
        <v>1811</v>
      </c>
      <c r="L84" s="67" t="s">
        <v>840</v>
      </c>
      <c r="M84" s="66">
        <f>1818</f>
        <v>1818</v>
      </c>
      <c r="N84" s="67" t="s">
        <v>840</v>
      </c>
      <c r="O84" s="66">
        <f>1710</f>
        <v>1710</v>
      </c>
      <c r="P84" s="67" t="s">
        <v>834</v>
      </c>
      <c r="Q84" s="66">
        <f>1775</f>
        <v>1775</v>
      </c>
      <c r="R84" s="67" t="s">
        <v>50</v>
      </c>
      <c r="S84" s="68">
        <f>1765.75</f>
        <v>1765.75</v>
      </c>
      <c r="T84" s="65">
        <f>1303660</f>
        <v>1303660</v>
      </c>
      <c r="U84" s="65">
        <f>390150</f>
        <v>390150</v>
      </c>
      <c r="V84" s="65">
        <f>2302779660</f>
        <v>2302779660</v>
      </c>
      <c r="W84" s="65">
        <f>688194030</f>
        <v>688194030</v>
      </c>
      <c r="X84" s="69">
        <f>20</f>
        <v>20</v>
      </c>
    </row>
    <row r="85" spans="1:24">
      <c r="A85" s="60" t="s">
        <v>872</v>
      </c>
      <c r="B85" s="60" t="s">
        <v>297</v>
      </c>
      <c r="C85" s="60" t="s">
        <v>298</v>
      </c>
      <c r="D85" s="60" t="s">
        <v>299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f>28510</f>
        <v>28510</v>
      </c>
      <c r="L85" s="67" t="s">
        <v>840</v>
      </c>
      <c r="M85" s="66">
        <f>29080</f>
        <v>29080</v>
      </c>
      <c r="N85" s="67" t="s">
        <v>90</v>
      </c>
      <c r="O85" s="66">
        <f>27840</f>
        <v>27840</v>
      </c>
      <c r="P85" s="67" t="s">
        <v>816</v>
      </c>
      <c r="Q85" s="66">
        <f>27900</f>
        <v>27900</v>
      </c>
      <c r="R85" s="67" t="s">
        <v>50</v>
      </c>
      <c r="S85" s="68">
        <f>28501.5</f>
        <v>28501.5</v>
      </c>
      <c r="T85" s="65">
        <f>30606</f>
        <v>30606</v>
      </c>
      <c r="U85" s="65">
        <f>3232</f>
        <v>3232</v>
      </c>
      <c r="V85" s="65">
        <f>869922273</f>
        <v>869922273</v>
      </c>
      <c r="W85" s="65">
        <f>93433403</f>
        <v>93433403</v>
      </c>
      <c r="X85" s="69">
        <f>20</f>
        <v>20</v>
      </c>
    </row>
    <row r="86" spans="1:24">
      <c r="A86" s="60" t="s">
        <v>872</v>
      </c>
      <c r="B86" s="60" t="s">
        <v>300</v>
      </c>
      <c r="C86" s="60" t="s">
        <v>301</v>
      </c>
      <c r="D86" s="60" t="s">
        <v>302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10</v>
      </c>
      <c r="K86" s="66">
        <f>8140</f>
        <v>8140</v>
      </c>
      <c r="L86" s="67" t="s">
        <v>840</v>
      </c>
      <c r="M86" s="66">
        <f>8290</f>
        <v>8290</v>
      </c>
      <c r="N86" s="67" t="s">
        <v>119</v>
      </c>
      <c r="O86" s="66">
        <f>7960</f>
        <v>7960</v>
      </c>
      <c r="P86" s="67" t="s">
        <v>50</v>
      </c>
      <c r="Q86" s="66">
        <f>8010</f>
        <v>8010</v>
      </c>
      <c r="R86" s="67" t="s">
        <v>50</v>
      </c>
      <c r="S86" s="68">
        <f>8133.33</f>
        <v>8133.33</v>
      </c>
      <c r="T86" s="65">
        <f>540</f>
        <v>540</v>
      </c>
      <c r="U86" s="65" t="str">
        <f>"－"</f>
        <v>－</v>
      </c>
      <c r="V86" s="65">
        <f>4381800</f>
        <v>4381800</v>
      </c>
      <c r="W86" s="65" t="str">
        <f>"－"</f>
        <v>－</v>
      </c>
      <c r="X86" s="69">
        <f>15</f>
        <v>15</v>
      </c>
    </row>
    <row r="87" spans="1:24">
      <c r="A87" s="60" t="s">
        <v>872</v>
      </c>
      <c r="B87" s="60" t="s">
        <v>303</v>
      </c>
      <c r="C87" s="60" t="s">
        <v>304</v>
      </c>
      <c r="D87" s="60" t="s">
        <v>305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13440</f>
        <v>13440</v>
      </c>
      <c r="L87" s="67" t="s">
        <v>840</v>
      </c>
      <c r="M87" s="66">
        <f>15200</f>
        <v>15200</v>
      </c>
      <c r="N87" s="67" t="s">
        <v>50</v>
      </c>
      <c r="O87" s="66">
        <f>13420</f>
        <v>13420</v>
      </c>
      <c r="P87" s="67" t="s">
        <v>119</v>
      </c>
      <c r="Q87" s="66">
        <f>14470</f>
        <v>14470</v>
      </c>
      <c r="R87" s="67" t="s">
        <v>50</v>
      </c>
      <c r="S87" s="68">
        <f>13857.5</f>
        <v>13857.5</v>
      </c>
      <c r="T87" s="65">
        <f>934</f>
        <v>934</v>
      </c>
      <c r="U87" s="65" t="str">
        <f>"－"</f>
        <v>－</v>
      </c>
      <c r="V87" s="65">
        <f>13048890</f>
        <v>13048890</v>
      </c>
      <c r="W87" s="65" t="str">
        <f>"－"</f>
        <v>－</v>
      </c>
      <c r="X87" s="69">
        <f>20</f>
        <v>20</v>
      </c>
    </row>
    <row r="88" spans="1:24">
      <c r="A88" s="60" t="s">
        <v>872</v>
      </c>
      <c r="B88" s="60" t="s">
        <v>306</v>
      </c>
      <c r="C88" s="60" t="s">
        <v>307</v>
      </c>
      <c r="D88" s="60" t="s">
        <v>308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13590</f>
        <v>13590</v>
      </c>
      <c r="L88" s="67" t="s">
        <v>840</v>
      </c>
      <c r="M88" s="66">
        <f>14520</f>
        <v>14520</v>
      </c>
      <c r="N88" s="67" t="s">
        <v>245</v>
      </c>
      <c r="O88" s="66">
        <f>13470</f>
        <v>13470</v>
      </c>
      <c r="P88" s="67" t="s">
        <v>818</v>
      </c>
      <c r="Q88" s="66">
        <f>14280</f>
        <v>14280</v>
      </c>
      <c r="R88" s="67" t="s">
        <v>50</v>
      </c>
      <c r="S88" s="68">
        <f>13940.5</f>
        <v>13940.5</v>
      </c>
      <c r="T88" s="65">
        <f>10629</f>
        <v>10629</v>
      </c>
      <c r="U88" s="65" t="str">
        <f>"－"</f>
        <v>－</v>
      </c>
      <c r="V88" s="65">
        <f>150944710</f>
        <v>150944710</v>
      </c>
      <c r="W88" s="65" t="str">
        <f>"－"</f>
        <v>－</v>
      </c>
      <c r="X88" s="69">
        <f>20</f>
        <v>20</v>
      </c>
    </row>
    <row r="89" spans="1:24">
      <c r="A89" s="60" t="s">
        <v>872</v>
      </c>
      <c r="B89" s="60" t="s">
        <v>310</v>
      </c>
      <c r="C89" s="60" t="s">
        <v>311</v>
      </c>
      <c r="D89" s="60" t="s">
        <v>312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f>16080</f>
        <v>16080</v>
      </c>
      <c r="L89" s="67" t="s">
        <v>840</v>
      </c>
      <c r="M89" s="66">
        <f>16790</f>
        <v>16790</v>
      </c>
      <c r="N89" s="67" t="s">
        <v>90</v>
      </c>
      <c r="O89" s="66">
        <f>16060</f>
        <v>16060</v>
      </c>
      <c r="P89" s="67" t="s">
        <v>833</v>
      </c>
      <c r="Q89" s="66">
        <f>16320</f>
        <v>16320</v>
      </c>
      <c r="R89" s="67" t="s">
        <v>50</v>
      </c>
      <c r="S89" s="68">
        <f>16400</f>
        <v>16400</v>
      </c>
      <c r="T89" s="65">
        <f>2474</f>
        <v>2474</v>
      </c>
      <c r="U89" s="65" t="str">
        <f>"－"</f>
        <v>－</v>
      </c>
      <c r="V89" s="65">
        <f>40537130</f>
        <v>40537130</v>
      </c>
      <c r="W89" s="65" t="str">
        <f>"－"</f>
        <v>－</v>
      </c>
      <c r="X89" s="69">
        <f>20</f>
        <v>20</v>
      </c>
    </row>
    <row r="90" spans="1:24">
      <c r="A90" s="60" t="s">
        <v>872</v>
      </c>
      <c r="B90" s="60" t="s">
        <v>313</v>
      </c>
      <c r="C90" s="60" t="s">
        <v>314</v>
      </c>
      <c r="D90" s="60" t="s">
        <v>315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10</v>
      </c>
      <c r="K90" s="66">
        <f>9770</f>
        <v>9770</v>
      </c>
      <c r="L90" s="67" t="s">
        <v>840</v>
      </c>
      <c r="M90" s="66">
        <f>10010</f>
        <v>10010</v>
      </c>
      <c r="N90" s="67" t="s">
        <v>99</v>
      </c>
      <c r="O90" s="66">
        <f>9640</f>
        <v>9640</v>
      </c>
      <c r="P90" s="67" t="s">
        <v>818</v>
      </c>
      <c r="Q90" s="66">
        <f>9860</f>
        <v>9860</v>
      </c>
      <c r="R90" s="67" t="s">
        <v>50</v>
      </c>
      <c r="S90" s="68">
        <f>9800.5</f>
        <v>9800.5</v>
      </c>
      <c r="T90" s="65">
        <f>10370</f>
        <v>10370</v>
      </c>
      <c r="U90" s="65">
        <f>10</f>
        <v>10</v>
      </c>
      <c r="V90" s="65">
        <f>101777400</f>
        <v>101777400</v>
      </c>
      <c r="W90" s="65">
        <f>98600</f>
        <v>98600</v>
      </c>
      <c r="X90" s="69">
        <f>20</f>
        <v>20</v>
      </c>
    </row>
    <row r="91" spans="1:24">
      <c r="A91" s="60" t="s">
        <v>872</v>
      </c>
      <c r="B91" s="60" t="s">
        <v>316</v>
      </c>
      <c r="C91" s="60" t="s">
        <v>317</v>
      </c>
      <c r="D91" s="60" t="s">
        <v>318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2648</f>
        <v>2648</v>
      </c>
      <c r="L91" s="67" t="s">
        <v>840</v>
      </c>
      <c r="M91" s="66">
        <f>2670</f>
        <v>2670</v>
      </c>
      <c r="N91" s="67" t="s">
        <v>814</v>
      </c>
      <c r="O91" s="66">
        <f>2615</f>
        <v>2615</v>
      </c>
      <c r="P91" s="67" t="s">
        <v>95</v>
      </c>
      <c r="Q91" s="66">
        <f>2632</f>
        <v>2632</v>
      </c>
      <c r="R91" s="67" t="s">
        <v>50</v>
      </c>
      <c r="S91" s="68">
        <f>2642.7</f>
        <v>2642.7</v>
      </c>
      <c r="T91" s="65">
        <f>345557</f>
        <v>345557</v>
      </c>
      <c r="U91" s="65">
        <f>291557</f>
        <v>291557</v>
      </c>
      <c r="V91" s="65">
        <f>914187999</f>
        <v>914187999</v>
      </c>
      <c r="W91" s="65">
        <f>771862697</f>
        <v>771862697</v>
      </c>
      <c r="X91" s="69">
        <f>20</f>
        <v>20</v>
      </c>
    </row>
    <row r="92" spans="1:24">
      <c r="A92" s="60" t="s">
        <v>872</v>
      </c>
      <c r="B92" s="60" t="s">
        <v>319</v>
      </c>
      <c r="C92" s="60" t="s">
        <v>320</v>
      </c>
      <c r="D92" s="60" t="s">
        <v>321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2315</f>
        <v>2315</v>
      </c>
      <c r="L92" s="67" t="s">
        <v>840</v>
      </c>
      <c r="M92" s="66">
        <f>2330</f>
        <v>2330</v>
      </c>
      <c r="N92" s="67" t="s">
        <v>814</v>
      </c>
      <c r="O92" s="66">
        <f>2256</f>
        <v>2256</v>
      </c>
      <c r="P92" s="67" t="s">
        <v>95</v>
      </c>
      <c r="Q92" s="66">
        <f>2264</f>
        <v>2264</v>
      </c>
      <c r="R92" s="67" t="s">
        <v>50</v>
      </c>
      <c r="S92" s="68">
        <f>2292.4</f>
        <v>2292.4</v>
      </c>
      <c r="T92" s="65">
        <f>188114</f>
        <v>188114</v>
      </c>
      <c r="U92" s="65">
        <f>109640</f>
        <v>109640</v>
      </c>
      <c r="V92" s="65">
        <f>432679621</f>
        <v>432679621</v>
      </c>
      <c r="W92" s="65">
        <f>252585342</f>
        <v>252585342</v>
      </c>
      <c r="X92" s="69">
        <f>20</f>
        <v>20</v>
      </c>
    </row>
    <row r="93" spans="1:24">
      <c r="A93" s="60" t="s">
        <v>872</v>
      </c>
      <c r="B93" s="60" t="s">
        <v>322</v>
      </c>
      <c r="C93" s="60" t="s">
        <v>323</v>
      </c>
      <c r="D93" s="60" t="s">
        <v>324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11970</f>
        <v>11970</v>
      </c>
      <c r="L93" s="67" t="s">
        <v>840</v>
      </c>
      <c r="M93" s="66">
        <f>12310</f>
        <v>12310</v>
      </c>
      <c r="N93" s="67" t="s">
        <v>245</v>
      </c>
      <c r="O93" s="66">
        <f>11890</f>
        <v>11890</v>
      </c>
      <c r="P93" s="67" t="s">
        <v>119</v>
      </c>
      <c r="Q93" s="66">
        <f>12080</f>
        <v>12080</v>
      </c>
      <c r="R93" s="67" t="s">
        <v>50</v>
      </c>
      <c r="S93" s="68">
        <f>12077</f>
        <v>12077</v>
      </c>
      <c r="T93" s="65">
        <f>2993</f>
        <v>2993</v>
      </c>
      <c r="U93" s="65" t="str">
        <f>"－"</f>
        <v>－</v>
      </c>
      <c r="V93" s="65">
        <f>36232180</f>
        <v>36232180</v>
      </c>
      <c r="W93" s="65" t="str">
        <f>"－"</f>
        <v>－</v>
      </c>
      <c r="X93" s="69">
        <f>20</f>
        <v>20</v>
      </c>
    </row>
    <row r="94" spans="1:24">
      <c r="A94" s="60" t="s">
        <v>872</v>
      </c>
      <c r="B94" s="60" t="s">
        <v>325</v>
      </c>
      <c r="C94" s="60" t="s">
        <v>326</v>
      </c>
      <c r="D94" s="60" t="s">
        <v>327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8000</f>
        <v>8000</v>
      </c>
      <c r="L94" s="67" t="s">
        <v>840</v>
      </c>
      <c r="M94" s="66">
        <f>8040</f>
        <v>8040</v>
      </c>
      <c r="N94" s="67" t="s">
        <v>90</v>
      </c>
      <c r="O94" s="66">
        <f>7810</f>
        <v>7810</v>
      </c>
      <c r="P94" s="67" t="s">
        <v>50</v>
      </c>
      <c r="Q94" s="66">
        <f>7840</f>
        <v>7840</v>
      </c>
      <c r="R94" s="67" t="s">
        <v>50</v>
      </c>
      <c r="S94" s="68">
        <f>7913.5</f>
        <v>7913.5</v>
      </c>
      <c r="T94" s="65">
        <f>561</f>
        <v>561</v>
      </c>
      <c r="U94" s="65" t="str">
        <f>"－"</f>
        <v>－</v>
      </c>
      <c r="V94" s="65">
        <f>4429050</f>
        <v>4429050</v>
      </c>
      <c r="W94" s="65" t="str">
        <f>"－"</f>
        <v>－</v>
      </c>
      <c r="X94" s="69">
        <f>20</f>
        <v>20</v>
      </c>
    </row>
    <row r="95" spans="1:24">
      <c r="A95" s="60" t="s">
        <v>872</v>
      </c>
      <c r="B95" s="60" t="s">
        <v>328</v>
      </c>
      <c r="C95" s="60" t="s">
        <v>329</v>
      </c>
      <c r="D95" s="60" t="s">
        <v>330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6520</f>
        <v>6520</v>
      </c>
      <c r="L95" s="67" t="s">
        <v>840</v>
      </c>
      <c r="M95" s="66">
        <f>6550</f>
        <v>6550</v>
      </c>
      <c r="N95" s="67" t="s">
        <v>840</v>
      </c>
      <c r="O95" s="66">
        <f>6020</f>
        <v>6020</v>
      </c>
      <c r="P95" s="67" t="s">
        <v>175</v>
      </c>
      <c r="Q95" s="66">
        <f>6140</f>
        <v>6140</v>
      </c>
      <c r="R95" s="67" t="s">
        <v>50</v>
      </c>
      <c r="S95" s="68">
        <f>6291</f>
        <v>6291</v>
      </c>
      <c r="T95" s="65">
        <f>3054200</f>
        <v>3054200</v>
      </c>
      <c r="U95" s="65">
        <f>30009</f>
        <v>30009</v>
      </c>
      <c r="V95" s="65">
        <f>19194729775</f>
        <v>19194729775</v>
      </c>
      <c r="W95" s="65">
        <f>192105265</f>
        <v>192105265</v>
      </c>
      <c r="X95" s="69">
        <f>20</f>
        <v>20</v>
      </c>
    </row>
    <row r="96" spans="1:24">
      <c r="A96" s="60" t="s">
        <v>872</v>
      </c>
      <c r="B96" s="60" t="s">
        <v>331</v>
      </c>
      <c r="C96" s="60" t="s">
        <v>332</v>
      </c>
      <c r="D96" s="60" t="s">
        <v>333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3015</f>
        <v>3015</v>
      </c>
      <c r="L96" s="67" t="s">
        <v>840</v>
      </c>
      <c r="M96" s="66">
        <f>3205</f>
        <v>3205</v>
      </c>
      <c r="N96" s="67" t="s">
        <v>72</v>
      </c>
      <c r="O96" s="66">
        <f>2840</f>
        <v>2840</v>
      </c>
      <c r="P96" s="67" t="s">
        <v>175</v>
      </c>
      <c r="Q96" s="66">
        <f>2865</f>
        <v>2865</v>
      </c>
      <c r="R96" s="67" t="s">
        <v>50</v>
      </c>
      <c r="S96" s="68">
        <f>2983.35</f>
        <v>2983.35</v>
      </c>
      <c r="T96" s="65">
        <f>1467522</f>
        <v>1467522</v>
      </c>
      <c r="U96" s="65">
        <f>10001</f>
        <v>10001</v>
      </c>
      <c r="V96" s="65">
        <f>4419581458</f>
        <v>4419581458</v>
      </c>
      <c r="W96" s="65">
        <f>29393594</f>
        <v>29393594</v>
      </c>
      <c r="X96" s="69">
        <f>20</f>
        <v>20</v>
      </c>
    </row>
    <row r="97" spans="1:24">
      <c r="A97" s="60" t="s">
        <v>872</v>
      </c>
      <c r="B97" s="60" t="s">
        <v>334</v>
      </c>
      <c r="C97" s="60" t="s">
        <v>335</v>
      </c>
      <c r="D97" s="60" t="s">
        <v>336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8920</f>
        <v>8920</v>
      </c>
      <c r="L97" s="67" t="s">
        <v>840</v>
      </c>
      <c r="M97" s="66">
        <f>9050</f>
        <v>9050</v>
      </c>
      <c r="N97" s="67" t="s">
        <v>840</v>
      </c>
      <c r="O97" s="66">
        <f>6970</f>
        <v>6970</v>
      </c>
      <c r="P97" s="67" t="s">
        <v>175</v>
      </c>
      <c r="Q97" s="66">
        <f>7560</f>
        <v>7560</v>
      </c>
      <c r="R97" s="67" t="s">
        <v>50</v>
      </c>
      <c r="S97" s="68">
        <f>8200.5</f>
        <v>8200.5</v>
      </c>
      <c r="T97" s="65">
        <f>506108</f>
        <v>506108</v>
      </c>
      <c r="U97" s="65">
        <f>422</f>
        <v>422</v>
      </c>
      <c r="V97" s="65">
        <f>4032716605</f>
        <v>4032716605</v>
      </c>
      <c r="W97" s="65">
        <f>3530775</f>
        <v>3530775</v>
      </c>
      <c r="X97" s="69">
        <f>20</f>
        <v>20</v>
      </c>
    </row>
    <row r="98" spans="1:24">
      <c r="A98" s="60" t="s">
        <v>872</v>
      </c>
      <c r="B98" s="60" t="s">
        <v>337</v>
      </c>
      <c r="C98" s="60" t="s">
        <v>338</v>
      </c>
      <c r="D98" s="60" t="s">
        <v>339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70700</f>
        <v>70700</v>
      </c>
      <c r="L98" s="67" t="s">
        <v>840</v>
      </c>
      <c r="M98" s="66">
        <f>73400</f>
        <v>73400</v>
      </c>
      <c r="N98" s="67" t="s">
        <v>72</v>
      </c>
      <c r="O98" s="66">
        <f>67300</f>
        <v>67300</v>
      </c>
      <c r="P98" s="67" t="s">
        <v>99</v>
      </c>
      <c r="Q98" s="66">
        <f>70400</f>
        <v>70400</v>
      </c>
      <c r="R98" s="67" t="s">
        <v>50</v>
      </c>
      <c r="S98" s="68">
        <f>70680</f>
        <v>70680</v>
      </c>
      <c r="T98" s="65">
        <f>4467</f>
        <v>4467</v>
      </c>
      <c r="U98" s="65">
        <f>10</f>
        <v>10</v>
      </c>
      <c r="V98" s="65">
        <f>316242700</f>
        <v>316242700</v>
      </c>
      <c r="W98" s="65">
        <f>718200</f>
        <v>718200</v>
      </c>
      <c r="X98" s="69">
        <f>20</f>
        <v>20</v>
      </c>
    </row>
    <row r="99" spans="1:24">
      <c r="A99" s="60" t="s">
        <v>872</v>
      </c>
      <c r="B99" s="60" t="s">
        <v>340</v>
      </c>
      <c r="C99" s="60" t="s">
        <v>341</v>
      </c>
      <c r="D99" s="60" t="s">
        <v>342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10</v>
      </c>
      <c r="K99" s="66">
        <f>13030</f>
        <v>13030</v>
      </c>
      <c r="L99" s="67" t="s">
        <v>840</v>
      </c>
      <c r="M99" s="66">
        <f>13390</f>
        <v>13390</v>
      </c>
      <c r="N99" s="67" t="s">
        <v>814</v>
      </c>
      <c r="O99" s="66">
        <f>11480</f>
        <v>11480</v>
      </c>
      <c r="P99" s="67" t="s">
        <v>175</v>
      </c>
      <c r="Q99" s="66">
        <f>11980</f>
        <v>11980</v>
      </c>
      <c r="R99" s="67" t="s">
        <v>50</v>
      </c>
      <c r="S99" s="68">
        <f>12253</f>
        <v>12253</v>
      </c>
      <c r="T99" s="65">
        <f>3812750</f>
        <v>3812750</v>
      </c>
      <c r="U99" s="65">
        <f>280480</f>
        <v>280480</v>
      </c>
      <c r="V99" s="65">
        <f>46894331925</f>
        <v>46894331925</v>
      </c>
      <c r="W99" s="65">
        <f>3486925925</f>
        <v>3486925925</v>
      </c>
      <c r="X99" s="69">
        <f>20</f>
        <v>20</v>
      </c>
    </row>
    <row r="100" spans="1:24">
      <c r="A100" s="60" t="s">
        <v>872</v>
      </c>
      <c r="B100" s="60" t="s">
        <v>343</v>
      </c>
      <c r="C100" s="60" t="s">
        <v>344</v>
      </c>
      <c r="D100" s="60" t="s">
        <v>345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</v>
      </c>
      <c r="K100" s="66">
        <f>29270</f>
        <v>29270</v>
      </c>
      <c r="L100" s="67" t="s">
        <v>840</v>
      </c>
      <c r="M100" s="66">
        <f>30050</f>
        <v>30050</v>
      </c>
      <c r="N100" s="67" t="s">
        <v>814</v>
      </c>
      <c r="O100" s="66">
        <f>27350</f>
        <v>27350</v>
      </c>
      <c r="P100" s="67" t="s">
        <v>175</v>
      </c>
      <c r="Q100" s="66">
        <f>27950</f>
        <v>27950</v>
      </c>
      <c r="R100" s="67" t="s">
        <v>50</v>
      </c>
      <c r="S100" s="68">
        <f>28669</f>
        <v>28669</v>
      </c>
      <c r="T100" s="65">
        <f>353700</f>
        <v>353700</v>
      </c>
      <c r="U100" s="65">
        <f>20306</f>
        <v>20306</v>
      </c>
      <c r="V100" s="65">
        <f>10179082690</f>
        <v>10179082690</v>
      </c>
      <c r="W100" s="65">
        <f>584169580</f>
        <v>584169580</v>
      </c>
      <c r="X100" s="69">
        <f>20</f>
        <v>20</v>
      </c>
    </row>
    <row r="101" spans="1:24">
      <c r="A101" s="60" t="s">
        <v>872</v>
      </c>
      <c r="B101" s="60" t="s">
        <v>346</v>
      </c>
      <c r="C101" s="60" t="s">
        <v>347</v>
      </c>
      <c r="D101" s="60" t="s">
        <v>348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4040</f>
        <v>4040</v>
      </c>
      <c r="L101" s="67" t="s">
        <v>840</v>
      </c>
      <c r="M101" s="66">
        <f>4150</f>
        <v>4150</v>
      </c>
      <c r="N101" s="67" t="s">
        <v>814</v>
      </c>
      <c r="O101" s="66">
        <f>3700</f>
        <v>3700</v>
      </c>
      <c r="P101" s="67" t="s">
        <v>175</v>
      </c>
      <c r="Q101" s="66">
        <f>3805</f>
        <v>3805</v>
      </c>
      <c r="R101" s="67" t="s">
        <v>50</v>
      </c>
      <c r="S101" s="68">
        <f>3901.25</f>
        <v>3901.25</v>
      </c>
      <c r="T101" s="65">
        <f>1331670</f>
        <v>1331670</v>
      </c>
      <c r="U101" s="65">
        <f>111830</f>
        <v>111830</v>
      </c>
      <c r="V101" s="65">
        <f>5197660774</f>
        <v>5197660774</v>
      </c>
      <c r="W101" s="65">
        <f>430788324</f>
        <v>430788324</v>
      </c>
      <c r="X101" s="69">
        <f>20</f>
        <v>20</v>
      </c>
    </row>
    <row r="102" spans="1:24">
      <c r="A102" s="60" t="s">
        <v>872</v>
      </c>
      <c r="B102" s="60" t="s">
        <v>349</v>
      </c>
      <c r="C102" s="60" t="s">
        <v>350</v>
      </c>
      <c r="D102" s="60" t="s">
        <v>351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2651</f>
        <v>2651</v>
      </c>
      <c r="L102" s="67" t="s">
        <v>840</v>
      </c>
      <c r="M102" s="66">
        <f>2698</f>
        <v>2698</v>
      </c>
      <c r="N102" s="67" t="s">
        <v>814</v>
      </c>
      <c r="O102" s="66">
        <f>2465</f>
        <v>2465</v>
      </c>
      <c r="P102" s="67" t="s">
        <v>175</v>
      </c>
      <c r="Q102" s="66">
        <f>2535</f>
        <v>2535</v>
      </c>
      <c r="R102" s="67" t="s">
        <v>50</v>
      </c>
      <c r="S102" s="68">
        <f>2580.7</f>
        <v>2580.6999999999998</v>
      </c>
      <c r="T102" s="65">
        <f>218990</f>
        <v>218990</v>
      </c>
      <c r="U102" s="65">
        <f>97010</f>
        <v>97010</v>
      </c>
      <c r="V102" s="65">
        <f>565320689</f>
        <v>565320689</v>
      </c>
      <c r="W102" s="65">
        <f>253188809</f>
        <v>253188809</v>
      </c>
      <c r="X102" s="69">
        <f>20</f>
        <v>20</v>
      </c>
    </row>
    <row r="103" spans="1:24">
      <c r="A103" s="60" t="s">
        <v>872</v>
      </c>
      <c r="B103" s="60" t="s">
        <v>352</v>
      </c>
      <c r="C103" s="60" t="s">
        <v>353</v>
      </c>
      <c r="D103" s="60" t="s">
        <v>354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10</v>
      </c>
      <c r="K103" s="66">
        <f>4670</f>
        <v>4670</v>
      </c>
      <c r="L103" s="67" t="s">
        <v>840</v>
      </c>
      <c r="M103" s="66">
        <f>4835</f>
        <v>4835</v>
      </c>
      <c r="N103" s="67" t="s">
        <v>50</v>
      </c>
      <c r="O103" s="66">
        <f>4535</f>
        <v>4535</v>
      </c>
      <c r="P103" s="67" t="s">
        <v>119</v>
      </c>
      <c r="Q103" s="66">
        <f>4790</f>
        <v>4790</v>
      </c>
      <c r="R103" s="67" t="s">
        <v>50</v>
      </c>
      <c r="S103" s="68">
        <f>4685.75</f>
        <v>4685.75</v>
      </c>
      <c r="T103" s="65">
        <f>14590</f>
        <v>14590</v>
      </c>
      <c r="U103" s="65" t="str">
        <f>"－"</f>
        <v>－</v>
      </c>
      <c r="V103" s="65">
        <f>68658500</f>
        <v>68658500</v>
      </c>
      <c r="W103" s="65" t="str">
        <f>"－"</f>
        <v>－</v>
      </c>
      <c r="X103" s="69">
        <f>20</f>
        <v>20</v>
      </c>
    </row>
    <row r="104" spans="1:24">
      <c r="A104" s="60" t="s">
        <v>872</v>
      </c>
      <c r="B104" s="60" t="s">
        <v>355</v>
      </c>
      <c r="C104" s="60" t="s">
        <v>356</v>
      </c>
      <c r="D104" s="60" t="s">
        <v>357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f>9070</f>
        <v>9070</v>
      </c>
      <c r="L104" s="67" t="s">
        <v>840</v>
      </c>
      <c r="M104" s="66">
        <f>10940</f>
        <v>10940</v>
      </c>
      <c r="N104" s="67" t="s">
        <v>818</v>
      </c>
      <c r="O104" s="66">
        <f>8110</f>
        <v>8110</v>
      </c>
      <c r="P104" s="67" t="s">
        <v>822</v>
      </c>
      <c r="Q104" s="66">
        <f>8570</f>
        <v>8570</v>
      </c>
      <c r="R104" s="67" t="s">
        <v>50</v>
      </c>
      <c r="S104" s="68">
        <f>8982</f>
        <v>8982</v>
      </c>
      <c r="T104" s="65">
        <f>5596007</f>
        <v>5596007</v>
      </c>
      <c r="U104" s="65">
        <f>2121</f>
        <v>2121</v>
      </c>
      <c r="V104" s="65">
        <f>52032011645</f>
        <v>52032011645</v>
      </c>
      <c r="W104" s="65">
        <f>19386275</f>
        <v>19386275</v>
      </c>
      <c r="X104" s="69">
        <f>20</f>
        <v>20</v>
      </c>
    </row>
    <row r="105" spans="1:24">
      <c r="A105" s="60" t="s">
        <v>872</v>
      </c>
      <c r="B105" s="60" t="s">
        <v>358</v>
      </c>
      <c r="C105" s="60" t="s">
        <v>359</v>
      </c>
      <c r="D105" s="60" t="s">
        <v>360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2305</f>
        <v>2305</v>
      </c>
      <c r="L105" s="67" t="s">
        <v>840</v>
      </c>
      <c r="M105" s="66">
        <f>2345</f>
        <v>2345</v>
      </c>
      <c r="N105" s="67" t="s">
        <v>814</v>
      </c>
      <c r="O105" s="66">
        <f>2127</f>
        <v>2127</v>
      </c>
      <c r="P105" s="67" t="s">
        <v>175</v>
      </c>
      <c r="Q105" s="66">
        <f>2196</f>
        <v>2196</v>
      </c>
      <c r="R105" s="67" t="s">
        <v>50</v>
      </c>
      <c r="S105" s="68">
        <f>2239.2</f>
        <v>2239.1999999999998</v>
      </c>
      <c r="T105" s="65">
        <f>51550</f>
        <v>51550</v>
      </c>
      <c r="U105" s="65">
        <f>90</f>
        <v>90</v>
      </c>
      <c r="V105" s="65">
        <f>115165280</f>
        <v>115165280</v>
      </c>
      <c r="W105" s="65">
        <f>198330</f>
        <v>198330</v>
      </c>
      <c r="X105" s="69">
        <f>20</f>
        <v>20</v>
      </c>
    </row>
    <row r="106" spans="1:24">
      <c r="A106" s="60" t="s">
        <v>872</v>
      </c>
      <c r="B106" s="60" t="s">
        <v>361</v>
      </c>
      <c r="C106" s="60" t="s">
        <v>362</v>
      </c>
      <c r="D106" s="60" t="s">
        <v>363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10</v>
      </c>
      <c r="K106" s="66">
        <f>1380</f>
        <v>1380</v>
      </c>
      <c r="L106" s="67" t="s">
        <v>840</v>
      </c>
      <c r="M106" s="66">
        <f>1384</f>
        <v>1384</v>
      </c>
      <c r="N106" s="67" t="s">
        <v>814</v>
      </c>
      <c r="O106" s="66">
        <f>1290</f>
        <v>1290</v>
      </c>
      <c r="P106" s="67" t="s">
        <v>175</v>
      </c>
      <c r="Q106" s="66">
        <f>1315</f>
        <v>1315</v>
      </c>
      <c r="R106" s="67" t="s">
        <v>50</v>
      </c>
      <c r="S106" s="68">
        <f>1341.65</f>
        <v>1341.65</v>
      </c>
      <c r="T106" s="65">
        <f>126990</f>
        <v>126990</v>
      </c>
      <c r="U106" s="65">
        <f>20</f>
        <v>20</v>
      </c>
      <c r="V106" s="65">
        <f>170073640</f>
        <v>170073640</v>
      </c>
      <c r="W106" s="65">
        <f>26840</f>
        <v>26840</v>
      </c>
      <c r="X106" s="69">
        <f>20</f>
        <v>20</v>
      </c>
    </row>
    <row r="107" spans="1:24">
      <c r="A107" s="60" t="s">
        <v>872</v>
      </c>
      <c r="B107" s="60" t="s">
        <v>364</v>
      </c>
      <c r="C107" s="60" t="s">
        <v>365</v>
      </c>
      <c r="D107" s="60" t="s">
        <v>366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37100</f>
        <v>37100</v>
      </c>
      <c r="L107" s="67" t="s">
        <v>840</v>
      </c>
      <c r="M107" s="66">
        <f>38100</f>
        <v>38100</v>
      </c>
      <c r="N107" s="67" t="s">
        <v>814</v>
      </c>
      <c r="O107" s="66">
        <f>33800</f>
        <v>33800</v>
      </c>
      <c r="P107" s="67" t="s">
        <v>175</v>
      </c>
      <c r="Q107" s="66">
        <f>34800</f>
        <v>34800</v>
      </c>
      <c r="R107" s="67" t="s">
        <v>50</v>
      </c>
      <c r="S107" s="68">
        <f>35777.5</f>
        <v>35777.5</v>
      </c>
      <c r="T107" s="65">
        <f>234847</f>
        <v>234847</v>
      </c>
      <c r="U107" s="65" t="str">
        <f>"－"</f>
        <v>－</v>
      </c>
      <c r="V107" s="65">
        <f>8380539350</f>
        <v>8380539350</v>
      </c>
      <c r="W107" s="65" t="str">
        <f>"－"</f>
        <v>－</v>
      </c>
      <c r="X107" s="69">
        <f>20</f>
        <v>20</v>
      </c>
    </row>
    <row r="108" spans="1:24">
      <c r="A108" s="60" t="s">
        <v>872</v>
      </c>
      <c r="B108" s="60" t="s">
        <v>367</v>
      </c>
      <c r="C108" s="60" t="s">
        <v>368</v>
      </c>
      <c r="D108" s="60" t="s">
        <v>369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2731</f>
        <v>2731</v>
      </c>
      <c r="L108" s="67" t="s">
        <v>840</v>
      </c>
      <c r="M108" s="66">
        <f>2790</f>
        <v>2790</v>
      </c>
      <c r="N108" s="67" t="s">
        <v>65</v>
      </c>
      <c r="O108" s="66">
        <f>2601</f>
        <v>2601</v>
      </c>
      <c r="P108" s="67" t="s">
        <v>834</v>
      </c>
      <c r="Q108" s="66">
        <f>2688</f>
        <v>2688</v>
      </c>
      <c r="R108" s="67" t="s">
        <v>50</v>
      </c>
      <c r="S108" s="68">
        <f>2688.9</f>
        <v>2688.9</v>
      </c>
      <c r="T108" s="65">
        <f>9293</f>
        <v>9293</v>
      </c>
      <c r="U108" s="65">
        <f>2</f>
        <v>2</v>
      </c>
      <c r="V108" s="65">
        <f>24991635</f>
        <v>24991635</v>
      </c>
      <c r="W108" s="65">
        <f>5386</f>
        <v>5386</v>
      </c>
      <c r="X108" s="69">
        <f>20</f>
        <v>20</v>
      </c>
    </row>
    <row r="109" spans="1:24">
      <c r="A109" s="60" t="s">
        <v>872</v>
      </c>
      <c r="B109" s="60" t="s">
        <v>370</v>
      </c>
      <c r="C109" s="60" t="s">
        <v>371</v>
      </c>
      <c r="D109" s="60" t="s">
        <v>372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3840</f>
        <v>3840</v>
      </c>
      <c r="L109" s="67" t="s">
        <v>840</v>
      </c>
      <c r="M109" s="66">
        <f>3890</f>
        <v>3890</v>
      </c>
      <c r="N109" s="67" t="s">
        <v>814</v>
      </c>
      <c r="O109" s="66">
        <f>3660</f>
        <v>3660</v>
      </c>
      <c r="P109" s="67" t="s">
        <v>175</v>
      </c>
      <c r="Q109" s="66">
        <f>3725</f>
        <v>3725</v>
      </c>
      <c r="R109" s="67" t="s">
        <v>50</v>
      </c>
      <c r="S109" s="68">
        <f>3740.5</f>
        <v>3740.5</v>
      </c>
      <c r="T109" s="65">
        <f>3758</f>
        <v>3758</v>
      </c>
      <c r="U109" s="65" t="str">
        <f>"－"</f>
        <v>－</v>
      </c>
      <c r="V109" s="65">
        <f>14073325</f>
        <v>14073325</v>
      </c>
      <c r="W109" s="65" t="str">
        <f>"－"</f>
        <v>－</v>
      </c>
      <c r="X109" s="69">
        <f>20</f>
        <v>20</v>
      </c>
    </row>
    <row r="110" spans="1:24">
      <c r="A110" s="60" t="s">
        <v>872</v>
      </c>
      <c r="B110" s="60" t="s">
        <v>373</v>
      </c>
      <c r="C110" s="60" t="s">
        <v>374</v>
      </c>
      <c r="D110" s="60" t="s">
        <v>375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2749</f>
        <v>2749</v>
      </c>
      <c r="L110" s="67" t="s">
        <v>840</v>
      </c>
      <c r="M110" s="66">
        <f>3345</f>
        <v>3345</v>
      </c>
      <c r="N110" s="67" t="s">
        <v>50</v>
      </c>
      <c r="O110" s="66">
        <f>2741</f>
        <v>2741</v>
      </c>
      <c r="P110" s="67" t="s">
        <v>840</v>
      </c>
      <c r="Q110" s="66">
        <f>3290</f>
        <v>3290</v>
      </c>
      <c r="R110" s="67" t="s">
        <v>50</v>
      </c>
      <c r="S110" s="68">
        <f>3056.2</f>
        <v>3056.2</v>
      </c>
      <c r="T110" s="65">
        <f>338085</f>
        <v>338085</v>
      </c>
      <c r="U110" s="65">
        <f>76</f>
        <v>76</v>
      </c>
      <c r="V110" s="65">
        <f>1035656274</f>
        <v>1035656274</v>
      </c>
      <c r="W110" s="65">
        <f>231334</f>
        <v>231334</v>
      </c>
      <c r="X110" s="69">
        <f>20</f>
        <v>20</v>
      </c>
    </row>
    <row r="111" spans="1:24">
      <c r="A111" s="60" t="s">
        <v>872</v>
      </c>
      <c r="B111" s="60" t="s">
        <v>376</v>
      </c>
      <c r="C111" s="60" t="s">
        <v>845</v>
      </c>
      <c r="D111" s="60" t="s">
        <v>378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f>44250</f>
        <v>44250</v>
      </c>
      <c r="L111" s="67" t="s">
        <v>840</v>
      </c>
      <c r="M111" s="66">
        <f>44700</f>
        <v>44700</v>
      </c>
      <c r="N111" s="67" t="s">
        <v>100</v>
      </c>
      <c r="O111" s="66">
        <f>42700</f>
        <v>42700</v>
      </c>
      <c r="P111" s="67" t="s">
        <v>245</v>
      </c>
      <c r="Q111" s="66">
        <f>43000</f>
        <v>43000</v>
      </c>
      <c r="R111" s="67" t="s">
        <v>50</v>
      </c>
      <c r="S111" s="68">
        <f>43692.5</f>
        <v>43692.5</v>
      </c>
      <c r="T111" s="65">
        <f>13890</f>
        <v>13890</v>
      </c>
      <c r="U111" s="65">
        <f>1145</f>
        <v>1145</v>
      </c>
      <c r="V111" s="65">
        <f>608168072</f>
        <v>608168072</v>
      </c>
      <c r="W111" s="65">
        <f>50847072</f>
        <v>50847072</v>
      </c>
      <c r="X111" s="69">
        <f>20</f>
        <v>20</v>
      </c>
    </row>
    <row r="112" spans="1:24">
      <c r="A112" s="60" t="s">
        <v>872</v>
      </c>
      <c r="B112" s="60" t="s">
        <v>379</v>
      </c>
      <c r="C112" s="60" t="s">
        <v>380</v>
      </c>
      <c r="D112" s="60" t="s">
        <v>381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f>1150</f>
        <v>1150</v>
      </c>
      <c r="L112" s="67" t="s">
        <v>840</v>
      </c>
      <c r="M112" s="66">
        <f>1150</f>
        <v>1150</v>
      </c>
      <c r="N112" s="67" t="s">
        <v>840</v>
      </c>
      <c r="O112" s="66">
        <f>1150</f>
        <v>1150</v>
      </c>
      <c r="P112" s="67" t="s">
        <v>840</v>
      </c>
      <c r="Q112" s="66">
        <f>1150</f>
        <v>1150</v>
      </c>
      <c r="R112" s="67" t="s">
        <v>840</v>
      </c>
      <c r="S112" s="68">
        <f>1150</f>
        <v>1150</v>
      </c>
      <c r="T112" s="65">
        <f>10</f>
        <v>10</v>
      </c>
      <c r="U112" s="65" t="str">
        <f>"－"</f>
        <v>－</v>
      </c>
      <c r="V112" s="65">
        <f>11500</f>
        <v>11500</v>
      </c>
      <c r="W112" s="65" t="str">
        <f>"－"</f>
        <v>－</v>
      </c>
      <c r="X112" s="69">
        <f>1</f>
        <v>1</v>
      </c>
    </row>
    <row r="113" spans="1:24">
      <c r="A113" s="60" t="s">
        <v>872</v>
      </c>
      <c r="B113" s="60" t="s">
        <v>382</v>
      </c>
      <c r="C113" s="60" t="s">
        <v>383</v>
      </c>
      <c r="D113" s="60" t="s">
        <v>384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16170</f>
        <v>16170</v>
      </c>
      <c r="L113" s="67" t="s">
        <v>840</v>
      </c>
      <c r="M113" s="66">
        <f>17610</f>
        <v>17610</v>
      </c>
      <c r="N113" s="67" t="s">
        <v>245</v>
      </c>
      <c r="O113" s="66">
        <f>15770</f>
        <v>15770</v>
      </c>
      <c r="P113" s="67" t="s">
        <v>119</v>
      </c>
      <c r="Q113" s="66">
        <f>16660</f>
        <v>16660</v>
      </c>
      <c r="R113" s="67" t="s">
        <v>50</v>
      </c>
      <c r="S113" s="68">
        <f>16600</f>
        <v>16600</v>
      </c>
      <c r="T113" s="65">
        <f>2251200</f>
        <v>2251200</v>
      </c>
      <c r="U113" s="65">
        <f>100</f>
        <v>100</v>
      </c>
      <c r="V113" s="65">
        <f>37347263300</f>
        <v>37347263300</v>
      </c>
      <c r="W113" s="65">
        <f>1628400</f>
        <v>1628400</v>
      </c>
      <c r="X113" s="69">
        <f>20</f>
        <v>20</v>
      </c>
    </row>
    <row r="114" spans="1:24">
      <c r="A114" s="60" t="s">
        <v>872</v>
      </c>
      <c r="B114" s="60" t="s">
        <v>385</v>
      </c>
      <c r="C114" s="60" t="s">
        <v>386</v>
      </c>
      <c r="D114" s="60" t="s">
        <v>387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f>2831</f>
        <v>2831</v>
      </c>
      <c r="L114" s="67" t="s">
        <v>840</v>
      </c>
      <c r="M114" s="66">
        <f>2861</f>
        <v>2861</v>
      </c>
      <c r="N114" s="67" t="s">
        <v>119</v>
      </c>
      <c r="O114" s="66">
        <f>2703</f>
        <v>2703</v>
      </c>
      <c r="P114" s="67" t="s">
        <v>245</v>
      </c>
      <c r="Q114" s="66">
        <f>2777</f>
        <v>2777</v>
      </c>
      <c r="R114" s="67" t="s">
        <v>50</v>
      </c>
      <c r="S114" s="68">
        <f>2788.8</f>
        <v>2788.8</v>
      </c>
      <c r="T114" s="65">
        <f>902310</f>
        <v>902310</v>
      </c>
      <c r="U114" s="65">
        <f>6040</f>
        <v>6040</v>
      </c>
      <c r="V114" s="65">
        <f>2528026110</f>
        <v>2528026110</v>
      </c>
      <c r="W114" s="65">
        <f>16617760</f>
        <v>16617760</v>
      </c>
      <c r="X114" s="69">
        <f>20</f>
        <v>20</v>
      </c>
    </row>
    <row r="115" spans="1:24">
      <c r="A115" s="60" t="s">
        <v>872</v>
      </c>
      <c r="B115" s="60" t="s">
        <v>388</v>
      </c>
      <c r="C115" s="60" t="s">
        <v>389</v>
      </c>
      <c r="D115" s="60" t="s">
        <v>390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20300</f>
        <v>20300</v>
      </c>
      <c r="L115" s="67" t="s">
        <v>840</v>
      </c>
      <c r="M115" s="66">
        <f>21460</f>
        <v>21460</v>
      </c>
      <c r="N115" s="67" t="s">
        <v>245</v>
      </c>
      <c r="O115" s="66">
        <f>19920</f>
        <v>19920</v>
      </c>
      <c r="P115" s="67" t="s">
        <v>119</v>
      </c>
      <c r="Q115" s="66">
        <f>20700</f>
        <v>20700</v>
      </c>
      <c r="R115" s="67" t="s">
        <v>50</v>
      </c>
      <c r="S115" s="68">
        <f>20691.5</f>
        <v>20691.5</v>
      </c>
      <c r="T115" s="65">
        <f>115567051</f>
        <v>115567051</v>
      </c>
      <c r="U115" s="65">
        <f>118136</f>
        <v>118136</v>
      </c>
      <c r="V115" s="65">
        <f>2384586866106</f>
        <v>2384586866106</v>
      </c>
      <c r="W115" s="65">
        <f>2450410646</f>
        <v>2450410646</v>
      </c>
      <c r="X115" s="69">
        <f>20</f>
        <v>20</v>
      </c>
    </row>
    <row r="116" spans="1:24">
      <c r="A116" s="60" t="s">
        <v>872</v>
      </c>
      <c r="B116" s="60" t="s">
        <v>391</v>
      </c>
      <c r="C116" s="60" t="s">
        <v>392</v>
      </c>
      <c r="D116" s="60" t="s">
        <v>393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</v>
      </c>
      <c r="K116" s="66">
        <f>1329</f>
        <v>1329</v>
      </c>
      <c r="L116" s="67" t="s">
        <v>840</v>
      </c>
      <c r="M116" s="66">
        <f>1339</f>
        <v>1339</v>
      </c>
      <c r="N116" s="67" t="s">
        <v>119</v>
      </c>
      <c r="O116" s="66">
        <f>1287</f>
        <v>1287</v>
      </c>
      <c r="P116" s="67" t="s">
        <v>245</v>
      </c>
      <c r="Q116" s="66">
        <f>1311</f>
        <v>1311</v>
      </c>
      <c r="R116" s="67" t="s">
        <v>50</v>
      </c>
      <c r="S116" s="68">
        <f>1314</f>
        <v>1314</v>
      </c>
      <c r="T116" s="65">
        <f>10458362</f>
        <v>10458362</v>
      </c>
      <c r="U116" s="65">
        <f>378994</f>
        <v>378994</v>
      </c>
      <c r="V116" s="65">
        <f>13737020292</f>
        <v>13737020292</v>
      </c>
      <c r="W116" s="65">
        <f>493736991</f>
        <v>493736991</v>
      </c>
      <c r="X116" s="69">
        <f>20</f>
        <v>20</v>
      </c>
    </row>
    <row r="117" spans="1:24">
      <c r="A117" s="60" t="s">
        <v>872</v>
      </c>
      <c r="B117" s="60" t="s">
        <v>394</v>
      </c>
      <c r="C117" s="60" t="s">
        <v>395</v>
      </c>
      <c r="D117" s="60" t="s">
        <v>396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10080</f>
        <v>10080</v>
      </c>
      <c r="L117" s="67" t="s">
        <v>840</v>
      </c>
      <c r="M117" s="66">
        <f>10080</f>
        <v>10080</v>
      </c>
      <c r="N117" s="67" t="s">
        <v>840</v>
      </c>
      <c r="O117" s="66">
        <f>8450</f>
        <v>8450</v>
      </c>
      <c r="P117" s="67" t="s">
        <v>816</v>
      </c>
      <c r="Q117" s="66">
        <f>8860</f>
        <v>8860</v>
      </c>
      <c r="R117" s="67" t="s">
        <v>50</v>
      </c>
      <c r="S117" s="68">
        <f>9204.5</f>
        <v>9204.5</v>
      </c>
      <c r="T117" s="65">
        <f>9720</f>
        <v>9720</v>
      </c>
      <c r="U117" s="65">
        <f>10</f>
        <v>10</v>
      </c>
      <c r="V117" s="65">
        <f>89701600</f>
        <v>89701600</v>
      </c>
      <c r="W117" s="65">
        <f>94200</f>
        <v>94200</v>
      </c>
      <c r="X117" s="69">
        <f>20</f>
        <v>20</v>
      </c>
    </row>
    <row r="118" spans="1:24">
      <c r="A118" s="60" t="s">
        <v>872</v>
      </c>
      <c r="B118" s="60" t="s">
        <v>397</v>
      </c>
      <c r="C118" s="60" t="s">
        <v>398</v>
      </c>
      <c r="D118" s="60" t="s">
        <v>399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f>7200</f>
        <v>7200</v>
      </c>
      <c r="L118" s="67" t="s">
        <v>840</v>
      </c>
      <c r="M118" s="66">
        <f>7730</f>
        <v>7730</v>
      </c>
      <c r="N118" s="67" t="s">
        <v>95</v>
      </c>
      <c r="O118" s="66">
        <f>7150</f>
        <v>7150</v>
      </c>
      <c r="P118" s="67" t="s">
        <v>814</v>
      </c>
      <c r="Q118" s="66">
        <f>7660</f>
        <v>7660</v>
      </c>
      <c r="R118" s="67" t="s">
        <v>50</v>
      </c>
      <c r="S118" s="68">
        <f>7459.47</f>
        <v>7459.47</v>
      </c>
      <c r="T118" s="65">
        <f>8100</f>
        <v>8100</v>
      </c>
      <c r="U118" s="65" t="str">
        <f>"－"</f>
        <v>－</v>
      </c>
      <c r="V118" s="65">
        <f>60305200</f>
        <v>60305200</v>
      </c>
      <c r="W118" s="65" t="str">
        <f>"－"</f>
        <v>－</v>
      </c>
      <c r="X118" s="69">
        <f>19</f>
        <v>19</v>
      </c>
    </row>
    <row r="119" spans="1:24">
      <c r="A119" s="60" t="s">
        <v>872</v>
      </c>
      <c r="B119" s="60" t="s">
        <v>400</v>
      </c>
      <c r="C119" s="60" t="s">
        <v>401</v>
      </c>
      <c r="D119" s="60" t="s">
        <v>402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1491</f>
        <v>1491</v>
      </c>
      <c r="L119" s="67" t="s">
        <v>100</v>
      </c>
      <c r="M119" s="66">
        <f>1491</f>
        <v>1491</v>
      </c>
      <c r="N119" s="67" t="s">
        <v>100</v>
      </c>
      <c r="O119" s="66">
        <f>1401</f>
        <v>1401</v>
      </c>
      <c r="P119" s="67" t="s">
        <v>61</v>
      </c>
      <c r="Q119" s="66">
        <f>1432</f>
        <v>1432</v>
      </c>
      <c r="R119" s="67" t="s">
        <v>175</v>
      </c>
      <c r="S119" s="68">
        <f>1451</f>
        <v>1451</v>
      </c>
      <c r="T119" s="65">
        <f>1500</f>
        <v>1500</v>
      </c>
      <c r="U119" s="65" t="str">
        <f>"－"</f>
        <v>－</v>
      </c>
      <c r="V119" s="65">
        <f>2164230</f>
        <v>2164230</v>
      </c>
      <c r="W119" s="65" t="str">
        <f>"－"</f>
        <v>－</v>
      </c>
      <c r="X119" s="69">
        <f>6</f>
        <v>6</v>
      </c>
    </row>
    <row r="120" spans="1:24">
      <c r="A120" s="60" t="s">
        <v>872</v>
      </c>
      <c r="B120" s="60" t="s">
        <v>403</v>
      </c>
      <c r="C120" s="60" t="s">
        <v>404</v>
      </c>
      <c r="D120" s="60" t="s">
        <v>405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f>724</f>
        <v>724</v>
      </c>
      <c r="L120" s="67" t="s">
        <v>840</v>
      </c>
      <c r="M120" s="66">
        <f>735</f>
        <v>735</v>
      </c>
      <c r="N120" s="67" t="s">
        <v>72</v>
      </c>
      <c r="O120" s="66">
        <f>669</f>
        <v>669</v>
      </c>
      <c r="P120" s="67" t="s">
        <v>95</v>
      </c>
      <c r="Q120" s="66">
        <f>691</f>
        <v>691</v>
      </c>
      <c r="R120" s="67" t="s">
        <v>50</v>
      </c>
      <c r="S120" s="68">
        <f>701.16</f>
        <v>701.16</v>
      </c>
      <c r="T120" s="65">
        <f>3800</f>
        <v>3800</v>
      </c>
      <c r="U120" s="65" t="str">
        <f>"－"</f>
        <v>－</v>
      </c>
      <c r="V120" s="65">
        <f>2678930</f>
        <v>2678930</v>
      </c>
      <c r="W120" s="65" t="str">
        <f>"－"</f>
        <v>－</v>
      </c>
      <c r="X120" s="69">
        <f>19</f>
        <v>19</v>
      </c>
    </row>
    <row r="121" spans="1:24">
      <c r="A121" s="60" t="s">
        <v>872</v>
      </c>
      <c r="B121" s="60" t="s">
        <v>406</v>
      </c>
      <c r="C121" s="60" t="s">
        <v>407</v>
      </c>
      <c r="D121" s="60" t="s">
        <v>408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10</v>
      </c>
      <c r="K121" s="66">
        <f>690</f>
        <v>690</v>
      </c>
      <c r="L121" s="67" t="s">
        <v>840</v>
      </c>
      <c r="M121" s="66">
        <f>708</f>
        <v>708</v>
      </c>
      <c r="N121" s="67" t="s">
        <v>840</v>
      </c>
      <c r="O121" s="66">
        <f>670</f>
        <v>670</v>
      </c>
      <c r="P121" s="67" t="s">
        <v>61</v>
      </c>
      <c r="Q121" s="66">
        <f>682</f>
        <v>682</v>
      </c>
      <c r="R121" s="67" t="s">
        <v>50</v>
      </c>
      <c r="S121" s="68">
        <f>684.53</f>
        <v>684.53</v>
      </c>
      <c r="T121" s="65">
        <f>3620</f>
        <v>3620</v>
      </c>
      <c r="U121" s="65" t="str">
        <f>"－"</f>
        <v>－</v>
      </c>
      <c r="V121" s="65">
        <f>2493090</f>
        <v>2493090</v>
      </c>
      <c r="W121" s="65" t="str">
        <f>"－"</f>
        <v>－</v>
      </c>
      <c r="X121" s="69">
        <f>15</f>
        <v>15</v>
      </c>
    </row>
    <row r="122" spans="1:24">
      <c r="A122" s="60" t="s">
        <v>872</v>
      </c>
      <c r="B122" s="60" t="s">
        <v>409</v>
      </c>
      <c r="C122" s="60" t="s">
        <v>410</v>
      </c>
      <c r="D122" s="60" t="s">
        <v>411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</v>
      </c>
      <c r="K122" s="66">
        <f>18700</f>
        <v>18700</v>
      </c>
      <c r="L122" s="67" t="s">
        <v>840</v>
      </c>
      <c r="M122" s="66">
        <f>19400</f>
        <v>19400</v>
      </c>
      <c r="N122" s="67" t="s">
        <v>90</v>
      </c>
      <c r="O122" s="66">
        <f>18530</f>
        <v>18530</v>
      </c>
      <c r="P122" s="67" t="s">
        <v>816</v>
      </c>
      <c r="Q122" s="66">
        <f>18590</f>
        <v>18590</v>
      </c>
      <c r="R122" s="67" t="s">
        <v>50</v>
      </c>
      <c r="S122" s="68">
        <f>18897</f>
        <v>18897</v>
      </c>
      <c r="T122" s="65">
        <f>32942</f>
        <v>32942</v>
      </c>
      <c r="U122" s="65">
        <f>47</f>
        <v>47</v>
      </c>
      <c r="V122" s="65">
        <f>620411200</f>
        <v>620411200</v>
      </c>
      <c r="W122" s="65">
        <f>909700</f>
        <v>909700</v>
      </c>
      <c r="X122" s="69">
        <f>20</f>
        <v>20</v>
      </c>
    </row>
    <row r="123" spans="1:24">
      <c r="A123" s="60" t="s">
        <v>872</v>
      </c>
      <c r="B123" s="60" t="s">
        <v>412</v>
      </c>
      <c r="C123" s="60" t="s">
        <v>413</v>
      </c>
      <c r="D123" s="60" t="s">
        <v>414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f>1838</f>
        <v>1838</v>
      </c>
      <c r="L123" s="67" t="s">
        <v>840</v>
      </c>
      <c r="M123" s="66">
        <f>1891</f>
        <v>1891</v>
      </c>
      <c r="N123" s="67" t="s">
        <v>245</v>
      </c>
      <c r="O123" s="66">
        <f>1822</f>
        <v>1822</v>
      </c>
      <c r="P123" s="67" t="s">
        <v>119</v>
      </c>
      <c r="Q123" s="66">
        <f>1856</f>
        <v>1856</v>
      </c>
      <c r="R123" s="67" t="s">
        <v>50</v>
      </c>
      <c r="S123" s="68">
        <f>1856.3</f>
        <v>1856.3</v>
      </c>
      <c r="T123" s="65">
        <f>22810</f>
        <v>22810</v>
      </c>
      <c r="U123" s="65" t="str">
        <f>"－"</f>
        <v>－</v>
      </c>
      <c r="V123" s="65">
        <f>42354629</f>
        <v>42354629</v>
      </c>
      <c r="W123" s="65" t="str">
        <f>"－"</f>
        <v>－</v>
      </c>
      <c r="X123" s="69">
        <f>20</f>
        <v>20</v>
      </c>
    </row>
    <row r="124" spans="1:24">
      <c r="A124" s="60" t="s">
        <v>872</v>
      </c>
      <c r="B124" s="60" t="s">
        <v>415</v>
      </c>
      <c r="C124" s="60" t="s">
        <v>416</v>
      </c>
      <c r="D124" s="60" t="s">
        <v>417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f>21620</f>
        <v>21620</v>
      </c>
      <c r="L124" s="67" t="s">
        <v>840</v>
      </c>
      <c r="M124" s="66">
        <f>22990</f>
        <v>22990</v>
      </c>
      <c r="N124" s="67" t="s">
        <v>245</v>
      </c>
      <c r="O124" s="66">
        <f>21210</f>
        <v>21210</v>
      </c>
      <c r="P124" s="67" t="s">
        <v>119</v>
      </c>
      <c r="Q124" s="66">
        <f>22040</f>
        <v>22040</v>
      </c>
      <c r="R124" s="67" t="s">
        <v>50</v>
      </c>
      <c r="S124" s="68">
        <f>22032</f>
        <v>22032</v>
      </c>
      <c r="T124" s="65">
        <f>8579180</f>
        <v>8579180</v>
      </c>
      <c r="U124" s="65">
        <f>21990</f>
        <v>21990</v>
      </c>
      <c r="V124" s="65">
        <f>189140211352</f>
        <v>189140211352</v>
      </c>
      <c r="W124" s="65">
        <f>484128552</f>
        <v>484128552</v>
      </c>
      <c r="X124" s="69">
        <f>20</f>
        <v>20</v>
      </c>
    </row>
    <row r="125" spans="1:24">
      <c r="A125" s="60" t="s">
        <v>872</v>
      </c>
      <c r="B125" s="60" t="s">
        <v>418</v>
      </c>
      <c r="C125" s="60" t="s">
        <v>419</v>
      </c>
      <c r="D125" s="60" t="s">
        <v>420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3535</f>
        <v>3535</v>
      </c>
      <c r="L125" s="67" t="s">
        <v>840</v>
      </c>
      <c r="M125" s="66">
        <f>3570</f>
        <v>3570</v>
      </c>
      <c r="N125" s="67" t="s">
        <v>119</v>
      </c>
      <c r="O125" s="66">
        <f>3435</f>
        <v>3435</v>
      </c>
      <c r="P125" s="67" t="s">
        <v>245</v>
      </c>
      <c r="Q125" s="66">
        <f>3495</f>
        <v>3495</v>
      </c>
      <c r="R125" s="67" t="s">
        <v>50</v>
      </c>
      <c r="S125" s="68">
        <f>3501</f>
        <v>3501</v>
      </c>
      <c r="T125" s="65">
        <f>539010</f>
        <v>539010</v>
      </c>
      <c r="U125" s="65">
        <f>33000</f>
        <v>33000</v>
      </c>
      <c r="V125" s="65">
        <f>1890884635</f>
        <v>1890884635</v>
      </c>
      <c r="W125" s="65">
        <f>114548785</f>
        <v>114548785</v>
      </c>
      <c r="X125" s="69">
        <f>20</f>
        <v>20</v>
      </c>
    </row>
    <row r="126" spans="1:24">
      <c r="A126" s="60" t="s">
        <v>872</v>
      </c>
      <c r="B126" s="60" t="s">
        <v>421</v>
      </c>
      <c r="C126" s="60" t="s">
        <v>422</v>
      </c>
      <c r="D126" s="60" t="s">
        <v>423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f>665</f>
        <v>665</v>
      </c>
      <c r="L126" s="67" t="s">
        <v>818</v>
      </c>
      <c r="M126" s="66">
        <f>720</f>
        <v>720</v>
      </c>
      <c r="N126" s="67" t="s">
        <v>100</v>
      </c>
      <c r="O126" s="66">
        <f>645</f>
        <v>645</v>
      </c>
      <c r="P126" s="67" t="s">
        <v>100</v>
      </c>
      <c r="Q126" s="66">
        <f>680</f>
        <v>680</v>
      </c>
      <c r="R126" s="67" t="s">
        <v>816</v>
      </c>
      <c r="S126" s="68">
        <f>687.5</f>
        <v>687.5</v>
      </c>
      <c r="T126" s="65">
        <f>1220</f>
        <v>1220</v>
      </c>
      <c r="U126" s="65" t="str">
        <f>"－"</f>
        <v>－</v>
      </c>
      <c r="V126" s="65">
        <f>832000</f>
        <v>832000</v>
      </c>
      <c r="W126" s="65" t="str">
        <f>"－"</f>
        <v>－</v>
      </c>
      <c r="X126" s="69">
        <f>6</f>
        <v>6</v>
      </c>
    </row>
    <row r="127" spans="1:24">
      <c r="A127" s="60" t="s">
        <v>872</v>
      </c>
      <c r="B127" s="60" t="s">
        <v>424</v>
      </c>
      <c r="C127" s="60" t="s">
        <v>425</v>
      </c>
      <c r="D127" s="60" t="s">
        <v>841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f>1268</f>
        <v>1268</v>
      </c>
      <c r="L127" s="67" t="s">
        <v>840</v>
      </c>
      <c r="M127" s="66">
        <f>1322</f>
        <v>1322</v>
      </c>
      <c r="N127" s="67" t="s">
        <v>245</v>
      </c>
      <c r="O127" s="66">
        <f>1255</f>
        <v>1255</v>
      </c>
      <c r="P127" s="67" t="s">
        <v>119</v>
      </c>
      <c r="Q127" s="66">
        <f>1300</f>
        <v>1300</v>
      </c>
      <c r="R127" s="67" t="s">
        <v>50</v>
      </c>
      <c r="S127" s="68">
        <f>1284.71</f>
        <v>1284.71</v>
      </c>
      <c r="T127" s="65">
        <f>3790</f>
        <v>3790</v>
      </c>
      <c r="U127" s="65" t="str">
        <f>"－"</f>
        <v>－</v>
      </c>
      <c r="V127" s="65">
        <f>4852940</f>
        <v>4852940</v>
      </c>
      <c r="W127" s="65" t="str">
        <f>"－"</f>
        <v>－</v>
      </c>
      <c r="X127" s="69">
        <f>17</f>
        <v>17</v>
      </c>
    </row>
    <row r="128" spans="1:24">
      <c r="A128" s="60" t="s">
        <v>872</v>
      </c>
      <c r="B128" s="60" t="s">
        <v>427</v>
      </c>
      <c r="C128" s="60" t="s">
        <v>428</v>
      </c>
      <c r="D128" s="60" t="s">
        <v>429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f>1401</f>
        <v>1401</v>
      </c>
      <c r="L128" s="67" t="s">
        <v>840</v>
      </c>
      <c r="M128" s="66">
        <f>1519</f>
        <v>1519</v>
      </c>
      <c r="N128" s="67" t="s">
        <v>86</v>
      </c>
      <c r="O128" s="66">
        <f>1330</f>
        <v>1330</v>
      </c>
      <c r="P128" s="67" t="s">
        <v>840</v>
      </c>
      <c r="Q128" s="66">
        <f>1499</f>
        <v>1499</v>
      </c>
      <c r="R128" s="67" t="s">
        <v>50</v>
      </c>
      <c r="S128" s="68">
        <f>1442.16</f>
        <v>1442.16</v>
      </c>
      <c r="T128" s="65">
        <f>4529</f>
        <v>4529</v>
      </c>
      <c r="U128" s="65" t="str">
        <f>"－"</f>
        <v>－</v>
      </c>
      <c r="V128" s="65">
        <f>6698996</f>
        <v>6698996</v>
      </c>
      <c r="W128" s="65" t="str">
        <f>"－"</f>
        <v>－</v>
      </c>
      <c r="X128" s="69">
        <f>19</f>
        <v>19</v>
      </c>
    </row>
    <row r="129" spans="1:24">
      <c r="A129" s="60" t="s">
        <v>872</v>
      </c>
      <c r="B129" s="60" t="s">
        <v>430</v>
      </c>
      <c r="C129" s="60" t="s">
        <v>431</v>
      </c>
      <c r="D129" s="60" t="s">
        <v>432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14630</f>
        <v>14630</v>
      </c>
      <c r="L129" s="67" t="s">
        <v>840</v>
      </c>
      <c r="M129" s="66">
        <f>15160</f>
        <v>15160</v>
      </c>
      <c r="N129" s="67" t="s">
        <v>245</v>
      </c>
      <c r="O129" s="66">
        <f>14430</f>
        <v>14430</v>
      </c>
      <c r="P129" s="67" t="s">
        <v>119</v>
      </c>
      <c r="Q129" s="66">
        <f>14730</f>
        <v>14730</v>
      </c>
      <c r="R129" s="67" t="s">
        <v>50</v>
      </c>
      <c r="S129" s="68">
        <f>14767.5</f>
        <v>14767.5</v>
      </c>
      <c r="T129" s="65">
        <f>113947</f>
        <v>113947</v>
      </c>
      <c r="U129" s="65">
        <f>6064</f>
        <v>6064</v>
      </c>
      <c r="V129" s="65">
        <f>1684165887</f>
        <v>1684165887</v>
      </c>
      <c r="W129" s="65">
        <f>88828597</f>
        <v>88828597</v>
      </c>
      <c r="X129" s="69">
        <f>20</f>
        <v>20</v>
      </c>
    </row>
    <row r="130" spans="1:24">
      <c r="A130" s="60" t="s">
        <v>872</v>
      </c>
      <c r="B130" s="60" t="s">
        <v>433</v>
      </c>
      <c r="C130" s="60" t="s">
        <v>434</v>
      </c>
      <c r="D130" s="60" t="s">
        <v>435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</v>
      </c>
      <c r="K130" s="66">
        <f>1330</f>
        <v>1330</v>
      </c>
      <c r="L130" s="67" t="s">
        <v>840</v>
      </c>
      <c r="M130" s="66">
        <f>1381</f>
        <v>1381</v>
      </c>
      <c r="N130" s="67" t="s">
        <v>245</v>
      </c>
      <c r="O130" s="66">
        <f>1317</f>
        <v>1317</v>
      </c>
      <c r="P130" s="67" t="s">
        <v>119</v>
      </c>
      <c r="Q130" s="66">
        <f>1345</f>
        <v>1345</v>
      </c>
      <c r="R130" s="67" t="s">
        <v>50</v>
      </c>
      <c r="S130" s="68">
        <f>1345.1</f>
        <v>1345.1</v>
      </c>
      <c r="T130" s="65">
        <f>215159</f>
        <v>215159</v>
      </c>
      <c r="U130" s="65">
        <f>118459</f>
        <v>118459</v>
      </c>
      <c r="V130" s="65">
        <f>288632170</f>
        <v>288632170</v>
      </c>
      <c r="W130" s="65">
        <f>158142765</f>
        <v>158142765</v>
      </c>
      <c r="X130" s="69">
        <f>20</f>
        <v>20</v>
      </c>
    </row>
    <row r="131" spans="1:24">
      <c r="A131" s="60" t="s">
        <v>872</v>
      </c>
      <c r="B131" s="60" t="s">
        <v>436</v>
      </c>
      <c r="C131" s="60" t="s">
        <v>437</v>
      </c>
      <c r="D131" s="60" t="s">
        <v>438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f>14880</f>
        <v>14880</v>
      </c>
      <c r="L131" s="67" t="s">
        <v>840</v>
      </c>
      <c r="M131" s="66">
        <f>15420</f>
        <v>15420</v>
      </c>
      <c r="N131" s="67" t="s">
        <v>245</v>
      </c>
      <c r="O131" s="66">
        <f>14680</f>
        <v>14680</v>
      </c>
      <c r="P131" s="67" t="s">
        <v>119</v>
      </c>
      <c r="Q131" s="66">
        <f>15050</f>
        <v>15050</v>
      </c>
      <c r="R131" s="67" t="s">
        <v>50</v>
      </c>
      <c r="S131" s="68">
        <f>15040.5</f>
        <v>15040.5</v>
      </c>
      <c r="T131" s="65">
        <f>31364</f>
        <v>31364</v>
      </c>
      <c r="U131" s="65">
        <f>121</f>
        <v>121</v>
      </c>
      <c r="V131" s="65">
        <f>469831090</f>
        <v>469831090</v>
      </c>
      <c r="W131" s="65">
        <f>1800660</f>
        <v>1800660</v>
      </c>
      <c r="X131" s="69">
        <f>20</f>
        <v>20</v>
      </c>
    </row>
    <row r="132" spans="1:24">
      <c r="A132" s="60" t="s">
        <v>872</v>
      </c>
      <c r="B132" s="60" t="s">
        <v>439</v>
      </c>
      <c r="C132" s="60" t="s">
        <v>440</v>
      </c>
      <c r="D132" s="60" t="s">
        <v>441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f>1778</f>
        <v>1778</v>
      </c>
      <c r="L132" s="67" t="s">
        <v>840</v>
      </c>
      <c r="M132" s="66">
        <f>1800</f>
        <v>1800</v>
      </c>
      <c r="N132" s="67" t="s">
        <v>822</v>
      </c>
      <c r="O132" s="66">
        <f>1713</f>
        <v>1713</v>
      </c>
      <c r="P132" s="67" t="s">
        <v>99</v>
      </c>
      <c r="Q132" s="66">
        <f>1767</f>
        <v>1767</v>
      </c>
      <c r="R132" s="67" t="s">
        <v>50</v>
      </c>
      <c r="S132" s="68">
        <f>1758.3</f>
        <v>1758.3</v>
      </c>
      <c r="T132" s="65">
        <f>1379710</f>
        <v>1379710</v>
      </c>
      <c r="U132" s="65">
        <f>220000</f>
        <v>220000</v>
      </c>
      <c r="V132" s="65">
        <f>2428001820</f>
        <v>2428001820</v>
      </c>
      <c r="W132" s="65">
        <f>388156200</f>
        <v>388156200</v>
      </c>
      <c r="X132" s="69">
        <f>20</f>
        <v>20</v>
      </c>
    </row>
    <row r="133" spans="1:24">
      <c r="A133" s="60" t="s">
        <v>872</v>
      </c>
      <c r="B133" s="60" t="s">
        <v>442</v>
      </c>
      <c r="C133" s="60" t="s">
        <v>443</v>
      </c>
      <c r="D133" s="60" t="s">
        <v>444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10</v>
      </c>
      <c r="K133" s="66">
        <f>1442</f>
        <v>1442</v>
      </c>
      <c r="L133" s="67" t="s">
        <v>814</v>
      </c>
      <c r="M133" s="66">
        <f>1450</f>
        <v>1450</v>
      </c>
      <c r="N133" s="67" t="s">
        <v>90</v>
      </c>
      <c r="O133" s="66">
        <f>1412</f>
        <v>1412</v>
      </c>
      <c r="P133" s="67" t="s">
        <v>119</v>
      </c>
      <c r="Q133" s="66">
        <f>1450</f>
        <v>1450</v>
      </c>
      <c r="R133" s="67" t="s">
        <v>90</v>
      </c>
      <c r="S133" s="68">
        <f>1434.67</f>
        <v>1434.67</v>
      </c>
      <c r="T133" s="65">
        <f>40</f>
        <v>40</v>
      </c>
      <c r="U133" s="65" t="str">
        <f>"－"</f>
        <v>－</v>
      </c>
      <c r="V133" s="65">
        <f>57160</f>
        <v>57160</v>
      </c>
      <c r="W133" s="65" t="str">
        <f>"－"</f>
        <v>－</v>
      </c>
      <c r="X133" s="69">
        <f>3</f>
        <v>3</v>
      </c>
    </row>
    <row r="134" spans="1:24">
      <c r="A134" s="60" t="s">
        <v>872</v>
      </c>
      <c r="B134" s="60" t="s">
        <v>445</v>
      </c>
      <c r="C134" s="60" t="s">
        <v>446</v>
      </c>
      <c r="D134" s="60" t="s">
        <v>447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10</v>
      </c>
      <c r="K134" s="66">
        <f>1798</f>
        <v>1798</v>
      </c>
      <c r="L134" s="67" t="s">
        <v>840</v>
      </c>
      <c r="M134" s="66">
        <f>1800</f>
        <v>1800</v>
      </c>
      <c r="N134" s="67" t="s">
        <v>814</v>
      </c>
      <c r="O134" s="66">
        <f>1712</f>
        <v>1712</v>
      </c>
      <c r="P134" s="67" t="s">
        <v>834</v>
      </c>
      <c r="Q134" s="66">
        <f>1764</f>
        <v>1764</v>
      </c>
      <c r="R134" s="67" t="s">
        <v>50</v>
      </c>
      <c r="S134" s="68">
        <f>1758.1</f>
        <v>1758.1</v>
      </c>
      <c r="T134" s="65">
        <f>886120</f>
        <v>886120</v>
      </c>
      <c r="U134" s="65">
        <f>300000</f>
        <v>300000</v>
      </c>
      <c r="V134" s="65">
        <f>1555872190</f>
        <v>1555872190</v>
      </c>
      <c r="W134" s="65">
        <f>525432800</f>
        <v>525432800</v>
      </c>
      <c r="X134" s="69">
        <f>20</f>
        <v>20</v>
      </c>
    </row>
    <row r="135" spans="1:24">
      <c r="A135" s="60" t="s">
        <v>872</v>
      </c>
      <c r="B135" s="60" t="s">
        <v>448</v>
      </c>
      <c r="C135" s="60" t="s">
        <v>449</v>
      </c>
      <c r="D135" s="60" t="s">
        <v>450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</v>
      </c>
      <c r="K135" s="66" t="str">
        <f>"－"</f>
        <v>－</v>
      </c>
      <c r="L135" s="67"/>
      <c r="M135" s="66" t="str">
        <f>"－"</f>
        <v>－</v>
      </c>
      <c r="N135" s="67"/>
      <c r="O135" s="66" t="str">
        <f>"－"</f>
        <v>－</v>
      </c>
      <c r="P135" s="67"/>
      <c r="Q135" s="66" t="str">
        <f>"－"</f>
        <v>－</v>
      </c>
      <c r="R135" s="67"/>
      <c r="S135" s="68" t="str">
        <f t="shared" ref="S135:X135" si="4">"－"</f>
        <v>－</v>
      </c>
      <c r="T135" s="65" t="str">
        <f t="shared" si="4"/>
        <v>－</v>
      </c>
      <c r="U135" s="65" t="str">
        <f t="shared" si="4"/>
        <v>－</v>
      </c>
      <c r="V135" s="65" t="str">
        <f t="shared" si="4"/>
        <v>－</v>
      </c>
      <c r="W135" s="65" t="str">
        <f t="shared" si="4"/>
        <v>－</v>
      </c>
      <c r="X135" s="69" t="str">
        <f t="shared" si="4"/>
        <v>－</v>
      </c>
    </row>
    <row r="136" spans="1:24">
      <c r="A136" s="60" t="s">
        <v>872</v>
      </c>
      <c r="B136" s="60" t="s">
        <v>451</v>
      </c>
      <c r="C136" s="60" t="s">
        <v>452</v>
      </c>
      <c r="D136" s="60" t="s">
        <v>453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14700</f>
        <v>14700</v>
      </c>
      <c r="L136" s="67" t="s">
        <v>840</v>
      </c>
      <c r="M136" s="66">
        <f>15230</f>
        <v>15230</v>
      </c>
      <c r="N136" s="67" t="s">
        <v>245</v>
      </c>
      <c r="O136" s="66">
        <f>14580</f>
        <v>14580</v>
      </c>
      <c r="P136" s="67" t="s">
        <v>119</v>
      </c>
      <c r="Q136" s="66">
        <f>14870</f>
        <v>14870</v>
      </c>
      <c r="R136" s="67" t="s">
        <v>50</v>
      </c>
      <c r="S136" s="68">
        <f>14877.5</f>
        <v>14877.5</v>
      </c>
      <c r="T136" s="65">
        <f>1407</f>
        <v>1407</v>
      </c>
      <c r="U136" s="65" t="str">
        <f>"－"</f>
        <v>－</v>
      </c>
      <c r="V136" s="65">
        <f>21015350</f>
        <v>21015350</v>
      </c>
      <c r="W136" s="65" t="str">
        <f>"－"</f>
        <v>－</v>
      </c>
      <c r="X136" s="69">
        <f>20</f>
        <v>20</v>
      </c>
    </row>
    <row r="137" spans="1:24">
      <c r="A137" s="60" t="s">
        <v>872</v>
      </c>
      <c r="B137" s="60" t="s">
        <v>457</v>
      </c>
      <c r="C137" s="60" t="s">
        <v>885</v>
      </c>
      <c r="D137" s="60" t="s">
        <v>886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100</v>
      </c>
      <c r="K137" s="66">
        <f>122</f>
        <v>122</v>
      </c>
      <c r="L137" s="67" t="s">
        <v>840</v>
      </c>
      <c r="M137" s="66">
        <f>127</f>
        <v>127</v>
      </c>
      <c r="N137" s="67" t="s">
        <v>245</v>
      </c>
      <c r="O137" s="66">
        <f>119</f>
        <v>119</v>
      </c>
      <c r="P137" s="67" t="s">
        <v>119</v>
      </c>
      <c r="Q137" s="66">
        <f>122</f>
        <v>122</v>
      </c>
      <c r="R137" s="67" t="s">
        <v>50</v>
      </c>
      <c r="S137" s="68">
        <f>122.95</f>
        <v>122.95</v>
      </c>
      <c r="T137" s="65">
        <f>71770200</f>
        <v>71770200</v>
      </c>
      <c r="U137" s="65">
        <f>124200</f>
        <v>124200</v>
      </c>
      <c r="V137" s="65">
        <f>8888267600</f>
        <v>8888267600</v>
      </c>
      <c r="W137" s="65">
        <f>15242400</f>
        <v>15242400</v>
      </c>
      <c r="X137" s="69">
        <f>20</f>
        <v>20</v>
      </c>
    </row>
    <row r="138" spans="1:24">
      <c r="A138" s="60" t="s">
        <v>872</v>
      </c>
      <c r="B138" s="60" t="s">
        <v>460</v>
      </c>
      <c r="C138" s="60" t="s">
        <v>461</v>
      </c>
      <c r="D138" s="60" t="s">
        <v>462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</v>
      </c>
      <c r="K138" s="66">
        <f>26250</f>
        <v>26250</v>
      </c>
      <c r="L138" s="67" t="s">
        <v>833</v>
      </c>
      <c r="M138" s="66">
        <f>26960</f>
        <v>26960</v>
      </c>
      <c r="N138" s="67" t="s">
        <v>95</v>
      </c>
      <c r="O138" s="66">
        <f>25530</f>
        <v>25530</v>
      </c>
      <c r="P138" s="67" t="s">
        <v>100</v>
      </c>
      <c r="Q138" s="66">
        <f>26390</f>
        <v>26390</v>
      </c>
      <c r="R138" s="67" t="s">
        <v>50</v>
      </c>
      <c r="S138" s="68">
        <f>26274.71</f>
        <v>26274.71</v>
      </c>
      <c r="T138" s="65">
        <f>458</f>
        <v>458</v>
      </c>
      <c r="U138" s="65" t="str">
        <f>"－"</f>
        <v>－</v>
      </c>
      <c r="V138" s="65">
        <f>12061840</f>
        <v>12061840</v>
      </c>
      <c r="W138" s="65" t="str">
        <f>"－"</f>
        <v>－</v>
      </c>
      <c r="X138" s="69">
        <f>17</f>
        <v>17</v>
      </c>
    </row>
    <row r="139" spans="1:24">
      <c r="A139" s="60" t="s">
        <v>872</v>
      </c>
      <c r="B139" s="60" t="s">
        <v>463</v>
      </c>
      <c r="C139" s="60" t="s">
        <v>464</v>
      </c>
      <c r="D139" s="60" t="s">
        <v>465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8460</f>
        <v>8460</v>
      </c>
      <c r="L139" s="67" t="s">
        <v>840</v>
      </c>
      <c r="M139" s="66">
        <f>8460</f>
        <v>8460</v>
      </c>
      <c r="N139" s="67" t="s">
        <v>840</v>
      </c>
      <c r="O139" s="66">
        <f>7720</f>
        <v>7720</v>
      </c>
      <c r="P139" s="67" t="s">
        <v>50</v>
      </c>
      <c r="Q139" s="66">
        <f>7730</f>
        <v>7730</v>
      </c>
      <c r="R139" s="67" t="s">
        <v>50</v>
      </c>
      <c r="S139" s="68">
        <f>8149</f>
        <v>8149</v>
      </c>
      <c r="T139" s="65">
        <f>9623</f>
        <v>9623</v>
      </c>
      <c r="U139" s="65" t="str">
        <f>"－"</f>
        <v>－</v>
      </c>
      <c r="V139" s="65">
        <f>78196650</f>
        <v>78196650</v>
      </c>
      <c r="W139" s="65" t="str">
        <f>"－"</f>
        <v>－</v>
      </c>
      <c r="X139" s="69">
        <f>20</f>
        <v>20</v>
      </c>
    </row>
    <row r="140" spans="1:24">
      <c r="A140" s="60" t="s">
        <v>872</v>
      </c>
      <c r="B140" s="60" t="s">
        <v>466</v>
      </c>
      <c r="C140" s="60" t="s">
        <v>467</v>
      </c>
      <c r="D140" s="60" t="s">
        <v>468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18460</f>
        <v>18460</v>
      </c>
      <c r="L140" s="67" t="s">
        <v>840</v>
      </c>
      <c r="M140" s="66">
        <f>19340</f>
        <v>19340</v>
      </c>
      <c r="N140" s="67" t="s">
        <v>90</v>
      </c>
      <c r="O140" s="66">
        <f>18320</f>
        <v>18320</v>
      </c>
      <c r="P140" s="67" t="s">
        <v>119</v>
      </c>
      <c r="Q140" s="66">
        <f>18820</f>
        <v>18820</v>
      </c>
      <c r="R140" s="67" t="s">
        <v>50</v>
      </c>
      <c r="S140" s="68">
        <f>18816</f>
        <v>18816</v>
      </c>
      <c r="T140" s="65">
        <f>1332</f>
        <v>1332</v>
      </c>
      <c r="U140" s="65" t="str">
        <f>"－"</f>
        <v>－</v>
      </c>
      <c r="V140" s="65">
        <f>24953380</f>
        <v>24953380</v>
      </c>
      <c r="W140" s="65" t="str">
        <f>"－"</f>
        <v>－</v>
      </c>
      <c r="X140" s="69">
        <f>20</f>
        <v>20</v>
      </c>
    </row>
    <row r="141" spans="1:24">
      <c r="A141" s="60" t="s">
        <v>872</v>
      </c>
      <c r="B141" s="60" t="s">
        <v>469</v>
      </c>
      <c r="C141" s="60" t="s">
        <v>470</v>
      </c>
      <c r="D141" s="60" t="s">
        <v>471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22910</f>
        <v>22910</v>
      </c>
      <c r="L141" s="67" t="s">
        <v>840</v>
      </c>
      <c r="M141" s="66">
        <f>23990</f>
        <v>23990</v>
      </c>
      <c r="N141" s="67" t="s">
        <v>95</v>
      </c>
      <c r="O141" s="66">
        <f>22670</f>
        <v>22670</v>
      </c>
      <c r="P141" s="67" t="s">
        <v>818</v>
      </c>
      <c r="Q141" s="66">
        <f>23660</f>
        <v>23660</v>
      </c>
      <c r="R141" s="67" t="s">
        <v>50</v>
      </c>
      <c r="S141" s="68">
        <f>23447.89</f>
        <v>23447.89</v>
      </c>
      <c r="T141" s="65">
        <f>174</f>
        <v>174</v>
      </c>
      <c r="U141" s="65" t="str">
        <f>"－"</f>
        <v>－</v>
      </c>
      <c r="V141" s="65">
        <f>4093450</f>
        <v>4093450</v>
      </c>
      <c r="W141" s="65" t="str">
        <f>"－"</f>
        <v>－</v>
      </c>
      <c r="X141" s="69">
        <f>19</f>
        <v>19</v>
      </c>
    </row>
    <row r="142" spans="1:24">
      <c r="A142" s="60" t="s">
        <v>872</v>
      </c>
      <c r="B142" s="60" t="s">
        <v>472</v>
      </c>
      <c r="C142" s="60" t="s">
        <v>473</v>
      </c>
      <c r="D142" s="60" t="s">
        <v>474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24830</f>
        <v>24830</v>
      </c>
      <c r="L142" s="67" t="s">
        <v>840</v>
      </c>
      <c r="M142" s="66">
        <f>25370</f>
        <v>25370</v>
      </c>
      <c r="N142" s="67" t="s">
        <v>50</v>
      </c>
      <c r="O142" s="66">
        <f>24110</f>
        <v>24110</v>
      </c>
      <c r="P142" s="67" t="s">
        <v>119</v>
      </c>
      <c r="Q142" s="66">
        <f>24780</f>
        <v>24780</v>
      </c>
      <c r="R142" s="67" t="s">
        <v>50</v>
      </c>
      <c r="S142" s="68">
        <f>24812</f>
        <v>24812</v>
      </c>
      <c r="T142" s="65">
        <f>1998</f>
        <v>1998</v>
      </c>
      <c r="U142" s="65">
        <f>3</f>
        <v>3</v>
      </c>
      <c r="V142" s="65">
        <f>49637870</f>
        <v>49637870</v>
      </c>
      <c r="W142" s="65">
        <f>75330</f>
        <v>75330</v>
      </c>
      <c r="X142" s="69">
        <f>20</f>
        <v>20</v>
      </c>
    </row>
    <row r="143" spans="1:24">
      <c r="A143" s="60" t="s">
        <v>872</v>
      </c>
      <c r="B143" s="60" t="s">
        <v>475</v>
      </c>
      <c r="C143" s="60" t="s">
        <v>476</v>
      </c>
      <c r="D143" s="60" t="s">
        <v>477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17490</f>
        <v>17490</v>
      </c>
      <c r="L143" s="67" t="s">
        <v>840</v>
      </c>
      <c r="M143" s="66">
        <f>17740</f>
        <v>17740</v>
      </c>
      <c r="N143" s="67" t="s">
        <v>100</v>
      </c>
      <c r="O143" s="66">
        <f>16880</f>
        <v>16880</v>
      </c>
      <c r="P143" s="67" t="s">
        <v>175</v>
      </c>
      <c r="Q143" s="66">
        <f>17170</f>
        <v>17170</v>
      </c>
      <c r="R143" s="67" t="s">
        <v>50</v>
      </c>
      <c r="S143" s="68">
        <f>17387</f>
        <v>17387</v>
      </c>
      <c r="T143" s="65">
        <f>1972</f>
        <v>1972</v>
      </c>
      <c r="U143" s="65" t="str">
        <f t="shared" ref="U143:U151" si="5">"－"</f>
        <v>－</v>
      </c>
      <c r="V143" s="65">
        <f>34363490</f>
        <v>34363490</v>
      </c>
      <c r="W143" s="65" t="str">
        <f t="shared" ref="W143:W151" si="6">"－"</f>
        <v>－</v>
      </c>
      <c r="X143" s="69">
        <f>20</f>
        <v>20</v>
      </c>
    </row>
    <row r="144" spans="1:24">
      <c r="A144" s="60" t="s">
        <v>872</v>
      </c>
      <c r="B144" s="60" t="s">
        <v>478</v>
      </c>
      <c r="C144" s="60" t="s">
        <v>479</v>
      </c>
      <c r="D144" s="60" t="s">
        <v>480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11030</f>
        <v>11030</v>
      </c>
      <c r="L144" s="67" t="s">
        <v>840</v>
      </c>
      <c r="M144" s="66">
        <f>11940</f>
        <v>11940</v>
      </c>
      <c r="N144" s="67" t="s">
        <v>90</v>
      </c>
      <c r="O144" s="66">
        <f>10750</f>
        <v>10750</v>
      </c>
      <c r="P144" s="67" t="s">
        <v>50</v>
      </c>
      <c r="Q144" s="66">
        <f>10750</f>
        <v>10750</v>
      </c>
      <c r="R144" s="67" t="s">
        <v>50</v>
      </c>
      <c r="S144" s="68">
        <f>11276</f>
        <v>11276</v>
      </c>
      <c r="T144" s="65">
        <f>2930</f>
        <v>2930</v>
      </c>
      <c r="U144" s="65" t="str">
        <f t="shared" si="5"/>
        <v>－</v>
      </c>
      <c r="V144" s="65">
        <f>33108440</f>
        <v>33108440</v>
      </c>
      <c r="W144" s="65" t="str">
        <f t="shared" si="6"/>
        <v>－</v>
      </c>
      <c r="X144" s="69">
        <f>20</f>
        <v>20</v>
      </c>
    </row>
    <row r="145" spans="1:24">
      <c r="A145" s="60" t="s">
        <v>872</v>
      </c>
      <c r="B145" s="60" t="s">
        <v>481</v>
      </c>
      <c r="C145" s="60" t="s">
        <v>482</v>
      </c>
      <c r="D145" s="60" t="s">
        <v>483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33000</f>
        <v>33000</v>
      </c>
      <c r="L145" s="67" t="s">
        <v>840</v>
      </c>
      <c r="M145" s="66">
        <f>34600</f>
        <v>34600</v>
      </c>
      <c r="N145" s="67" t="s">
        <v>245</v>
      </c>
      <c r="O145" s="66">
        <f>32650</f>
        <v>32650</v>
      </c>
      <c r="P145" s="67" t="s">
        <v>100</v>
      </c>
      <c r="Q145" s="66">
        <f>34050</f>
        <v>34050</v>
      </c>
      <c r="R145" s="67" t="s">
        <v>50</v>
      </c>
      <c r="S145" s="68">
        <f>33444.12</f>
        <v>33444.120000000003</v>
      </c>
      <c r="T145" s="65">
        <f>230</f>
        <v>230</v>
      </c>
      <c r="U145" s="65" t="str">
        <f t="shared" si="5"/>
        <v>－</v>
      </c>
      <c r="V145" s="65">
        <f>7669250</f>
        <v>7669250</v>
      </c>
      <c r="W145" s="65" t="str">
        <f t="shared" si="6"/>
        <v>－</v>
      </c>
      <c r="X145" s="69">
        <f>17</f>
        <v>17</v>
      </c>
    </row>
    <row r="146" spans="1:24">
      <c r="A146" s="60" t="s">
        <v>872</v>
      </c>
      <c r="B146" s="60" t="s">
        <v>484</v>
      </c>
      <c r="C146" s="60" t="s">
        <v>485</v>
      </c>
      <c r="D146" s="60" t="s">
        <v>486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20840</f>
        <v>20840</v>
      </c>
      <c r="L146" s="67" t="s">
        <v>840</v>
      </c>
      <c r="M146" s="66">
        <f>22150</f>
        <v>22150</v>
      </c>
      <c r="N146" s="67" t="s">
        <v>245</v>
      </c>
      <c r="O146" s="66">
        <f>20740</f>
        <v>20740</v>
      </c>
      <c r="P146" s="67" t="s">
        <v>840</v>
      </c>
      <c r="Q146" s="66">
        <f>21770</f>
        <v>21770</v>
      </c>
      <c r="R146" s="67" t="s">
        <v>50</v>
      </c>
      <c r="S146" s="68">
        <f>21303.89</f>
        <v>21303.89</v>
      </c>
      <c r="T146" s="65">
        <f>1195</f>
        <v>1195</v>
      </c>
      <c r="U146" s="65" t="str">
        <f t="shared" si="5"/>
        <v>－</v>
      </c>
      <c r="V146" s="65">
        <f>25241880</f>
        <v>25241880</v>
      </c>
      <c r="W146" s="65" t="str">
        <f t="shared" si="6"/>
        <v>－</v>
      </c>
      <c r="X146" s="69">
        <f>18</f>
        <v>18</v>
      </c>
    </row>
    <row r="147" spans="1:24">
      <c r="A147" s="60" t="s">
        <v>872</v>
      </c>
      <c r="B147" s="60" t="s">
        <v>487</v>
      </c>
      <c r="C147" s="60" t="s">
        <v>488</v>
      </c>
      <c r="D147" s="60" t="s">
        <v>489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25500</f>
        <v>25500</v>
      </c>
      <c r="L147" s="67" t="s">
        <v>840</v>
      </c>
      <c r="M147" s="66">
        <f>26390</f>
        <v>26390</v>
      </c>
      <c r="N147" s="67" t="s">
        <v>245</v>
      </c>
      <c r="O147" s="66">
        <f>24310</f>
        <v>24310</v>
      </c>
      <c r="P147" s="67" t="s">
        <v>119</v>
      </c>
      <c r="Q147" s="66">
        <f>26060</f>
        <v>26060</v>
      </c>
      <c r="R147" s="67" t="s">
        <v>50</v>
      </c>
      <c r="S147" s="68">
        <f>25261.5</f>
        <v>25261.5</v>
      </c>
      <c r="T147" s="65">
        <f>3058</f>
        <v>3058</v>
      </c>
      <c r="U147" s="65" t="str">
        <f t="shared" si="5"/>
        <v>－</v>
      </c>
      <c r="V147" s="65">
        <f>77347800</f>
        <v>77347800</v>
      </c>
      <c r="W147" s="65" t="str">
        <f t="shared" si="6"/>
        <v>－</v>
      </c>
      <c r="X147" s="69">
        <f>20</f>
        <v>20</v>
      </c>
    </row>
    <row r="148" spans="1:24">
      <c r="A148" s="60" t="s">
        <v>872</v>
      </c>
      <c r="B148" s="60" t="s">
        <v>490</v>
      </c>
      <c r="C148" s="60" t="s">
        <v>491</v>
      </c>
      <c r="D148" s="60" t="s">
        <v>492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5990</f>
        <v>5990</v>
      </c>
      <c r="L148" s="67" t="s">
        <v>840</v>
      </c>
      <c r="M148" s="66">
        <f>6260</f>
        <v>6260</v>
      </c>
      <c r="N148" s="67" t="s">
        <v>245</v>
      </c>
      <c r="O148" s="66">
        <f>5880</f>
        <v>5880</v>
      </c>
      <c r="P148" s="67" t="s">
        <v>119</v>
      </c>
      <c r="Q148" s="66">
        <f>6170</f>
        <v>6170</v>
      </c>
      <c r="R148" s="67" t="s">
        <v>50</v>
      </c>
      <c r="S148" s="68">
        <f>6077</f>
        <v>6077</v>
      </c>
      <c r="T148" s="65">
        <f>2605</f>
        <v>2605</v>
      </c>
      <c r="U148" s="65" t="str">
        <f t="shared" si="5"/>
        <v>－</v>
      </c>
      <c r="V148" s="65">
        <f>15829390</f>
        <v>15829390</v>
      </c>
      <c r="W148" s="65" t="str">
        <f t="shared" si="6"/>
        <v>－</v>
      </c>
      <c r="X148" s="69">
        <f>20</f>
        <v>20</v>
      </c>
    </row>
    <row r="149" spans="1:24">
      <c r="A149" s="60" t="s">
        <v>872</v>
      </c>
      <c r="B149" s="60" t="s">
        <v>493</v>
      </c>
      <c r="C149" s="60" t="s">
        <v>494</v>
      </c>
      <c r="D149" s="60" t="s">
        <v>495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13790</f>
        <v>13790</v>
      </c>
      <c r="L149" s="67" t="s">
        <v>840</v>
      </c>
      <c r="M149" s="66">
        <f>14740</f>
        <v>14740</v>
      </c>
      <c r="N149" s="67" t="s">
        <v>86</v>
      </c>
      <c r="O149" s="66">
        <f>13640</f>
        <v>13640</v>
      </c>
      <c r="P149" s="67" t="s">
        <v>50</v>
      </c>
      <c r="Q149" s="66">
        <f>13650</f>
        <v>13650</v>
      </c>
      <c r="R149" s="67" t="s">
        <v>50</v>
      </c>
      <c r="S149" s="68">
        <f>13979</f>
        <v>13979</v>
      </c>
      <c r="T149" s="65">
        <f>7047</f>
        <v>7047</v>
      </c>
      <c r="U149" s="65" t="str">
        <f t="shared" si="5"/>
        <v>－</v>
      </c>
      <c r="V149" s="65">
        <f>98637930</f>
        <v>98637930</v>
      </c>
      <c r="W149" s="65" t="str">
        <f t="shared" si="6"/>
        <v>－</v>
      </c>
      <c r="X149" s="69">
        <f>20</f>
        <v>20</v>
      </c>
    </row>
    <row r="150" spans="1:24">
      <c r="A150" s="60" t="s">
        <v>872</v>
      </c>
      <c r="B150" s="60" t="s">
        <v>496</v>
      </c>
      <c r="C150" s="60" t="s">
        <v>497</v>
      </c>
      <c r="D150" s="60" t="s">
        <v>498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32350</f>
        <v>32350</v>
      </c>
      <c r="L150" s="67" t="s">
        <v>840</v>
      </c>
      <c r="M150" s="66">
        <f>33250</f>
        <v>33250</v>
      </c>
      <c r="N150" s="67" t="s">
        <v>245</v>
      </c>
      <c r="O150" s="66">
        <f>31850</f>
        <v>31850</v>
      </c>
      <c r="P150" s="67" t="s">
        <v>119</v>
      </c>
      <c r="Q150" s="66">
        <f>32200</f>
        <v>32200</v>
      </c>
      <c r="R150" s="67" t="s">
        <v>50</v>
      </c>
      <c r="S150" s="68">
        <f>32477.5</f>
        <v>32477.5</v>
      </c>
      <c r="T150" s="65">
        <f>2484</f>
        <v>2484</v>
      </c>
      <c r="U150" s="65" t="str">
        <f t="shared" si="5"/>
        <v>－</v>
      </c>
      <c r="V150" s="65">
        <f>80563300</f>
        <v>80563300</v>
      </c>
      <c r="W150" s="65" t="str">
        <f t="shared" si="6"/>
        <v>－</v>
      </c>
      <c r="X150" s="69">
        <f>20</f>
        <v>20</v>
      </c>
    </row>
    <row r="151" spans="1:24">
      <c r="A151" s="60" t="s">
        <v>872</v>
      </c>
      <c r="B151" s="60" t="s">
        <v>499</v>
      </c>
      <c r="C151" s="60" t="s">
        <v>500</v>
      </c>
      <c r="D151" s="60" t="s">
        <v>501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20780</f>
        <v>20780</v>
      </c>
      <c r="L151" s="67" t="s">
        <v>840</v>
      </c>
      <c r="M151" s="66">
        <f>21200</f>
        <v>21200</v>
      </c>
      <c r="N151" s="67" t="s">
        <v>99</v>
      </c>
      <c r="O151" s="66">
        <f>20600</f>
        <v>20600</v>
      </c>
      <c r="P151" s="67" t="s">
        <v>65</v>
      </c>
      <c r="Q151" s="66">
        <f>21170</f>
        <v>21170</v>
      </c>
      <c r="R151" s="67" t="s">
        <v>175</v>
      </c>
      <c r="S151" s="68">
        <f>20925.83</f>
        <v>20925.830000000002</v>
      </c>
      <c r="T151" s="65">
        <f>127</f>
        <v>127</v>
      </c>
      <c r="U151" s="65" t="str">
        <f t="shared" si="5"/>
        <v>－</v>
      </c>
      <c r="V151" s="65">
        <f>2639410</f>
        <v>2639410</v>
      </c>
      <c r="W151" s="65" t="str">
        <f t="shared" si="6"/>
        <v>－</v>
      </c>
      <c r="X151" s="69">
        <f>12</f>
        <v>12</v>
      </c>
    </row>
    <row r="152" spans="1:24">
      <c r="A152" s="60" t="s">
        <v>872</v>
      </c>
      <c r="B152" s="60" t="s">
        <v>502</v>
      </c>
      <c r="C152" s="60" t="s">
        <v>503</v>
      </c>
      <c r="D152" s="60" t="s">
        <v>504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6330</f>
        <v>6330</v>
      </c>
      <c r="L152" s="67" t="s">
        <v>840</v>
      </c>
      <c r="M152" s="66">
        <f>6590</f>
        <v>6590</v>
      </c>
      <c r="N152" s="67" t="s">
        <v>245</v>
      </c>
      <c r="O152" s="66">
        <f>6210</f>
        <v>6210</v>
      </c>
      <c r="P152" s="67" t="s">
        <v>50</v>
      </c>
      <c r="Q152" s="66">
        <f>6240</f>
        <v>6240</v>
      </c>
      <c r="R152" s="67" t="s">
        <v>50</v>
      </c>
      <c r="S152" s="68">
        <f>6382.5</f>
        <v>6382.5</v>
      </c>
      <c r="T152" s="65">
        <f>23362</f>
        <v>23362</v>
      </c>
      <c r="U152" s="65">
        <f>5</f>
        <v>5</v>
      </c>
      <c r="V152" s="65">
        <f>149144880</f>
        <v>149144880</v>
      </c>
      <c r="W152" s="65">
        <f>31670</f>
        <v>31670</v>
      </c>
      <c r="X152" s="69">
        <f>20</f>
        <v>20</v>
      </c>
    </row>
    <row r="153" spans="1:24">
      <c r="A153" s="60" t="s">
        <v>872</v>
      </c>
      <c r="B153" s="60" t="s">
        <v>505</v>
      </c>
      <c r="C153" s="60" t="s">
        <v>506</v>
      </c>
      <c r="D153" s="60" t="s">
        <v>507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f>11040</f>
        <v>11040</v>
      </c>
      <c r="L153" s="67" t="s">
        <v>840</v>
      </c>
      <c r="M153" s="66">
        <f>11520</f>
        <v>11520</v>
      </c>
      <c r="N153" s="67" t="s">
        <v>86</v>
      </c>
      <c r="O153" s="66">
        <f>10700</f>
        <v>10700</v>
      </c>
      <c r="P153" s="67" t="s">
        <v>175</v>
      </c>
      <c r="Q153" s="66">
        <f>10730</f>
        <v>10730</v>
      </c>
      <c r="R153" s="67" t="s">
        <v>50</v>
      </c>
      <c r="S153" s="68">
        <f>11025</f>
        <v>11025</v>
      </c>
      <c r="T153" s="65">
        <f>2755</f>
        <v>2755</v>
      </c>
      <c r="U153" s="65" t="str">
        <f t="shared" ref="U153:U158" si="7">"－"</f>
        <v>－</v>
      </c>
      <c r="V153" s="65">
        <f>30332980</f>
        <v>30332980</v>
      </c>
      <c r="W153" s="65" t="str">
        <f t="shared" ref="W153:W158" si="8">"－"</f>
        <v>－</v>
      </c>
      <c r="X153" s="69">
        <f>20</f>
        <v>20</v>
      </c>
    </row>
    <row r="154" spans="1:24">
      <c r="A154" s="60" t="s">
        <v>872</v>
      </c>
      <c r="B154" s="60" t="s">
        <v>508</v>
      </c>
      <c r="C154" s="60" t="s">
        <v>509</v>
      </c>
      <c r="D154" s="60" t="s">
        <v>510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f>23800</f>
        <v>23800</v>
      </c>
      <c r="L154" s="67" t="s">
        <v>840</v>
      </c>
      <c r="M154" s="66">
        <f>24680</f>
        <v>24680</v>
      </c>
      <c r="N154" s="67" t="s">
        <v>90</v>
      </c>
      <c r="O154" s="66">
        <f>23720</f>
        <v>23720</v>
      </c>
      <c r="P154" s="67" t="s">
        <v>818</v>
      </c>
      <c r="Q154" s="66">
        <f>23960</f>
        <v>23960</v>
      </c>
      <c r="R154" s="67" t="s">
        <v>50</v>
      </c>
      <c r="S154" s="68">
        <f>24220</f>
        <v>24220</v>
      </c>
      <c r="T154" s="65">
        <f>634</f>
        <v>634</v>
      </c>
      <c r="U154" s="65" t="str">
        <f t="shared" si="7"/>
        <v>－</v>
      </c>
      <c r="V154" s="65">
        <f>15380340</f>
        <v>15380340</v>
      </c>
      <c r="W154" s="65" t="str">
        <f t="shared" si="8"/>
        <v>－</v>
      </c>
      <c r="X154" s="69">
        <f>20</f>
        <v>20</v>
      </c>
    </row>
    <row r="155" spans="1:24">
      <c r="A155" s="60" t="s">
        <v>872</v>
      </c>
      <c r="B155" s="60" t="s">
        <v>511</v>
      </c>
      <c r="C155" s="60" t="s">
        <v>512</v>
      </c>
      <c r="D155" s="60" t="s">
        <v>513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10</v>
      </c>
      <c r="K155" s="66">
        <f>855</f>
        <v>855</v>
      </c>
      <c r="L155" s="67" t="s">
        <v>840</v>
      </c>
      <c r="M155" s="66">
        <f>858</f>
        <v>858</v>
      </c>
      <c r="N155" s="67" t="s">
        <v>814</v>
      </c>
      <c r="O155" s="66">
        <f>825</f>
        <v>825</v>
      </c>
      <c r="P155" s="67" t="s">
        <v>175</v>
      </c>
      <c r="Q155" s="66">
        <f>835</f>
        <v>835</v>
      </c>
      <c r="R155" s="67" t="s">
        <v>50</v>
      </c>
      <c r="S155" s="68">
        <f>843.75</f>
        <v>843.75</v>
      </c>
      <c r="T155" s="65">
        <f>54620</f>
        <v>54620</v>
      </c>
      <c r="U155" s="65" t="str">
        <f t="shared" si="7"/>
        <v>－</v>
      </c>
      <c r="V155" s="65">
        <f>46160490</f>
        <v>46160490</v>
      </c>
      <c r="W155" s="65" t="str">
        <f t="shared" si="8"/>
        <v>－</v>
      </c>
      <c r="X155" s="69">
        <f>20</f>
        <v>20</v>
      </c>
    </row>
    <row r="156" spans="1:24">
      <c r="A156" s="60" t="s">
        <v>872</v>
      </c>
      <c r="B156" s="60" t="s">
        <v>514</v>
      </c>
      <c r="C156" s="60" t="s">
        <v>515</v>
      </c>
      <c r="D156" s="60" t="s">
        <v>516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2045</f>
        <v>2045</v>
      </c>
      <c r="L156" s="67" t="s">
        <v>814</v>
      </c>
      <c r="M156" s="66">
        <f>2049</f>
        <v>2049</v>
      </c>
      <c r="N156" s="67" t="s">
        <v>95</v>
      </c>
      <c r="O156" s="66">
        <f>2018</f>
        <v>2018</v>
      </c>
      <c r="P156" s="67" t="s">
        <v>61</v>
      </c>
      <c r="Q156" s="66">
        <f>2048</f>
        <v>2048</v>
      </c>
      <c r="R156" s="67" t="s">
        <v>95</v>
      </c>
      <c r="S156" s="68">
        <f>2039</f>
        <v>2039</v>
      </c>
      <c r="T156" s="65">
        <f>9560</f>
        <v>9560</v>
      </c>
      <c r="U156" s="65" t="str">
        <f t="shared" si="7"/>
        <v>－</v>
      </c>
      <c r="V156" s="65">
        <f>19561560</f>
        <v>19561560</v>
      </c>
      <c r="W156" s="65" t="str">
        <f t="shared" si="8"/>
        <v>－</v>
      </c>
      <c r="X156" s="69">
        <f>8</f>
        <v>8</v>
      </c>
    </row>
    <row r="157" spans="1:24">
      <c r="A157" s="60" t="s">
        <v>872</v>
      </c>
      <c r="B157" s="60" t="s">
        <v>517</v>
      </c>
      <c r="C157" s="60" t="s">
        <v>518</v>
      </c>
      <c r="D157" s="60" t="s">
        <v>519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10</v>
      </c>
      <c r="K157" s="66">
        <f>2038</f>
        <v>2038</v>
      </c>
      <c r="L157" s="67" t="s">
        <v>840</v>
      </c>
      <c r="M157" s="66">
        <f>2110</f>
        <v>2110</v>
      </c>
      <c r="N157" s="67" t="s">
        <v>245</v>
      </c>
      <c r="O157" s="66">
        <f>2015</f>
        <v>2015</v>
      </c>
      <c r="P157" s="67" t="s">
        <v>119</v>
      </c>
      <c r="Q157" s="66">
        <f>2086</f>
        <v>2086</v>
      </c>
      <c r="R157" s="67" t="s">
        <v>50</v>
      </c>
      <c r="S157" s="68">
        <f>2061.56</f>
        <v>2061.56</v>
      </c>
      <c r="T157" s="65">
        <f>15120</f>
        <v>15120</v>
      </c>
      <c r="U157" s="65" t="str">
        <f t="shared" si="7"/>
        <v>－</v>
      </c>
      <c r="V157" s="65">
        <f>31027310</f>
        <v>31027310</v>
      </c>
      <c r="W157" s="65" t="str">
        <f t="shared" si="8"/>
        <v>－</v>
      </c>
      <c r="X157" s="69">
        <f>16</f>
        <v>16</v>
      </c>
    </row>
    <row r="158" spans="1:24">
      <c r="A158" s="60" t="s">
        <v>872</v>
      </c>
      <c r="B158" s="60" t="s">
        <v>520</v>
      </c>
      <c r="C158" s="60" t="s">
        <v>521</v>
      </c>
      <c r="D158" s="60" t="s">
        <v>522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10</v>
      </c>
      <c r="K158" s="66">
        <f>1205</f>
        <v>1205</v>
      </c>
      <c r="L158" s="67" t="s">
        <v>840</v>
      </c>
      <c r="M158" s="66">
        <f>1229</f>
        <v>1229</v>
      </c>
      <c r="N158" s="67" t="s">
        <v>245</v>
      </c>
      <c r="O158" s="66">
        <f>1195</f>
        <v>1195</v>
      </c>
      <c r="P158" s="67" t="s">
        <v>818</v>
      </c>
      <c r="Q158" s="66">
        <f>1207</f>
        <v>1207</v>
      </c>
      <c r="R158" s="67" t="s">
        <v>50</v>
      </c>
      <c r="S158" s="68">
        <f>1208.54</f>
        <v>1208.54</v>
      </c>
      <c r="T158" s="65">
        <f>12560</f>
        <v>12560</v>
      </c>
      <c r="U158" s="65" t="str">
        <f t="shared" si="7"/>
        <v>－</v>
      </c>
      <c r="V158" s="65">
        <f>15211300</f>
        <v>15211300</v>
      </c>
      <c r="W158" s="65" t="str">
        <f t="shared" si="8"/>
        <v>－</v>
      </c>
      <c r="X158" s="69">
        <f>13</f>
        <v>13</v>
      </c>
    </row>
    <row r="159" spans="1:24">
      <c r="A159" s="60" t="s">
        <v>872</v>
      </c>
      <c r="B159" s="60" t="s">
        <v>523</v>
      </c>
      <c r="C159" s="60" t="s">
        <v>524</v>
      </c>
      <c r="D159" s="60" t="s">
        <v>525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</v>
      </c>
      <c r="K159" s="66">
        <f>2647</f>
        <v>2647</v>
      </c>
      <c r="L159" s="67" t="s">
        <v>840</v>
      </c>
      <c r="M159" s="66">
        <f>2720</f>
        <v>2720</v>
      </c>
      <c r="N159" s="67" t="s">
        <v>814</v>
      </c>
      <c r="O159" s="66">
        <f>2427</f>
        <v>2427</v>
      </c>
      <c r="P159" s="67" t="s">
        <v>175</v>
      </c>
      <c r="Q159" s="66">
        <f>2492</f>
        <v>2492</v>
      </c>
      <c r="R159" s="67" t="s">
        <v>50</v>
      </c>
      <c r="S159" s="68">
        <f>2558.8</f>
        <v>2558.8000000000002</v>
      </c>
      <c r="T159" s="65">
        <f>2848684</f>
        <v>2848684</v>
      </c>
      <c r="U159" s="65">
        <f>843630</f>
        <v>843630</v>
      </c>
      <c r="V159" s="65">
        <f>7219120005</f>
        <v>7219120005</v>
      </c>
      <c r="W159" s="65">
        <f>2129920419</f>
        <v>2129920419</v>
      </c>
      <c r="X159" s="69">
        <f>20</f>
        <v>20</v>
      </c>
    </row>
    <row r="160" spans="1:24">
      <c r="A160" s="60" t="s">
        <v>872</v>
      </c>
      <c r="B160" s="60" t="s">
        <v>526</v>
      </c>
      <c r="C160" s="60" t="s">
        <v>527</v>
      </c>
      <c r="D160" s="60" t="s">
        <v>528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2675</f>
        <v>2675</v>
      </c>
      <c r="L160" s="67" t="s">
        <v>840</v>
      </c>
      <c r="M160" s="66">
        <f>2697</f>
        <v>2697</v>
      </c>
      <c r="N160" s="67" t="s">
        <v>818</v>
      </c>
      <c r="O160" s="66">
        <f>2647</f>
        <v>2647</v>
      </c>
      <c r="P160" s="67" t="s">
        <v>822</v>
      </c>
      <c r="Q160" s="66">
        <f>2676</f>
        <v>2676</v>
      </c>
      <c r="R160" s="67" t="s">
        <v>50</v>
      </c>
      <c r="S160" s="68">
        <f>2676.3</f>
        <v>2676.3</v>
      </c>
      <c r="T160" s="65">
        <f>1204587</f>
        <v>1204587</v>
      </c>
      <c r="U160" s="65">
        <f>880000</f>
        <v>880000</v>
      </c>
      <c r="V160" s="65">
        <f>3208090106</f>
        <v>3208090106</v>
      </c>
      <c r="W160" s="65">
        <f>2337518000</f>
        <v>2337518000</v>
      </c>
      <c r="X160" s="69">
        <f>20</f>
        <v>20</v>
      </c>
    </row>
    <row r="161" spans="1:24">
      <c r="A161" s="60" t="s">
        <v>872</v>
      </c>
      <c r="B161" s="60" t="s">
        <v>529</v>
      </c>
      <c r="C161" s="60" t="s">
        <v>530</v>
      </c>
      <c r="D161" s="60" t="s">
        <v>531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2367</f>
        <v>2367</v>
      </c>
      <c r="L161" s="67" t="s">
        <v>840</v>
      </c>
      <c r="M161" s="66">
        <f>2414</f>
        <v>2414</v>
      </c>
      <c r="N161" s="67" t="s">
        <v>814</v>
      </c>
      <c r="O161" s="66">
        <f>2183</f>
        <v>2183</v>
      </c>
      <c r="P161" s="67" t="s">
        <v>175</v>
      </c>
      <c r="Q161" s="66">
        <f>2234</f>
        <v>2234</v>
      </c>
      <c r="R161" s="67" t="s">
        <v>50</v>
      </c>
      <c r="S161" s="68">
        <f>2289.7</f>
        <v>2289.6999999999998</v>
      </c>
      <c r="T161" s="65">
        <f>64682</f>
        <v>64682</v>
      </c>
      <c r="U161" s="65" t="str">
        <f>"－"</f>
        <v>－</v>
      </c>
      <c r="V161" s="65">
        <f>147225766</f>
        <v>147225766</v>
      </c>
      <c r="W161" s="65" t="str">
        <f>"－"</f>
        <v>－</v>
      </c>
      <c r="X161" s="69">
        <f>20</f>
        <v>20</v>
      </c>
    </row>
    <row r="162" spans="1:24">
      <c r="A162" s="60" t="s">
        <v>872</v>
      </c>
      <c r="B162" s="60" t="s">
        <v>532</v>
      </c>
      <c r="C162" s="60" t="s">
        <v>533</v>
      </c>
      <c r="D162" s="60" t="s">
        <v>534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1885</f>
        <v>1885</v>
      </c>
      <c r="L162" s="67" t="s">
        <v>840</v>
      </c>
      <c r="M162" s="66">
        <f>1933</f>
        <v>1933</v>
      </c>
      <c r="N162" s="67" t="s">
        <v>814</v>
      </c>
      <c r="O162" s="66">
        <f>1795</f>
        <v>1795</v>
      </c>
      <c r="P162" s="67" t="s">
        <v>175</v>
      </c>
      <c r="Q162" s="66">
        <f>1831</f>
        <v>1831</v>
      </c>
      <c r="R162" s="67" t="s">
        <v>50</v>
      </c>
      <c r="S162" s="68">
        <f>1868.85</f>
        <v>1868.85</v>
      </c>
      <c r="T162" s="65">
        <f>66444</f>
        <v>66444</v>
      </c>
      <c r="U162" s="65">
        <f>168</f>
        <v>168</v>
      </c>
      <c r="V162" s="65">
        <f>124173045</f>
        <v>124173045</v>
      </c>
      <c r="W162" s="65">
        <f>311364</f>
        <v>311364</v>
      </c>
      <c r="X162" s="69">
        <f>20</f>
        <v>20</v>
      </c>
    </row>
    <row r="163" spans="1:24">
      <c r="A163" s="60" t="s">
        <v>872</v>
      </c>
      <c r="B163" s="60" t="s">
        <v>535</v>
      </c>
      <c r="C163" s="60" t="s">
        <v>536</v>
      </c>
      <c r="D163" s="60" t="s">
        <v>537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1799</f>
        <v>1799</v>
      </c>
      <c r="L163" s="67" t="s">
        <v>840</v>
      </c>
      <c r="M163" s="66">
        <f>1837</f>
        <v>1837</v>
      </c>
      <c r="N163" s="67" t="s">
        <v>814</v>
      </c>
      <c r="O163" s="66">
        <f>1663</f>
        <v>1663</v>
      </c>
      <c r="P163" s="67" t="s">
        <v>175</v>
      </c>
      <c r="Q163" s="66">
        <f>1719</f>
        <v>1719</v>
      </c>
      <c r="R163" s="67" t="s">
        <v>50</v>
      </c>
      <c r="S163" s="68">
        <f>1774.75</f>
        <v>1774.75</v>
      </c>
      <c r="T163" s="65">
        <f>371100</f>
        <v>371100</v>
      </c>
      <c r="U163" s="65">
        <f>1</f>
        <v>1</v>
      </c>
      <c r="V163" s="65">
        <f>653066893</f>
        <v>653066893</v>
      </c>
      <c r="W163" s="65">
        <f>1749</f>
        <v>1749</v>
      </c>
      <c r="X163" s="69">
        <f>20</f>
        <v>20</v>
      </c>
    </row>
    <row r="164" spans="1:24">
      <c r="A164" s="60" t="s">
        <v>872</v>
      </c>
      <c r="B164" s="60" t="s">
        <v>538</v>
      </c>
      <c r="C164" s="60" t="s">
        <v>539</v>
      </c>
      <c r="D164" s="60" t="s">
        <v>540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9420</f>
        <v>9420</v>
      </c>
      <c r="L164" s="67" t="s">
        <v>840</v>
      </c>
      <c r="M164" s="66">
        <f>9590</f>
        <v>9590</v>
      </c>
      <c r="N164" s="67" t="s">
        <v>245</v>
      </c>
      <c r="O164" s="66">
        <f>9050</f>
        <v>9050</v>
      </c>
      <c r="P164" s="67" t="s">
        <v>90</v>
      </c>
      <c r="Q164" s="66">
        <f>9480</f>
        <v>9480</v>
      </c>
      <c r="R164" s="67" t="s">
        <v>50</v>
      </c>
      <c r="S164" s="68">
        <f>9302</f>
        <v>9302</v>
      </c>
      <c r="T164" s="65">
        <f>14312</f>
        <v>14312</v>
      </c>
      <c r="U164" s="65">
        <f>85</f>
        <v>85</v>
      </c>
      <c r="V164" s="65">
        <f>133236520</f>
        <v>133236520</v>
      </c>
      <c r="W164" s="65">
        <f>803700</f>
        <v>803700</v>
      </c>
      <c r="X164" s="69">
        <f>20</f>
        <v>20</v>
      </c>
    </row>
    <row r="165" spans="1:24">
      <c r="A165" s="60" t="s">
        <v>872</v>
      </c>
      <c r="B165" s="60" t="s">
        <v>541</v>
      </c>
      <c r="C165" s="60" t="s">
        <v>542</v>
      </c>
      <c r="D165" s="60" t="s">
        <v>543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100</v>
      </c>
      <c r="K165" s="66">
        <f>114</f>
        <v>114</v>
      </c>
      <c r="L165" s="67" t="s">
        <v>840</v>
      </c>
      <c r="M165" s="66">
        <f>116</f>
        <v>116</v>
      </c>
      <c r="N165" s="67" t="s">
        <v>833</v>
      </c>
      <c r="O165" s="66">
        <f>110</f>
        <v>110</v>
      </c>
      <c r="P165" s="67" t="s">
        <v>816</v>
      </c>
      <c r="Q165" s="66">
        <f>115</f>
        <v>115</v>
      </c>
      <c r="R165" s="67" t="s">
        <v>245</v>
      </c>
      <c r="S165" s="68">
        <f>114.11</f>
        <v>114.11</v>
      </c>
      <c r="T165" s="65">
        <f>19600</f>
        <v>19600</v>
      </c>
      <c r="U165" s="65" t="str">
        <f>"－"</f>
        <v>－</v>
      </c>
      <c r="V165" s="65">
        <f>2226400</f>
        <v>2226400</v>
      </c>
      <c r="W165" s="65" t="str">
        <f>"－"</f>
        <v>－</v>
      </c>
      <c r="X165" s="69">
        <f>18</f>
        <v>18</v>
      </c>
    </row>
    <row r="166" spans="1:24">
      <c r="A166" s="60" t="s">
        <v>872</v>
      </c>
      <c r="B166" s="60" t="s">
        <v>544</v>
      </c>
      <c r="C166" s="60" t="s">
        <v>545</v>
      </c>
      <c r="D166" s="60" t="s">
        <v>546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</v>
      </c>
      <c r="K166" s="66">
        <f>906</f>
        <v>906</v>
      </c>
      <c r="L166" s="67" t="s">
        <v>840</v>
      </c>
      <c r="M166" s="66">
        <f>913</f>
        <v>913</v>
      </c>
      <c r="N166" s="67" t="s">
        <v>833</v>
      </c>
      <c r="O166" s="66">
        <f>778</f>
        <v>778</v>
      </c>
      <c r="P166" s="67" t="s">
        <v>119</v>
      </c>
      <c r="Q166" s="66">
        <f>814</f>
        <v>814</v>
      </c>
      <c r="R166" s="67" t="s">
        <v>50</v>
      </c>
      <c r="S166" s="68">
        <f>836</f>
        <v>836</v>
      </c>
      <c r="T166" s="65">
        <f>57509083</f>
        <v>57509083</v>
      </c>
      <c r="U166" s="65">
        <f>446547</f>
        <v>446547</v>
      </c>
      <c r="V166" s="65">
        <f>48000442417</f>
        <v>48000442417</v>
      </c>
      <c r="W166" s="65">
        <f>370367833</f>
        <v>370367833</v>
      </c>
      <c r="X166" s="69">
        <f>20</f>
        <v>20</v>
      </c>
    </row>
    <row r="167" spans="1:24">
      <c r="A167" s="60" t="s">
        <v>872</v>
      </c>
      <c r="B167" s="60" t="s">
        <v>737</v>
      </c>
      <c r="C167" s="60" t="s">
        <v>738</v>
      </c>
      <c r="D167" s="60" t="s">
        <v>739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f>19740</f>
        <v>19740</v>
      </c>
      <c r="L167" s="67" t="s">
        <v>840</v>
      </c>
      <c r="M167" s="66">
        <f>20060</f>
        <v>20060</v>
      </c>
      <c r="N167" s="67" t="s">
        <v>840</v>
      </c>
      <c r="O167" s="66">
        <f>18460</f>
        <v>18460</v>
      </c>
      <c r="P167" s="67" t="s">
        <v>175</v>
      </c>
      <c r="Q167" s="66">
        <f>18800</f>
        <v>18800</v>
      </c>
      <c r="R167" s="67" t="s">
        <v>50</v>
      </c>
      <c r="S167" s="68">
        <f>19315</f>
        <v>19315</v>
      </c>
      <c r="T167" s="65">
        <f>5707</f>
        <v>5707</v>
      </c>
      <c r="U167" s="65" t="str">
        <f>"－"</f>
        <v>－</v>
      </c>
      <c r="V167" s="65">
        <f>110231050</f>
        <v>110231050</v>
      </c>
      <c r="W167" s="65" t="str">
        <f>"－"</f>
        <v>－</v>
      </c>
      <c r="X167" s="69">
        <f>20</f>
        <v>20</v>
      </c>
    </row>
    <row r="168" spans="1:24">
      <c r="A168" s="60" t="s">
        <v>872</v>
      </c>
      <c r="B168" s="60" t="s">
        <v>740</v>
      </c>
      <c r="C168" s="60" t="s">
        <v>741</v>
      </c>
      <c r="D168" s="60" t="s">
        <v>742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10</v>
      </c>
      <c r="K168" s="66">
        <f>2775</f>
        <v>2775</v>
      </c>
      <c r="L168" s="67" t="s">
        <v>840</v>
      </c>
      <c r="M168" s="66">
        <f>2847</f>
        <v>2847</v>
      </c>
      <c r="N168" s="67" t="s">
        <v>840</v>
      </c>
      <c r="O168" s="66">
        <f>2143</f>
        <v>2143</v>
      </c>
      <c r="P168" s="67" t="s">
        <v>175</v>
      </c>
      <c r="Q168" s="66">
        <f>2343</f>
        <v>2343</v>
      </c>
      <c r="R168" s="67" t="s">
        <v>50</v>
      </c>
      <c r="S168" s="68">
        <f>2557.9</f>
        <v>2557.9</v>
      </c>
      <c r="T168" s="65">
        <f>48610</f>
        <v>48610</v>
      </c>
      <c r="U168" s="65" t="str">
        <f>"－"</f>
        <v>－</v>
      </c>
      <c r="V168" s="65">
        <f>121713340</f>
        <v>121713340</v>
      </c>
      <c r="W168" s="65" t="str">
        <f>"－"</f>
        <v>－</v>
      </c>
      <c r="X168" s="69">
        <f>20</f>
        <v>20</v>
      </c>
    </row>
    <row r="169" spans="1:24">
      <c r="A169" s="60" t="s">
        <v>872</v>
      </c>
      <c r="B169" s="60" t="s">
        <v>743</v>
      </c>
      <c r="C169" s="60" t="s">
        <v>744</v>
      </c>
      <c r="D169" s="60" t="s">
        <v>745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</v>
      </c>
      <c r="K169" s="66">
        <f>9520</f>
        <v>9520</v>
      </c>
      <c r="L169" s="67" t="s">
        <v>840</v>
      </c>
      <c r="M169" s="66">
        <f>10010</f>
        <v>10010</v>
      </c>
      <c r="N169" s="67" t="s">
        <v>72</v>
      </c>
      <c r="O169" s="66">
        <f>8730</f>
        <v>8730</v>
      </c>
      <c r="P169" s="67" t="s">
        <v>245</v>
      </c>
      <c r="Q169" s="66">
        <f>8800</f>
        <v>8800</v>
      </c>
      <c r="R169" s="67" t="s">
        <v>50</v>
      </c>
      <c r="S169" s="68">
        <f>9246</f>
        <v>9246</v>
      </c>
      <c r="T169" s="65">
        <f>13076</f>
        <v>13076</v>
      </c>
      <c r="U169" s="65" t="str">
        <f>"－"</f>
        <v>－</v>
      </c>
      <c r="V169" s="65">
        <f>123867020</f>
        <v>123867020</v>
      </c>
      <c r="W169" s="65" t="str">
        <f>"－"</f>
        <v>－</v>
      </c>
      <c r="X169" s="69">
        <f>20</f>
        <v>20</v>
      </c>
    </row>
    <row r="170" spans="1:24">
      <c r="A170" s="60" t="s">
        <v>872</v>
      </c>
      <c r="B170" s="60" t="s">
        <v>746</v>
      </c>
      <c r="C170" s="60" t="s">
        <v>747</v>
      </c>
      <c r="D170" s="60" t="s">
        <v>748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</v>
      </c>
      <c r="K170" s="66">
        <f>23090</f>
        <v>23090</v>
      </c>
      <c r="L170" s="67" t="s">
        <v>840</v>
      </c>
      <c r="M170" s="66">
        <f>25990</f>
        <v>25990</v>
      </c>
      <c r="N170" s="67" t="s">
        <v>79</v>
      </c>
      <c r="O170" s="66">
        <f>22300</f>
        <v>22300</v>
      </c>
      <c r="P170" s="67" t="s">
        <v>95</v>
      </c>
      <c r="Q170" s="66">
        <f>23030</f>
        <v>23030</v>
      </c>
      <c r="R170" s="67" t="s">
        <v>50</v>
      </c>
      <c r="S170" s="68">
        <f>23859.41</f>
        <v>23859.41</v>
      </c>
      <c r="T170" s="65">
        <f>401</f>
        <v>401</v>
      </c>
      <c r="U170" s="65" t="str">
        <f>"－"</f>
        <v>－</v>
      </c>
      <c r="V170" s="65">
        <f>9621480</f>
        <v>9621480</v>
      </c>
      <c r="W170" s="65" t="str">
        <f>"－"</f>
        <v>－</v>
      </c>
      <c r="X170" s="69">
        <f>17</f>
        <v>17</v>
      </c>
    </row>
    <row r="171" spans="1:24">
      <c r="A171" s="60" t="s">
        <v>872</v>
      </c>
      <c r="B171" s="60" t="s">
        <v>749</v>
      </c>
      <c r="C171" s="60" t="s">
        <v>750</v>
      </c>
      <c r="D171" s="60" t="s">
        <v>751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</v>
      </c>
      <c r="K171" s="66">
        <f>17570</f>
        <v>17570</v>
      </c>
      <c r="L171" s="67" t="s">
        <v>818</v>
      </c>
      <c r="M171" s="66">
        <f>17630</f>
        <v>17630</v>
      </c>
      <c r="N171" s="67" t="s">
        <v>100</v>
      </c>
      <c r="O171" s="66">
        <f>15800</f>
        <v>15800</v>
      </c>
      <c r="P171" s="67" t="s">
        <v>95</v>
      </c>
      <c r="Q171" s="66">
        <f>15800</f>
        <v>15800</v>
      </c>
      <c r="R171" s="67" t="s">
        <v>95</v>
      </c>
      <c r="S171" s="68">
        <f>16980</f>
        <v>16980</v>
      </c>
      <c r="T171" s="65">
        <f>92</f>
        <v>92</v>
      </c>
      <c r="U171" s="65" t="str">
        <f>"－"</f>
        <v>－</v>
      </c>
      <c r="V171" s="65">
        <f>1574540</f>
        <v>1574540</v>
      </c>
      <c r="W171" s="65" t="str">
        <f>"－"</f>
        <v>－</v>
      </c>
      <c r="X171" s="69">
        <f>7</f>
        <v>7</v>
      </c>
    </row>
    <row r="172" spans="1:24">
      <c r="A172" s="60" t="s">
        <v>872</v>
      </c>
      <c r="B172" s="60" t="s">
        <v>547</v>
      </c>
      <c r="C172" s="60" t="s">
        <v>548</v>
      </c>
      <c r="D172" s="60" t="s">
        <v>549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10</v>
      </c>
      <c r="K172" s="66">
        <f>51800</f>
        <v>51800</v>
      </c>
      <c r="L172" s="67" t="s">
        <v>840</v>
      </c>
      <c r="M172" s="66">
        <f>52000</f>
        <v>52000</v>
      </c>
      <c r="N172" s="67" t="s">
        <v>833</v>
      </c>
      <c r="O172" s="66">
        <f>51000</f>
        <v>51000</v>
      </c>
      <c r="P172" s="67" t="s">
        <v>99</v>
      </c>
      <c r="Q172" s="66">
        <f>51400</f>
        <v>51400</v>
      </c>
      <c r="R172" s="67" t="s">
        <v>50</v>
      </c>
      <c r="S172" s="68">
        <f>51535</f>
        <v>51535</v>
      </c>
      <c r="T172" s="65">
        <f>28940</f>
        <v>28940</v>
      </c>
      <c r="U172" s="65">
        <f>17600</f>
        <v>17600</v>
      </c>
      <c r="V172" s="65">
        <f>1492773684</f>
        <v>1492773684</v>
      </c>
      <c r="W172" s="65">
        <f>908811684</f>
        <v>908811684</v>
      </c>
      <c r="X172" s="69">
        <f>20</f>
        <v>20</v>
      </c>
    </row>
    <row r="173" spans="1:24">
      <c r="A173" s="60" t="s">
        <v>872</v>
      </c>
      <c r="B173" s="60" t="s">
        <v>550</v>
      </c>
      <c r="C173" s="60" t="s">
        <v>551</v>
      </c>
      <c r="D173" s="60" t="s">
        <v>552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100</v>
      </c>
      <c r="K173" s="66">
        <f>147</f>
        <v>147</v>
      </c>
      <c r="L173" s="67" t="s">
        <v>840</v>
      </c>
      <c r="M173" s="66">
        <f>151</f>
        <v>151</v>
      </c>
      <c r="N173" s="67" t="s">
        <v>833</v>
      </c>
      <c r="O173" s="66">
        <f>139</f>
        <v>139</v>
      </c>
      <c r="P173" s="67" t="s">
        <v>816</v>
      </c>
      <c r="Q173" s="66">
        <f>144</f>
        <v>144</v>
      </c>
      <c r="R173" s="67" t="s">
        <v>50</v>
      </c>
      <c r="S173" s="68">
        <f>146.7</f>
        <v>146.69999999999999</v>
      </c>
      <c r="T173" s="65">
        <f>6020600</f>
        <v>6020600</v>
      </c>
      <c r="U173" s="65">
        <f>17100</f>
        <v>17100</v>
      </c>
      <c r="V173" s="65">
        <f>878966600</f>
        <v>878966600</v>
      </c>
      <c r="W173" s="65">
        <f>2508800</f>
        <v>2508800</v>
      </c>
      <c r="X173" s="69">
        <f>20</f>
        <v>20</v>
      </c>
    </row>
    <row r="174" spans="1:24">
      <c r="A174" s="60" t="s">
        <v>872</v>
      </c>
      <c r="B174" s="60" t="s">
        <v>553</v>
      </c>
      <c r="C174" s="60" t="s">
        <v>554</v>
      </c>
      <c r="D174" s="60" t="s">
        <v>555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</v>
      </c>
      <c r="K174" s="66">
        <f>27020</f>
        <v>27020</v>
      </c>
      <c r="L174" s="67" t="s">
        <v>840</v>
      </c>
      <c r="M174" s="66">
        <f>27670</f>
        <v>27670</v>
      </c>
      <c r="N174" s="67" t="s">
        <v>814</v>
      </c>
      <c r="O174" s="66">
        <f>25160</f>
        <v>25160</v>
      </c>
      <c r="P174" s="67" t="s">
        <v>175</v>
      </c>
      <c r="Q174" s="66">
        <f>25690</f>
        <v>25690</v>
      </c>
      <c r="R174" s="67" t="s">
        <v>50</v>
      </c>
      <c r="S174" s="68">
        <f>26371</f>
        <v>26371</v>
      </c>
      <c r="T174" s="65">
        <f>7150</f>
        <v>7150</v>
      </c>
      <c r="U174" s="65">
        <f>10</f>
        <v>10</v>
      </c>
      <c r="V174" s="65">
        <f>189057600</f>
        <v>189057600</v>
      </c>
      <c r="W174" s="65">
        <f>264700</f>
        <v>264700</v>
      </c>
      <c r="X174" s="69">
        <f>20</f>
        <v>20</v>
      </c>
    </row>
    <row r="175" spans="1:24">
      <c r="A175" s="60" t="s">
        <v>872</v>
      </c>
      <c r="B175" s="60" t="s">
        <v>556</v>
      </c>
      <c r="C175" s="60" t="s">
        <v>557</v>
      </c>
      <c r="D175" s="60" t="s">
        <v>558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2721</f>
        <v>2721</v>
      </c>
      <c r="L175" s="67" t="s">
        <v>840</v>
      </c>
      <c r="M175" s="66">
        <f>2779</f>
        <v>2779</v>
      </c>
      <c r="N175" s="67" t="s">
        <v>814</v>
      </c>
      <c r="O175" s="66">
        <f>2513</f>
        <v>2513</v>
      </c>
      <c r="P175" s="67" t="s">
        <v>175</v>
      </c>
      <c r="Q175" s="66">
        <f>2587</f>
        <v>2587</v>
      </c>
      <c r="R175" s="67" t="s">
        <v>50</v>
      </c>
      <c r="S175" s="68">
        <f>2640.35</f>
        <v>2640.35</v>
      </c>
      <c r="T175" s="65">
        <f>90290</f>
        <v>90290</v>
      </c>
      <c r="U175" s="65" t="str">
        <f>"－"</f>
        <v>－</v>
      </c>
      <c r="V175" s="65">
        <f>237799590</f>
        <v>237799590</v>
      </c>
      <c r="W175" s="65" t="str">
        <f>"－"</f>
        <v>－</v>
      </c>
      <c r="X175" s="69">
        <f>20</f>
        <v>20</v>
      </c>
    </row>
    <row r="176" spans="1:24">
      <c r="A176" s="60" t="s">
        <v>872</v>
      </c>
      <c r="B176" s="60" t="s">
        <v>559</v>
      </c>
      <c r="C176" s="60" t="s">
        <v>560</v>
      </c>
      <c r="D176" s="60" t="s">
        <v>561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1478</f>
        <v>1478</v>
      </c>
      <c r="L176" s="67" t="s">
        <v>840</v>
      </c>
      <c r="M176" s="66">
        <f>1508</f>
        <v>1508</v>
      </c>
      <c r="N176" s="67" t="s">
        <v>814</v>
      </c>
      <c r="O176" s="66">
        <f>1404</f>
        <v>1404</v>
      </c>
      <c r="P176" s="67" t="s">
        <v>175</v>
      </c>
      <c r="Q176" s="66">
        <f>1428</f>
        <v>1428</v>
      </c>
      <c r="R176" s="67" t="s">
        <v>50</v>
      </c>
      <c r="S176" s="68">
        <f>1460.3</f>
        <v>1460.3</v>
      </c>
      <c r="T176" s="65">
        <f>155000</f>
        <v>155000</v>
      </c>
      <c r="U176" s="65">
        <f>560</f>
        <v>560</v>
      </c>
      <c r="V176" s="65">
        <f>227178710</f>
        <v>227178710</v>
      </c>
      <c r="W176" s="65">
        <f>806350</f>
        <v>806350</v>
      </c>
      <c r="X176" s="69">
        <f>20</f>
        <v>20</v>
      </c>
    </row>
    <row r="177" spans="1:24">
      <c r="A177" s="60" t="s">
        <v>872</v>
      </c>
      <c r="B177" s="60" t="s">
        <v>562</v>
      </c>
      <c r="C177" s="60" t="s">
        <v>854</v>
      </c>
      <c r="D177" s="60" t="s">
        <v>855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100</v>
      </c>
      <c r="K177" s="66">
        <f>171</f>
        <v>171</v>
      </c>
      <c r="L177" s="67" t="s">
        <v>840</v>
      </c>
      <c r="M177" s="66">
        <f>180</f>
        <v>180</v>
      </c>
      <c r="N177" s="67" t="s">
        <v>72</v>
      </c>
      <c r="O177" s="66">
        <f>156</f>
        <v>156</v>
      </c>
      <c r="P177" s="67" t="s">
        <v>175</v>
      </c>
      <c r="Q177" s="66">
        <f>160</f>
        <v>160</v>
      </c>
      <c r="R177" s="67" t="s">
        <v>50</v>
      </c>
      <c r="S177" s="68">
        <f>167.3</f>
        <v>167.3</v>
      </c>
      <c r="T177" s="65">
        <f>765600</f>
        <v>765600</v>
      </c>
      <c r="U177" s="65" t="str">
        <f t="shared" ref="U177:U192" si="9">"－"</f>
        <v>－</v>
      </c>
      <c r="V177" s="65">
        <f>129875300</f>
        <v>129875300</v>
      </c>
      <c r="W177" s="65" t="str">
        <f t="shared" ref="W177:W192" si="10">"－"</f>
        <v>－</v>
      </c>
      <c r="X177" s="69">
        <f>20</f>
        <v>20</v>
      </c>
    </row>
    <row r="178" spans="1:24">
      <c r="A178" s="60" t="s">
        <v>872</v>
      </c>
      <c r="B178" s="60" t="s">
        <v>752</v>
      </c>
      <c r="C178" s="60" t="s">
        <v>753</v>
      </c>
      <c r="D178" s="60" t="s">
        <v>754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</v>
      </c>
      <c r="K178" s="66">
        <f>780</f>
        <v>780</v>
      </c>
      <c r="L178" s="67" t="s">
        <v>100</v>
      </c>
      <c r="M178" s="66">
        <f>780</f>
        <v>780</v>
      </c>
      <c r="N178" s="67" t="s">
        <v>100</v>
      </c>
      <c r="O178" s="66">
        <f>780</f>
        <v>780</v>
      </c>
      <c r="P178" s="67" t="s">
        <v>100</v>
      </c>
      <c r="Q178" s="66">
        <f>780</f>
        <v>780</v>
      </c>
      <c r="R178" s="67" t="s">
        <v>100</v>
      </c>
      <c r="S178" s="68">
        <f>780</f>
        <v>780</v>
      </c>
      <c r="T178" s="65">
        <f>10</f>
        <v>10</v>
      </c>
      <c r="U178" s="65" t="str">
        <f t="shared" si="9"/>
        <v>－</v>
      </c>
      <c r="V178" s="65">
        <f>7800</f>
        <v>7800</v>
      </c>
      <c r="W178" s="65" t="str">
        <f t="shared" si="10"/>
        <v>－</v>
      </c>
      <c r="X178" s="69">
        <f>1</f>
        <v>1</v>
      </c>
    </row>
    <row r="179" spans="1:24">
      <c r="A179" s="60" t="s">
        <v>872</v>
      </c>
      <c r="B179" s="60" t="s">
        <v>755</v>
      </c>
      <c r="C179" s="60" t="s">
        <v>756</v>
      </c>
      <c r="D179" s="60" t="s">
        <v>757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f>230</f>
        <v>230</v>
      </c>
      <c r="L179" s="67" t="s">
        <v>840</v>
      </c>
      <c r="M179" s="66">
        <f>234</f>
        <v>234</v>
      </c>
      <c r="N179" s="67" t="s">
        <v>818</v>
      </c>
      <c r="O179" s="66">
        <f>198</f>
        <v>198</v>
      </c>
      <c r="P179" s="67" t="s">
        <v>72</v>
      </c>
      <c r="Q179" s="66">
        <f>208</f>
        <v>208</v>
      </c>
      <c r="R179" s="67" t="s">
        <v>50</v>
      </c>
      <c r="S179" s="68">
        <f>215.11</f>
        <v>215.11</v>
      </c>
      <c r="T179" s="65">
        <f>12950</f>
        <v>12950</v>
      </c>
      <c r="U179" s="65" t="str">
        <f t="shared" si="9"/>
        <v>－</v>
      </c>
      <c r="V179" s="65">
        <f>2765600</f>
        <v>2765600</v>
      </c>
      <c r="W179" s="65" t="str">
        <f t="shared" si="10"/>
        <v>－</v>
      </c>
      <c r="X179" s="69">
        <f>18</f>
        <v>18</v>
      </c>
    </row>
    <row r="180" spans="1:24">
      <c r="A180" s="60" t="s">
        <v>872</v>
      </c>
      <c r="B180" s="60" t="s">
        <v>758</v>
      </c>
      <c r="C180" s="60" t="s">
        <v>759</v>
      </c>
      <c r="D180" s="60" t="s">
        <v>760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>
        <f>1212</f>
        <v>1212</v>
      </c>
      <c r="L180" s="67" t="s">
        <v>818</v>
      </c>
      <c r="M180" s="66">
        <f>1293</f>
        <v>1293</v>
      </c>
      <c r="N180" s="67" t="s">
        <v>99</v>
      </c>
      <c r="O180" s="66">
        <f>1212</f>
        <v>1212</v>
      </c>
      <c r="P180" s="67" t="s">
        <v>818</v>
      </c>
      <c r="Q180" s="66">
        <f>1269</f>
        <v>1269</v>
      </c>
      <c r="R180" s="67" t="s">
        <v>816</v>
      </c>
      <c r="S180" s="68">
        <f>1253.2</f>
        <v>1253.2</v>
      </c>
      <c r="T180" s="65">
        <f>70</f>
        <v>70</v>
      </c>
      <c r="U180" s="65" t="str">
        <f t="shared" si="9"/>
        <v>－</v>
      </c>
      <c r="V180" s="65">
        <f>87470</f>
        <v>87470</v>
      </c>
      <c r="W180" s="65" t="str">
        <f t="shared" si="10"/>
        <v>－</v>
      </c>
      <c r="X180" s="69">
        <f>5</f>
        <v>5</v>
      </c>
    </row>
    <row r="181" spans="1:24">
      <c r="A181" s="60" t="s">
        <v>872</v>
      </c>
      <c r="B181" s="60" t="s">
        <v>761</v>
      </c>
      <c r="C181" s="60" t="s">
        <v>762</v>
      </c>
      <c r="D181" s="60" t="s">
        <v>763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418</f>
        <v>418</v>
      </c>
      <c r="L181" s="67" t="s">
        <v>840</v>
      </c>
      <c r="M181" s="66">
        <f>422</f>
        <v>422</v>
      </c>
      <c r="N181" s="67" t="s">
        <v>86</v>
      </c>
      <c r="O181" s="66">
        <f>396</f>
        <v>396</v>
      </c>
      <c r="P181" s="67" t="s">
        <v>61</v>
      </c>
      <c r="Q181" s="66">
        <f>400</f>
        <v>400</v>
      </c>
      <c r="R181" s="67" t="s">
        <v>50</v>
      </c>
      <c r="S181" s="68">
        <f>409.4</f>
        <v>409.4</v>
      </c>
      <c r="T181" s="65">
        <f>34130</f>
        <v>34130</v>
      </c>
      <c r="U181" s="65" t="str">
        <f t="shared" si="9"/>
        <v>－</v>
      </c>
      <c r="V181" s="65">
        <f>13928660</f>
        <v>13928660</v>
      </c>
      <c r="W181" s="65" t="str">
        <f t="shared" si="10"/>
        <v>－</v>
      </c>
      <c r="X181" s="69">
        <f>20</f>
        <v>20</v>
      </c>
    </row>
    <row r="182" spans="1:24">
      <c r="A182" s="60" t="s">
        <v>872</v>
      </c>
      <c r="B182" s="60" t="s">
        <v>764</v>
      </c>
      <c r="C182" s="60" t="s">
        <v>765</v>
      </c>
      <c r="D182" s="60" t="s">
        <v>766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</v>
      </c>
      <c r="K182" s="66">
        <f>290</f>
        <v>290</v>
      </c>
      <c r="L182" s="67" t="s">
        <v>840</v>
      </c>
      <c r="M182" s="66">
        <f>305</f>
        <v>305</v>
      </c>
      <c r="N182" s="67" t="s">
        <v>822</v>
      </c>
      <c r="O182" s="66">
        <f>286</f>
        <v>286</v>
      </c>
      <c r="P182" s="67" t="s">
        <v>814</v>
      </c>
      <c r="Q182" s="66">
        <f>289</f>
        <v>289</v>
      </c>
      <c r="R182" s="67" t="s">
        <v>50</v>
      </c>
      <c r="S182" s="68">
        <f>294.45</f>
        <v>294.45</v>
      </c>
      <c r="T182" s="65">
        <f>734940</f>
        <v>734940</v>
      </c>
      <c r="U182" s="65" t="str">
        <f t="shared" si="9"/>
        <v>－</v>
      </c>
      <c r="V182" s="65">
        <f>216134940</f>
        <v>216134940</v>
      </c>
      <c r="W182" s="65" t="str">
        <f t="shared" si="10"/>
        <v>－</v>
      </c>
      <c r="X182" s="69">
        <f>20</f>
        <v>20</v>
      </c>
    </row>
    <row r="183" spans="1:24">
      <c r="A183" s="60" t="s">
        <v>872</v>
      </c>
      <c r="B183" s="60" t="s">
        <v>767</v>
      </c>
      <c r="C183" s="60" t="s">
        <v>768</v>
      </c>
      <c r="D183" s="60" t="s">
        <v>769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100</v>
      </c>
      <c r="K183" s="66">
        <f>2</f>
        <v>2</v>
      </c>
      <c r="L183" s="67" t="s">
        <v>840</v>
      </c>
      <c r="M183" s="66">
        <f>2</f>
        <v>2</v>
      </c>
      <c r="N183" s="67" t="s">
        <v>840</v>
      </c>
      <c r="O183" s="66">
        <f>1</f>
        <v>1</v>
      </c>
      <c r="P183" s="67" t="s">
        <v>840</v>
      </c>
      <c r="Q183" s="66">
        <f>1</f>
        <v>1</v>
      </c>
      <c r="R183" s="67" t="s">
        <v>50</v>
      </c>
      <c r="S183" s="68">
        <f>1.8</f>
        <v>1.8</v>
      </c>
      <c r="T183" s="65">
        <f>154835800</f>
        <v>154835800</v>
      </c>
      <c r="U183" s="65" t="str">
        <f t="shared" si="9"/>
        <v>－</v>
      </c>
      <c r="V183" s="65">
        <f>281720200</f>
        <v>281720200</v>
      </c>
      <c r="W183" s="65" t="str">
        <f t="shared" si="10"/>
        <v>－</v>
      </c>
      <c r="X183" s="69">
        <f>20</f>
        <v>20</v>
      </c>
    </row>
    <row r="184" spans="1:24">
      <c r="A184" s="60" t="s">
        <v>872</v>
      </c>
      <c r="B184" s="60" t="s">
        <v>770</v>
      </c>
      <c r="C184" s="60" t="s">
        <v>771</v>
      </c>
      <c r="D184" s="60" t="s">
        <v>772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</v>
      </c>
      <c r="K184" s="66">
        <f>424</f>
        <v>424</v>
      </c>
      <c r="L184" s="67" t="s">
        <v>840</v>
      </c>
      <c r="M184" s="66">
        <f>428</f>
        <v>428</v>
      </c>
      <c r="N184" s="67" t="s">
        <v>833</v>
      </c>
      <c r="O184" s="66">
        <f>363</f>
        <v>363</v>
      </c>
      <c r="P184" s="67" t="s">
        <v>119</v>
      </c>
      <c r="Q184" s="66">
        <f>379</f>
        <v>379</v>
      </c>
      <c r="R184" s="67" t="s">
        <v>50</v>
      </c>
      <c r="S184" s="68">
        <f>391.05</f>
        <v>391.05</v>
      </c>
      <c r="T184" s="65">
        <f>1769790</f>
        <v>1769790</v>
      </c>
      <c r="U184" s="65" t="str">
        <f t="shared" si="9"/>
        <v>－</v>
      </c>
      <c r="V184" s="65">
        <f>688048040</f>
        <v>688048040</v>
      </c>
      <c r="W184" s="65" t="str">
        <f t="shared" si="10"/>
        <v>－</v>
      </c>
      <c r="X184" s="69">
        <f>20</f>
        <v>20</v>
      </c>
    </row>
    <row r="185" spans="1:24">
      <c r="A185" s="60" t="s">
        <v>872</v>
      </c>
      <c r="B185" s="60" t="s">
        <v>773</v>
      </c>
      <c r="C185" s="60" t="s">
        <v>774</v>
      </c>
      <c r="D185" s="60" t="s">
        <v>775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</v>
      </c>
      <c r="K185" s="66">
        <f>1729</f>
        <v>1729</v>
      </c>
      <c r="L185" s="67" t="s">
        <v>840</v>
      </c>
      <c r="M185" s="66">
        <f>1786</f>
        <v>1786</v>
      </c>
      <c r="N185" s="67" t="s">
        <v>840</v>
      </c>
      <c r="O185" s="66">
        <f>1581</f>
        <v>1581</v>
      </c>
      <c r="P185" s="67" t="s">
        <v>119</v>
      </c>
      <c r="Q185" s="66">
        <f>1720</f>
        <v>1720</v>
      </c>
      <c r="R185" s="67" t="s">
        <v>50</v>
      </c>
      <c r="S185" s="68">
        <f>1685.58</f>
        <v>1685.58</v>
      </c>
      <c r="T185" s="65">
        <f>3671</f>
        <v>3671</v>
      </c>
      <c r="U185" s="65" t="str">
        <f t="shared" si="9"/>
        <v>－</v>
      </c>
      <c r="V185" s="65">
        <f>6153647</f>
        <v>6153647</v>
      </c>
      <c r="W185" s="65" t="str">
        <f t="shared" si="10"/>
        <v>－</v>
      </c>
      <c r="X185" s="69">
        <f>19</f>
        <v>19</v>
      </c>
    </row>
    <row r="186" spans="1:24">
      <c r="A186" s="60" t="s">
        <v>872</v>
      </c>
      <c r="B186" s="60" t="s">
        <v>776</v>
      </c>
      <c r="C186" s="60" t="s">
        <v>777</v>
      </c>
      <c r="D186" s="60" t="s">
        <v>778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100</v>
      </c>
      <c r="K186" s="66">
        <f>276</f>
        <v>276</v>
      </c>
      <c r="L186" s="67" t="s">
        <v>833</v>
      </c>
      <c r="M186" s="66">
        <f>301</f>
        <v>301</v>
      </c>
      <c r="N186" s="67" t="s">
        <v>100</v>
      </c>
      <c r="O186" s="66">
        <f>264</f>
        <v>264</v>
      </c>
      <c r="P186" s="67" t="s">
        <v>816</v>
      </c>
      <c r="Q186" s="66">
        <f>264</f>
        <v>264</v>
      </c>
      <c r="R186" s="67" t="s">
        <v>816</v>
      </c>
      <c r="S186" s="68">
        <f>286.2</f>
        <v>286.2</v>
      </c>
      <c r="T186" s="65">
        <f>1100</f>
        <v>1100</v>
      </c>
      <c r="U186" s="65" t="str">
        <f t="shared" si="9"/>
        <v>－</v>
      </c>
      <c r="V186" s="65">
        <f>315400</f>
        <v>315400</v>
      </c>
      <c r="W186" s="65" t="str">
        <f t="shared" si="10"/>
        <v>－</v>
      </c>
      <c r="X186" s="69">
        <f>5</f>
        <v>5</v>
      </c>
    </row>
    <row r="187" spans="1:24">
      <c r="A187" s="60" t="s">
        <v>872</v>
      </c>
      <c r="B187" s="60" t="s">
        <v>779</v>
      </c>
      <c r="C187" s="60" t="s">
        <v>780</v>
      </c>
      <c r="D187" s="60" t="s">
        <v>781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10</v>
      </c>
      <c r="K187" s="66">
        <f>2885</f>
        <v>2885</v>
      </c>
      <c r="L187" s="67" t="s">
        <v>840</v>
      </c>
      <c r="M187" s="66">
        <f>2950</f>
        <v>2950</v>
      </c>
      <c r="N187" s="67" t="s">
        <v>833</v>
      </c>
      <c r="O187" s="66">
        <f>2830</f>
        <v>2830</v>
      </c>
      <c r="P187" s="67" t="s">
        <v>816</v>
      </c>
      <c r="Q187" s="66">
        <f>2914</f>
        <v>2914</v>
      </c>
      <c r="R187" s="67" t="s">
        <v>50</v>
      </c>
      <c r="S187" s="68">
        <f>2888.84</f>
        <v>2888.84</v>
      </c>
      <c r="T187" s="65">
        <f>3250</f>
        <v>3250</v>
      </c>
      <c r="U187" s="65" t="str">
        <f t="shared" si="9"/>
        <v>－</v>
      </c>
      <c r="V187" s="65">
        <f>9418120</f>
        <v>9418120</v>
      </c>
      <c r="W187" s="65" t="str">
        <f t="shared" si="10"/>
        <v>－</v>
      </c>
      <c r="X187" s="69">
        <f>19</f>
        <v>19</v>
      </c>
    </row>
    <row r="188" spans="1:24">
      <c r="A188" s="60" t="s">
        <v>872</v>
      </c>
      <c r="B188" s="60" t="s">
        <v>782</v>
      </c>
      <c r="C188" s="60" t="s">
        <v>783</v>
      </c>
      <c r="D188" s="60" t="s">
        <v>784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</v>
      </c>
      <c r="K188" s="66">
        <f>1540</f>
        <v>1540</v>
      </c>
      <c r="L188" s="67" t="s">
        <v>840</v>
      </c>
      <c r="M188" s="66">
        <f>1580</f>
        <v>1580</v>
      </c>
      <c r="N188" s="67" t="s">
        <v>100</v>
      </c>
      <c r="O188" s="66">
        <f>1424</f>
        <v>1424</v>
      </c>
      <c r="P188" s="67" t="s">
        <v>816</v>
      </c>
      <c r="Q188" s="66">
        <f>1424</f>
        <v>1424</v>
      </c>
      <c r="R188" s="67" t="s">
        <v>816</v>
      </c>
      <c r="S188" s="68">
        <f>1516.13</f>
        <v>1516.13</v>
      </c>
      <c r="T188" s="65">
        <f>660</f>
        <v>660</v>
      </c>
      <c r="U188" s="65" t="str">
        <f t="shared" si="9"/>
        <v>－</v>
      </c>
      <c r="V188" s="65">
        <f>1011390</f>
        <v>1011390</v>
      </c>
      <c r="W188" s="65" t="str">
        <f t="shared" si="10"/>
        <v>－</v>
      </c>
      <c r="X188" s="69">
        <f>8</f>
        <v>8</v>
      </c>
    </row>
    <row r="189" spans="1:24">
      <c r="A189" s="60" t="s">
        <v>872</v>
      </c>
      <c r="B189" s="60" t="s">
        <v>785</v>
      </c>
      <c r="C189" s="60" t="s">
        <v>786</v>
      </c>
      <c r="D189" s="60" t="s">
        <v>787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100</v>
      </c>
      <c r="K189" s="66">
        <f>66</f>
        <v>66</v>
      </c>
      <c r="L189" s="67" t="s">
        <v>840</v>
      </c>
      <c r="M189" s="66">
        <f>69</f>
        <v>69</v>
      </c>
      <c r="N189" s="67" t="s">
        <v>833</v>
      </c>
      <c r="O189" s="66">
        <f>64</f>
        <v>64</v>
      </c>
      <c r="P189" s="67" t="s">
        <v>72</v>
      </c>
      <c r="Q189" s="66">
        <f>67</f>
        <v>67</v>
      </c>
      <c r="R189" s="67" t="s">
        <v>50</v>
      </c>
      <c r="S189" s="68">
        <f>66.45</f>
        <v>66.45</v>
      </c>
      <c r="T189" s="65">
        <f>8350200</f>
        <v>8350200</v>
      </c>
      <c r="U189" s="65" t="str">
        <f t="shared" si="9"/>
        <v>－</v>
      </c>
      <c r="V189" s="65">
        <f>554513700</f>
        <v>554513700</v>
      </c>
      <c r="W189" s="65" t="str">
        <f t="shared" si="10"/>
        <v>－</v>
      </c>
      <c r="X189" s="69">
        <f>20</f>
        <v>20</v>
      </c>
    </row>
    <row r="190" spans="1:24">
      <c r="A190" s="60" t="s">
        <v>872</v>
      </c>
      <c r="B190" s="60" t="s">
        <v>788</v>
      </c>
      <c r="C190" s="60" t="s">
        <v>789</v>
      </c>
      <c r="D190" s="60" t="s">
        <v>790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100</v>
      </c>
      <c r="K190" s="66">
        <f>67</f>
        <v>67</v>
      </c>
      <c r="L190" s="67" t="s">
        <v>840</v>
      </c>
      <c r="M190" s="66">
        <f>70</f>
        <v>70</v>
      </c>
      <c r="N190" s="67" t="s">
        <v>90</v>
      </c>
      <c r="O190" s="66">
        <f>65</f>
        <v>65</v>
      </c>
      <c r="P190" s="67" t="s">
        <v>840</v>
      </c>
      <c r="Q190" s="66">
        <f>68</f>
        <v>68</v>
      </c>
      <c r="R190" s="67" t="s">
        <v>50</v>
      </c>
      <c r="S190" s="68">
        <f>67.85</f>
        <v>67.849999999999994</v>
      </c>
      <c r="T190" s="65">
        <f>2612200</f>
        <v>2612200</v>
      </c>
      <c r="U190" s="65" t="str">
        <f t="shared" si="9"/>
        <v>－</v>
      </c>
      <c r="V190" s="65">
        <f>176489100</f>
        <v>176489100</v>
      </c>
      <c r="W190" s="65" t="str">
        <f t="shared" si="10"/>
        <v>－</v>
      </c>
      <c r="X190" s="69">
        <f>20</f>
        <v>20</v>
      </c>
    </row>
    <row r="191" spans="1:24">
      <c r="A191" s="60" t="s">
        <v>872</v>
      </c>
      <c r="B191" s="60" t="s">
        <v>791</v>
      </c>
      <c r="C191" s="60" t="s">
        <v>792</v>
      </c>
      <c r="D191" s="60" t="s">
        <v>793</v>
      </c>
      <c r="E191" s="61" t="s">
        <v>46</v>
      </c>
      <c r="F191" s="62" t="s">
        <v>46</v>
      </c>
      <c r="G191" s="63" t="s">
        <v>46</v>
      </c>
      <c r="H191" s="64"/>
      <c r="I191" s="64" t="s">
        <v>47</v>
      </c>
      <c r="J191" s="65">
        <v>10</v>
      </c>
      <c r="K191" s="66">
        <f>1790</f>
        <v>1790</v>
      </c>
      <c r="L191" s="67" t="s">
        <v>840</v>
      </c>
      <c r="M191" s="66">
        <f>1905</f>
        <v>1905</v>
      </c>
      <c r="N191" s="67" t="s">
        <v>822</v>
      </c>
      <c r="O191" s="66">
        <f>1760</f>
        <v>1760</v>
      </c>
      <c r="P191" s="67" t="s">
        <v>840</v>
      </c>
      <c r="Q191" s="66">
        <f>1839</f>
        <v>1839</v>
      </c>
      <c r="R191" s="67" t="s">
        <v>50</v>
      </c>
      <c r="S191" s="68">
        <f>1832.45</f>
        <v>1832.45</v>
      </c>
      <c r="T191" s="65">
        <f>53660</f>
        <v>53660</v>
      </c>
      <c r="U191" s="65" t="str">
        <f t="shared" si="9"/>
        <v>－</v>
      </c>
      <c r="V191" s="65">
        <f>98690370</f>
        <v>98690370</v>
      </c>
      <c r="W191" s="65" t="str">
        <f t="shared" si="10"/>
        <v>－</v>
      </c>
      <c r="X191" s="69">
        <f>20</f>
        <v>20</v>
      </c>
    </row>
    <row r="192" spans="1:24">
      <c r="A192" s="60" t="s">
        <v>872</v>
      </c>
      <c r="B192" s="60" t="s">
        <v>568</v>
      </c>
      <c r="C192" s="60" t="s">
        <v>569</v>
      </c>
      <c r="D192" s="60" t="s">
        <v>570</v>
      </c>
      <c r="E192" s="61" t="s">
        <v>46</v>
      </c>
      <c r="F192" s="62" t="s">
        <v>46</v>
      </c>
      <c r="G192" s="63" t="s">
        <v>46</v>
      </c>
      <c r="H192" s="64"/>
      <c r="I192" s="64" t="s">
        <v>47</v>
      </c>
      <c r="J192" s="65">
        <v>10</v>
      </c>
      <c r="K192" s="66">
        <f>1455</f>
        <v>1455</v>
      </c>
      <c r="L192" s="67" t="s">
        <v>840</v>
      </c>
      <c r="M192" s="66">
        <f>1465</f>
        <v>1465</v>
      </c>
      <c r="N192" s="67" t="s">
        <v>90</v>
      </c>
      <c r="O192" s="66">
        <f>1406</f>
        <v>1406</v>
      </c>
      <c r="P192" s="67" t="s">
        <v>175</v>
      </c>
      <c r="Q192" s="66">
        <f>1415</f>
        <v>1415</v>
      </c>
      <c r="R192" s="67" t="s">
        <v>50</v>
      </c>
      <c r="S192" s="68">
        <f>1432.35</f>
        <v>1432.35</v>
      </c>
      <c r="T192" s="65">
        <f>62160</f>
        <v>62160</v>
      </c>
      <c r="U192" s="65" t="str">
        <f t="shared" si="9"/>
        <v>－</v>
      </c>
      <c r="V192" s="65">
        <f>88544410</f>
        <v>88544410</v>
      </c>
      <c r="W192" s="65" t="str">
        <f t="shared" si="10"/>
        <v>－</v>
      </c>
      <c r="X192" s="69">
        <f>20</f>
        <v>20</v>
      </c>
    </row>
    <row r="193" spans="1:24">
      <c r="A193" s="60" t="s">
        <v>872</v>
      </c>
      <c r="B193" s="60" t="s">
        <v>571</v>
      </c>
      <c r="C193" s="60" t="s">
        <v>572</v>
      </c>
      <c r="D193" s="60" t="s">
        <v>573</v>
      </c>
      <c r="E193" s="61" t="s">
        <v>46</v>
      </c>
      <c r="F193" s="62" t="s">
        <v>46</v>
      </c>
      <c r="G193" s="63" t="s">
        <v>46</v>
      </c>
      <c r="H193" s="64"/>
      <c r="I193" s="64" t="s">
        <v>47</v>
      </c>
      <c r="J193" s="65">
        <v>10</v>
      </c>
      <c r="K193" s="66">
        <f>111</f>
        <v>111</v>
      </c>
      <c r="L193" s="67" t="s">
        <v>840</v>
      </c>
      <c r="M193" s="66">
        <f>113</f>
        <v>113</v>
      </c>
      <c r="N193" s="67" t="s">
        <v>833</v>
      </c>
      <c r="O193" s="66">
        <f>96</f>
        <v>96</v>
      </c>
      <c r="P193" s="67" t="s">
        <v>119</v>
      </c>
      <c r="Q193" s="66">
        <f>101</f>
        <v>101</v>
      </c>
      <c r="R193" s="67" t="s">
        <v>50</v>
      </c>
      <c r="S193" s="68">
        <f>103.05</f>
        <v>103.05</v>
      </c>
      <c r="T193" s="65">
        <f>196223790</f>
        <v>196223790</v>
      </c>
      <c r="U193" s="65">
        <f>990280</f>
        <v>990280</v>
      </c>
      <c r="V193" s="65">
        <f>20181940690</f>
        <v>20181940690</v>
      </c>
      <c r="W193" s="65">
        <f>106040880</f>
        <v>106040880</v>
      </c>
      <c r="X193" s="69">
        <f>20</f>
        <v>20</v>
      </c>
    </row>
    <row r="194" spans="1:24">
      <c r="A194" s="60" t="s">
        <v>872</v>
      </c>
      <c r="B194" s="60" t="s">
        <v>574</v>
      </c>
      <c r="C194" s="60" t="s">
        <v>575</v>
      </c>
      <c r="D194" s="60" t="s">
        <v>576</v>
      </c>
      <c r="E194" s="61" t="s">
        <v>46</v>
      </c>
      <c r="F194" s="62" t="s">
        <v>46</v>
      </c>
      <c r="G194" s="63" t="s">
        <v>46</v>
      </c>
      <c r="H194" s="64"/>
      <c r="I194" s="64" t="s">
        <v>577</v>
      </c>
      <c r="J194" s="65">
        <v>1</v>
      </c>
      <c r="K194" s="66">
        <f>9270</f>
        <v>9270</v>
      </c>
      <c r="L194" s="67" t="s">
        <v>840</v>
      </c>
      <c r="M194" s="66">
        <f>9270</f>
        <v>9270</v>
      </c>
      <c r="N194" s="67" t="s">
        <v>840</v>
      </c>
      <c r="O194" s="66">
        <f>7760</f>
        <v>7760</v>
      </c>
      <c r="P194" s="67" t="s">
        <v>95</v>
      </c>
      <c r="Q194" s="66">
        <f>7890</f>
        <v>7890</v>
      </c>
      <c r="R194" s="67" t="s">
        <v>50</v>
      </c>
      <c r="S194" s="68">
        <f>8512.5</f>
        <v>8512.5</v>
      </c>
      <c r="T194" s="65">
        <f>7644</f>
        <v>7644</v>
      </c>
      <c r="U194" s="65">
        <f>1</f>
        <v>1</v>
      </c>
      <c r="V194" s="65">
        <f>64147180</f>
        <v>64147180</v>
      </c>
      <c r="W194" s="65">
        <f>7790</f>
        <v>7790</v>
      </c>
      <c r="X194" s="69">
        <f>20</f>
        <v>20</v>
      </c>
    </row>
    <row r="195" spans="1:24">
      <c r="A195" s="60" t="s">
        <v>872</v>
      </c>
      <c r="B195" s="60" t="s">
        <v>578</v>
      </c>
      <c r="C195" s="60" t="s">
        <v>579</v>
      </c>
      <c r="D195" s="60" t="s">
        <v>580</v>
      </c>
      <c r="E195" s="61" t="s">
        <v>46</v>
      </c>
      <c r="F195" s="62" t="s">
        <v>46</v>
      </c>
      <c r="G195" s="63" t="s">
        <v>46</v>
      </c>
      <c r="H195" s="64"/>
      <c r="I195" s="64" t="s">
        <v>577</v>
      </c>
      <c r="J195" s="65">
        <v>1</v>
      </c>
      <c r="K195" s="66">
        <f>6030</f>
        <v>6030</v>
      </c>
      <c r="L195" s="67" t="s">
        <v>840</v>
      </c>
      <c r="M195" s="66">
        <f>6530</f>
        <v>6530</v>
      </c>
      <c r="N195" s="67" t="s">
        <v>95</v>
      </c>
      <c r="O195" s="66">
        <f>6020</f>
        <v>6020</v>
      </c>
      <c r="P195" s="67" t="s">
        <v>840</v>
      </c>
      <c r="Q195" s="66">
        <f>6460</f>
        <v>6460</v>
      </c>
      <c r="R195" s="67" t="s">
        <v>50</v>
      </c>
      <c r="S195" s="68">
        <f>6251.5</f>
        <v>6251.5</v>
      </c>
      <c r="T195" s="65">
        <f>2458</f>
        <v>2458</v>
      </c>
      <c r="U195" s="65" t="str">
        <f>"－"</f>
        <v>－</v>
      </c>
      <c r="V195" s="65">
        <f>15352810</f>
        <v>15352810</v>
      </c>
      <c r="W195" s="65" t="str">
        <f>"－"</f>
        <v>－</v>
      </c>
      <c r="X195" s="69">
        <f>20</f>
        <v>20</v>
      </c>
    </row>
    <row r="196" spans="1:24">
      <c r="A196" s="60" t="s">
        <v>872</v>
      </c>
      <c r="B196" s="60" t="s">
        <v>581</v>
      </c>
      <c r="C196" s="60" t="s">
        <v>582</v>
      </c>
      <c r="D196" s="60" t="s">
        <v>583</v>
      </c>
      <c r="E196" s="61" t="s">
        <v>46</v>
      </c>
      <c r="F196" s="62" t="s">
        <v>46</v>
      </c>
      <c r="G196" s="63" t="s">
        <v>46</v>
      </c>
      <c r="H196" s="64"/>
      <c r="I196" s="64" t="s">
        <v>577</v>
      </c>
      <c r="J196" s="65">
        <v>1</v>
      </c>
      <c r="K196" s="66">
        <f>9840</f>
        <v>9840</v>
      </c>
      <c r="L196" s="67" t="s">
        <v>840</v>
      </c>
      <c r="M196" s="66">
        <f>10770</f>
        <v>10770</v>
      </c>
      <c r="N196" s="67" t="s">
        <v>86</v>
      </c>
      <c r="O196" s="66">
        <f>9470</f>
        <v>9470</v>
      </c>
      <c r="P196" s="67" t="s">
        <v>175</v>
      </c>
      <c r="Q196" s="66">
        <f>10000</f>
        <v>10000</v>
      </c>
      <c r="R196" s="67" t="s">
        <v>245</v>
      </c>
      <c r="S196" s="68">
        <f>10195.88</f>
        <v>10195.879999999999</v>
      </c>
      <c r="T196" s="65">
        <f>619</f>
        <v>619</v>
      </c>
      <c r="U196" s="65" t="str">
        <f>"－"</f>
        <v>－</v>
      </c>
      <c r="V196" s="65">
        <f>6162000</f>
        <v>6162000</v>
      </c>
      <c r="W196" s="65" t="str">
        <f>"－"</f>
        <v>－</v>
      </c>
      <c r="X196" s="69">
        <f>17</f>
        <v>17</v>
      </c>
    </row>
    <row r="197" spans="1:24">
      <c r="A197" s="60" t="s">
        <v>872</v>
      </c>
      <c r="B197" s="60" t="s">
        <v>584</v>
      </c>
      <c r="C197" s="60" t="s">
        <v>585</v>
      </c>
      <c r="D197" s="60" t="s">
        <v>586</v>
      </c>
      <c r="E197" s="61" t="s">
        <v>46</v>
      </c>
      <c r="F197" s="62" t="s">
        <v>46</v>
      </c>
      <c r="G197" s="63" t="s">
        <v>46</v>
      </c>
      <c r="H197" s="64"/>
      <c r="I197" s="64" t="s">
        <v>577</v>
      </c>
      <c r="J197" s="65">
        <v>1</v>
      </c>
      <c r="K197" s="66">
        <f>7820</f>
        <v>7820</v>
      </c>
      <c r="L197" s="67" t="s">
        <v>840</v>
      </c>
      <c r="M197" s="66">
        <f>8000</f>
        <v>8000</v>
      </c>
      <c r="N197" s="67" t="s">
        <v>816</v>
      </c>
      <c r="O197" s="66">
        <f>7450</f>
        <v>7450</v>
      </c>
      <c r="P197" s="67" t="s">
        <v>79</v>
      </c>
      <c r="Q197" s="66">
        <f>7800</f>
        <v>7800</v>
      </c>
      <c r="R197" s="67" t="s">
        <v>50</v>
      </c>
      <c r="S197" s="68">
        <f>7777</f>
        <v>7777</v>
      </c>
      <c r="T197" s="65">
        <f>11835</f>
        <v>11835</v>
      </c>
      <c r="U197" s="65">
        <f>7</f>
        <v>7</v>
      </c>
      <c r="V197" s="65">
        <f>91832670</f>
        <v>91832670</v>
      </c>
      <c r="W197" s="65">
        <f>53060</f>
        <v>53060</v>
      </c>
      <c r="X197" s="69">
        <f>20</f>
        <v>20</v>
      </c>
    </row>
    <row r="198" spans="1:24">
      <c r="A198" s="60" t="s">
        <v>872</v>
      </c>
      <c r="B198" s="60" t="s">
        <v>587</v>
      </c>
      <c r="C198" s="60" t="s">
        <v>588</v>
      </c>
      <c r="D198" s="60" t="s">
        <v>589</v>
      </c>
      <c r="E198" s="61" t="s">
        <v>46</v>
      </c>
      <c r="F198" s="62" t="s">
        <v>46</v>
      </c>
      <c r="G198" s="63" t="s">
        <v>46</v>
      </c>
      <c r="H198" s="64"/>
      <c r="I198" s="64" t="s">
        <v>577</v>
      </c>
      <c r="J198" s="65">
        <v>1</v>
      </c>
      <c r="K198" s="66">
        <f>553</f>
        <v>553</v>
      </c>
      <c r="L198" s="67" t="s">
        <v>840</v>
      </c>
      <c r="M198" s="66">
        <f>636</f>
        <v>636</v>
      </c>
      <c r="N198" s="67" t="s">
        <v>818</v>
      </c>
      <c r="O198" s="66">
        <f>463</f>
        <v>463</v>
      </c>
      <c r="P198" s="67" t="s">
        <v>245</v>
      </c>
      <c r="Q198" s="66">
        <f>478</f>
        <v>478</v>
      </c>
      <c r="R198" s="67" t="s">
        <v>50</v>
      </c>
      <c r="S198" s="68">
        <f>524.35</f>
        <v>524.35</v>
      </c>
      <c r="T198" s="65">
        <f>14758043</f>
        <v>14758043</v>
      </c>
      <c r="U198" s="65">
        <f>470</f>
        <v>470</v>
      </c>
      <c r="V198" s="65">
        <f>7724824162</f>
        <v>7724824162</v>
      </c>
      <c r="W198" s="65">
        <f>240236</f>
        <v>240236</v>
      </c>
      <c r="X198" s="69">
        <f>20</f>
        <v>20</v>
      </c>
    </row>
    <row r="199" spans="1:24">
      <c r="A199" s="60" t="s">
        <v>872</v>
      </c>
      <c r="B199" s="60" t="s">
        <v>590</v>
      </c>
      <c r="C199" s="60" t="s">
        <v>856</v>
      </c>
      <c r="D199" s="60" t="s">
        <v>857</v>
      </c>
      <c r="E199" s="61" t="s">
        <v>46</v>
      </c>
      <c r="F199" s="62" t="s">
        <v>46</v>
      </c>
      <c r="G199" s="63" t="s">
        <v>46</v>
      </c>
      <c r="H199" s="64"/>
      <c r="I199" s="64" t="s">
        <v>577</v>
      </c>
      <c r="J199" s="65">
        <v>1</v>
      </c>
      <c r="K199" s="66">
        <f>20180</f>
        <v>20180</v>
      </c>
      <c r="L199" s="67" t="s">
        <v>840</v>
      </c>
      <c r="M199" s="66">
        <f>20600</f>
        <v>20600</v>
      </c>
      <c r="N199" s="67" t="s">
        <v>840</v>
      </c>
      <c r="O199" s="66">
        <f>17520</f>
        <v>17520</v>
      </c>
      <c r="P199" s="67" t="s">
        <v>175</v>
      </c>
      <c r="Q199" s="66">
        <f>18330</f>
        <v>18330</v>
      </c>
      <c r="R199" s="67" t="s">
        <v>50</v>
      </c>
      <c r="S199" s="68">
        <f>19219</f>
        <v>19219</v>
      </c>
      <c r="T199" s="65">
        <f>51756</f>
        <v>51756</v>
      </c>
      <c r="U199" s="65">
        <f>55</f>
        <v>55</v>
      </c>
      <c r="V199" s="65">
        <f>994537350</f>
        <v>994537350</v>
      </c>
      <c r="W199" s="65">
        <f>1047220</f>
        <v>1047220</v>
      </c>
      <c r="X199" s="69">
        <f>20</f>
        <v>20</v>
      </c>
    </row>
    <row r="200" spans="1:24">
      <c r="A200" s="60" t="s">
        <v>872</v>
      </c>
      <c r="B200" s="60" t="s">
        <v>593</v>
      </c>
      <c r="C200" s="60" t="s">
        <v>858</v>
      </c>
      <c r="D200" s="60" t="s">
        <v>859</v>
      </c>
      <c r="E200" s="61" t="s">
        <v>46</v>
      </c>
      <c r="F200" s="62" t="s">
        <v>46</v>
      </c>
      <c r="G200" s="63" t="s">
        <v>46</v>
      </c>
      <c r="H200" s="64"/>
      <c r="I200" s="64" t="s">
        <v>577</v>
      </c>
      <c r="J200" s="65">
        <v>1</v>
      </c>
      <c r="K200" s="66">
        <f>5400</f>
        <v>5400</v>
      </c>
      <c r="L200" s="67" t="s">
        <v>840</v>
      </c>
      <c r="M200" s="66">
        <f>5770</f>
        <v>5770</v>
      </c>
      <c r="N200" s="67" t="s">
        <v>175</v>
      </c>
      <c r="O200" s="66">
        <f>5300</f>
        <v>5300</v>
      </c>
      <c r="P200" s="67" t="s">
        <v>833</v>
      </c>
      <c r="Q200" s="66">
        <f>5590</f>
        <v>5590</v>
      </c>
      <c r="R200" s="67" t="s">
        <v>50</v>
      </c>
      <c r="S200" s="68">
        <f>5505</f>
        <v>5505</v>
      </c>
      <c r="T200" s="65">
        <f>36298</f>
        <v>36298</v>
      </c>
      <c r="U200" s="65" t="str">
        <f>"－"</f>
        <v>－</v>
      </c>
      <c r="V200" s="65">
        <f>199793400</f>
        <v>199793400</v>
      </c>
      <c r="W200" s="65" t="str">
        <f>"－"</f>
        <v>－</v>
      </c>
      <c r="X200" s="69">
        <f>20</f>
        <v>20</v>
      </c>
    </row>
    <row r="201" spans="1:24">
      <c r="A201" s="60" t="s">
        <v>872</v>
      </c>
      <c r="B201" s="60" t="s">
        <v>596</v>
      </c>
      <c r="C201" s="60" t="s">
        <v>860</v>
      </c>
      <c r="D201" s="60" t="s">
        <v>861</v>
      </c>
      <c r="E201" s="61" t="s">
        <v>46</v>
      </c>
      <c r="F201" s="62" t="s">
        <v>46</v>
      </c>
      <c r="G201" s="63" t="s">
        <v>46</v>
      </c>
      <c r="H201" s="64"/>
      <c r="I201" s="64" t="s">
        <v>577</v>
      </c>
      <c r="J201" s="65">
        <v>1</v>
      </c>
      <c r="K201" s="66">
        <f>285</f>
        <v>285</v>
      </c>
      <c r="L201" s="67" t="s">
        <v>840</v>
      </c>
      <c r="M201" s="66">
        <f>288</f>
        <v>288</v>
      </c>
      <c r="N201" s="67" t="s">
        <v>833</v>
      </c>
      <c r="O201" s="66">
        <f>220</f>
        <v>220</v>
      </c>
      <c r="P201" s="67" t="s">
        <v>119</v>
      </c>
      <c r="Q201" s="66">
        <f>228</f>
        <v>228</v>
      </c>
      <c r="R201" s="67" t="s">
        <v>50</v>
      </c>
      <c r="S201" s="68">
        <f>244.65</f>
        <v>244.65</v>
      </c>
      <c r="T201" s="65">
        <f>220351703</f>
        <v>220351703</v>
      </c>
      <c r="U201" s="65">
        <f>311272</f>
        <v>311272</v>
      </c>
      <c r="V201" s="65">
        <f>53119083146</f>
        <v>53119083146</v>
      </c>
      <c r="W201" s="65">
        <f>72368809</f>
        <v>72368809</v>
      </c>
      <c r="X201" s="69">
        <f>20</f>
        <v>20</v>
      </c>
    </row>
    <row r="202" spans="1:24">
      <c r="A202" s="60" t="s">
        <v>872</v>
      </c>
      <c r="B202" s="60" t="s">
        <v>599</v>
      </c>
      <c r="C202" s="60" t="s">
        <v>862</v>
      </c>
      <c r="D202" s="60" t="s">
        <v>863</v>
      </c>
      <c r="E202" s="61" t="s">
        <v>46</v>
      </c>
      <c r="F202" s="62" t="s">
        <v>46</v>
      </c>
      <c r="G202" s="63" t="s">
        <v>46</v>
      </c>
      <c r="H202" s="64"/>
      <c r="I202" s="64" t="s">
        <v>577</v>
      </c>
      <c r="J202" s="65">
        <v>1</v>
      </c>
      <c r="K202" s="66">
        <f>5820</f>
        <v>5820</v>
      </c>
      <c r="L202" s="67" t="s">
        <v>840</v>
      </c>
      <c r="M202" s="66">
        <f>6560</f>
        <v>6560</v>
      </c>
      <c r="N202" s="67" t="s">
        <v>119</v>
      </c>
      <c r="O202" s="66">
        <f>5770</f>
        <v>5770</v>
      </c>
      <c r="P202" s="67" t="s">
        <v>833</v>
      </c>
      <c r="Q202" s="66">
        <f>6330</f>
        <v>6330</v>
      </c>
      <c r="R202" s="67" t="s">
        <v>50</v>
      </c>
      <c r="S202" s="68">
        <f>6181.5</f>
        <v>6181.5</v>
      </c>
      <c r="T202" s="65">
        <f>190329</f>
        <v>190329</v>
      </c>
      <c r="U202" s="65">
        <f>212</f>
        <v>212</v>
      </c>
      <c r="V202" s="65">
        <f>1179038180</f>
        <v>1179038180</v>
      </c>
      <c r="W202" s="65">
        <f>1348860</f>
        <v>1348860</v>
      </c>
      <c r="X202" s="69">
        <f>20</f>
        <v>20</v>
      </c>
    </row>
    <row r="203" spans="1:24">
      <c r="A203" s="60" t="s">
        <v>872</v>
      </c>
      <c r="B203" s="60" t="s">
        <v>602</v>
      </c>
      <c r="C203" s="60" t="s">
        <v>603</v>
      </c>
      <c r="D203" s="60" t="s">
        <v>604</v>
      </c>
      <c r="E203" s="61" t="s">
        <v>46</v>
      </c>
      <c r="F203" s="62" t="s">
        <v>46</v>
      </c>
      <c r="G203" s="63" t="s">
        <v>46</v>
      </c>
      <c r="H203" s="64"/>
      <c r="I203" s="64" t="s">
        <v>577</v>
      </c>
      <c r="J203" s="65">
        <v>1</v>
      </c>
      <c r="K203" s="66">
        <f>21580</f>
        <v>21580</v>
      </c>
      <c r="L203" s="67" t="s">
        <v>840</v>
      </c>
      <c r="M203" s="66">
        <f>22520</f>
        <v>22520</v>
      </c>
      <c r="N203" s="67" t="s">
        <v>814</v>
      </c>
      <c r="O203" s="66">
        <f>19010</f>
        <v>19010</v>
      </c>
      <c r="P203" s="67" t="s">
        <v>175</v>
      </c>
      <c r="Q203" s="66">
        <f>19690</f>
        <v>19690</v>
      </c>
      <c r="R203" s="67" t="s">
        <v>50</v>
      </c>
      <c r="S203" s="68">
        <f>20715</f>
        <v>20715</v>
      </c>
      <c r="T203" s="65">
        <f>346169</f>
        <v>346169</v>
      </c>
      <c r="U203" s="65">
        <f>1</f>
        <v>1</v>
      </c>
      <c r="V203" s="65">
        <f>7153643470</f>
        <v>7153643470</v>
      </c>
      <c r="W203" s="65">
        <f>20690</f>
        <v>20690</v>
      </c>
      <c r="X203" s="69">
        <f>20</f>
        <v>20</v>
      </c>
    </row>
    <row r="204" spans="1:24">
      <c r="A204" s="60" t="s">
        <v>872</v>
      </c>
      <c r="B204" s="60" t="s">
        <v>605</v>
      </c>
      <c r="C204" s="60" t="s">
        <v>606</v>
      </c>
      <c r="D204" s="60" t="s">
        <v>607</v>
      </c>
      <c r="E204" s="61" t="s">
        <v>46</v>
      </c>
      <c r="F204" s="62" t="s">
        <v>46</v>
      </c>
      <c r="G204" s="63" t="s">
        <v>46</v>
      </c>
      <c r="H204" s="64"/>
      <c r="I204" s="64" t="s">
        <v>577</v>
      </c>
      <c r="J204" s="65">
        <v>1</v>
      </c>
      <c r="K204" s="66">
        <f>3780</f>
        <v>3780</v>
      </c>
      <c r="L204" s="67" t="s">
        <v>840</v>
      </c>
      <c r="M204" s="66">
        <f>4000</f>
        <v>4000</v>
      </c>
      <c r="N204" s="67" t="s">
        <v>175</v>
      </c>
      <c r="O204" s="66">
        <f>3695</f>
        <v>3695</v>
      </c>
      <c r="P204" s="67" t="s">
        <v>814</v>
      </c>
      <c r="Q204" s="66">
        <f>3920</f>
        <v>3920</v>
      </c>
      <c r="R204" s="67" t="s">
        <v>50</v>
      </c>
      <c r="S204" s="68">
        <f>3843</f>
        <v>3843</v>
      </c>
      <c r="T204" s="65">
        <f>414140</f>
        <v>414140</v>
      </c>
      <c r="U204" s="65">
        <f>105</f>
        <v>105</v>
      </c>
      <c r="V204" s="65">
        <f>1599971050</f>
        <v>1599971050</v>
      </c>
      <c r="W204" s="65">
        <f>411300</f>
        <v>411300</v>
      </c>
      <c r="X204" s="69">
        <f>20</f>
        <v>20</v>
      </c>
    </row>
    <row r="205" spans="1:24">
      <c r="A205" s="60" t="s">
        <v>872</v>
      </c>
      <c r="B205" s="60" t="s">
        <v>608</v>
      </c>
      <c r="C205" s="60" t="s">
        <v>609</v>
      </c>
      <c r="D205" s="60" t="s">
        <v>610</v>
      </c>
      <c r="E205" s="61" t="s">
        <v>46</v>
      </c>
      <c r="F205" s="62" t="s">
        <v>46</v>
      </c>
      <c r="G205" s="63" t="s">
        <v>46</v>
      </c>
      <c r="H205" s="64"/>
      <c r="I205" s="64" t="s">
        <v>577</v>
      </c>
      <c r="J205" s="65">
        <v>1</v>
      </c>
      <c r="K205" s="66">
        <f>11980</f>
        <v>11980</v>
      </c>
      <c r="L205" s="67" t="s">
        <v>840</v>
      </c>
      <c r="M205" s="66">
        <f>13450</f>
        <v>13450</v>
      </c>
      <c r="N205" s="67" t="s">
        <v>50</v>
      </c>
      <c r="O205" s="66">
        <f>11810</f>
        <v>11810</v>
      </c>
      <c r="P205" s="67" t="s">
        <v>65</v>
      </c>
      <c r="Q205" s="66">
        <f>13360</f>
        <v>13360</v>
      </c>
      <c r="R205" s="67" t="s">
        <v>50</v>
      </c>
      <c r="S205" s="68">
        <f>12475.5</f>
        <v>12475.5</v>
      </c>
      <c r="T205" s="65">
        <f>210551</f>
        <v>210551</v>
      </c>
      <c r="U205" s="65">
        <f>12051</f>
        <v>12051</v>
      </c>
      <c r="V205" s="65">
        <f>2699482850</f>
        <v>2699482850</v>
      </c>
      <c r="W205" s="65">
        <f>160202510</f>
        <v>160202510</v>
      </c>
      <c r="X205" s="69">
        <f>20</f>
        <v>20</v>
      </c>
    </row>
    <row r="206" spans="1:24">
      <c r="A206" s="60" t="s">
        <v>872</v>
      </c>
      <c r="B206" s="60" t="s">
        <v>611</v>
      </c>
      <c r="C206" s="60" t="s">
        <v>612</v>
      </c>
      <c r="D206" s="60" t="s">
        <v>613</v>
      </c>
      <c r="E206" s="61" t="s">
        <v>46</v>
      </c>
      <c r="F206" s="62" t="s">
        <v>46</v>
      </c>
      <c r="G206" s="63" t="s">
        <v>46</v>
      </c>
      <c r="H206" s="64"/>
      <c r="I206" s="64" t="s">
        <v>577</v>
      </c>
      <c r="J206" s="65">
        <v>1</v>
      </c>
      <c r="K206" s="66">
        <f>10180</f>
        <v>10180</v>
      </c>
      <c r="L206" s="67" t="s">
        <v>840</v>
      </c>
      <c r="M206" s="66">
        <f>10180</f>
        <v>10180</v>
      </c>
      <c r="N206" s="67" t="s">
        <v>840</v>
      </c>
      <c r="O206" s="66">
        <f>9270</f>
        <v>9270</v>
      </c>
      <c r="P206" s="67" t="s">
        <v>95</v>
      </c>
      <c r="Q206" s="66">
        <f>9310</f>
        <v>9310</v>
      </c>
      <c r="R206" s="67" t="s">
        <v>95</v>
      </c>
      <c r="S206" s="68">
        <f>9786.67</f>
        <v>9786.67</v>
      </c>
      <c r="T206" s="65">
        <f>528</f>
        <v>528</v>
      </c>
      <c r="U206" s="65" t="str">
        <f>"－"</f>
        <v>－</v>
      </c>
      <c r="V206" s="65">
        <f>5164990</f>
        <v>5164990</v>
      </c>
      <c r="W206" s="65" t="str">
        <f>"－"</f>
        <v>－</v>
      </c>
      <c r="X206" s="69">
        <f>15</f>
        <v>15</v>
      </c>
    </row>
    <row r="207" spans="1:24">
      <c r="A207" s="60" t="s">
        <v>872</v>
      </c>
      <c r="B207" s="60" t="s">
        <v>614</v>
      </c>
      <c r="C207" s="60" t="s">
        <v>615</v>
      </c>
      <c r="D207" s="60" t="s">
        <v>616</v>
      </c>
      <c r="E207" s="61" t="s">
        <v>46</v>
      </c>
      <c r="F207" s="62" t="s">
        <v>46</v>
      </c>
      <c r="G207" s="63" t="s">
        <v>46</v>
      </c>
      <c r="H207" s="64"/>
      <c r="I207" s="64" t="s">
        <v>577</v>
      </c>
      <c r="J207" s="65">
        <v>1</v>
      </c>
      <c r="K207" s="66">
        <f>14340</f>
        <v>14340</v>
      </c>
      <c r="L207" s="67" t="s">
        <v>840</v>
      </c>
      <c r="M207" s="66">
        <f>14700</f>
        <v>14700</v>
      </c>
      <c r="N207" s="67" t="s">
        <v>814</v>
      </c>
      <c r="O207" s="66">
        <f>13610</f>
        <v>13610</v>
      </c>
      <c r="P207" s="67" t="s">
        <v>175</v>
      </c>
      <c r="Q207" s="66">
        <f>13930</f>
        <v>13930</v>
      </c>
      <c r="R207" s="67" t="s">
        <v>50</v>
      </c>
      <c r="S207" s="68">
        <f>14184</f>
        <v>14184</v>
      </c>
      <c r="T207" s="65">
        <f>55929</f>
        <v>55929</v>
      </c>
      <c r="U207" s="65">
        <f>6500</f>
        <v>6500</v>
      </c>
      <c r="V207" s="65">
        <f>785347530</f>
        <v>785347530</v>
      </c>
      <c r="W207" s="65">
        <f>91162500</f>
        <v>91162500</v>
      </c>
      <c r="X207" s="69">
        <f>20</f>
        <v>20</v>
      </c>
    </row>
    <row r="208" spans="1:24">
      <c r="A208" s="60" t="s">
        <v>872</v>
      </c>
      <c r="B208" s="60" t="s">
        <v>617</v>
      </c>
      <c r="C208" s="60" t="s">
        <v>618</v>
      </c>
      <c r="D208" s="60" t="s">
        <v>619</v>
      </c>
      <c r="E208" s="61" t="s">
        <v>46</v>
      </c>
      <c r="F208" s="62" t="s">
        <v>46</v>
      </c>
      <c r="G208" s="63" t="s">
        <v>46</v>
      </c>
      <c r="H208" s="64"/>
      <c r="I208" s="64" t="s">
        <v>577</v>
      </c>
      <c r="J208" s="65">
        <v>1</v>
      </c>
      <c r="K208" s="66">
        <f>12300</f>
        <v>12300</v>
      </c>
      <c r="L208" s="67" t="s">
        <v>840</v>
      </c>
      <c r="M208" s="66">
        <f>12500</f>
        <v>12500</v>
      </c>
      <c r="N208" s="67" t="s">
        <v>822</v>
      </c>
      <c r="O208" s="66">
        <f>12010</f>
        <v>12010</v>
      </c>
      <c r="P208" s="67" t="s">
        <v>100</v>
      </c>
      <c r="Q208" s="66">
        <f>12270</f>
        <v>12270</v>
      </c>
      <c r="R208" s="67" t="s">
        <v>50</v>
      </c>
      <c r="S208" s="68">
        <f>12243.13</f>
        <v>12243.13</v>
      </c>
      <c r="T208" s="65">
        <f>636</f>
        <v>636</v>
      </c>
      <c r="U208" s="65" t="str">
        <f>"－"</f>
        <v>－</v>
      </c>
      <c r="V208" s="65">
        <f>7810700</f>
        <v>7810700</v>
      </c>
      <c r="W208" s="65" t="str">
        <f>"－"</f>
        <v>－</v>
      </c>
      <c r="X208" s="69">
        <f>16</f>
        <v>16</v>
      </c>
    </row>
    <row r="209" spans="1:24">
      <c r="A209" s="60" t="s">
        <v>872</v>
      </c>
      <c r="B209" s="60" t="s">
        <v>620</v>
      </c>
      <c r="C209" s="60" t="s">
        <v>621</v>
      </c>
      <c r="D209" s="60" t="s">
        <v>622</v>
      </c>
      <c r="E209" s="61" t="s">
        <v>46</v>
      </c>
      <c r="F209" s="62" t="s">
        <v>46</v>
      </c>
      <c r="G209" s="63" t="s">
        <v>46</v>
      </c>
      <c r="H209" s="64"/>
      <c r="I209" s="64" t="s">
        <v>577</v>
      </c>
      <c r="J209" s="65">
        <v>1</v>
      </c>
      <c r="K209" s="66">
        <f>7980</f>
        <v>7980</v>
      </c>
      <c r="L209" s="67" t="s">
        <v>840</v>
      </c>
      <c r="M209" s="66">
        <f>8250</f>
        <v>8250</v>
      </c>
      <c r="N209" s="67" t="s">
        <v>814</v>
      </c>
      <c r="O209" s="66">
        <f>7050</f>
        <v>7050</v>
      </c>
      <c r="P209" s="67" t="s">
        <v>175</v>
      </c>
      <c r="Q209" s="66">
        <f>7590</f>
        <v>7590</v>
      </c>
      <c r="R209" s="67" t="s">
        <v>50</v>
      </c>
      <c r="S209" s="68">
        <f>7781</f>
        <v>7781</v>
      </c>
      <c r="T209" s="65">
        <f>48605</f>
        <v>48605</v>
      </c>
      <c r="U209" s="65">
        <f>120</f>
        <v>120</v>
      </c>
      <c r="V209" s="65">
        <f>375250850</f>
        <v>375250850</v>
      </c>
      <c r="W209" s="65">
        <f>920850</f>
        <v>920850</v>
      </c>
      <c r="X209" s="69">
        <f>20</f>
        <v>20</v>
      </c>
    </row>
    <row r="210" spans="1:24">
      <c r="A210" s="60" t="s">
        <v>872</v>
      </c>
      <c r="B210" s="60" t="s">
        <v>623</v>
      </c>
      <c r="C210" s="60" t="s">
        <v>624</v>
      </c>
      <c r="D210" s="60" t="s">
        <v>625</v>
      </c>
      <c r="E210" s="61" t="s">
        <v>46</v>
      </c>
      <c r="F210" s="62" t="s">
        <v>46</v>
      </c>
      <c r="G210" s="63" t="s">
        <v>46</v>
      </c>
      <c r="H210" s="64"/>
      <c r="I210" s="64" t="s">
        <v>577</v>
      </c>
      <c r="J210" s="65">
        <v>1</v>
      </c>
      <c r="K210" s="66">
        <f>5860</f>
        <v>5860</v>
      </c>
      <c r="L210" s="67" t="s">
        <v>840</v>
      </c>
      <c r="M210" s="66">
        <f>6200</f>
        <v>6200</v>
      </c>
      <c r="N210" s="67" t="s">
        <v>816</v>
      </c>
      <c r="O210" s="66">
        <f>5700</f>
        <v>5700</v>
      </c>
      <c r="P210" s="67" t="s">
        <v>79</v>
      </c>
      <c r="Q210" s="66">
        <f>5960</f>
        <v>5960</v>
      </c>
      <c r="R210" s="67" t="s">
        <v>50</v>
      </c>
      <c r="S210" s="68">
        <f>5908.33</f>
        <v>5908.33</v>
      </c>
      <c r="T210" s="65">
        <f>8917</f>
        <v>8917</v>
      </c>
      <c r="U210" s="65" t="str">
        <f t="shared" ref="U210:U218" si="11">"－"</f>
        <v>－</v>
      </c>
      <c r="V210" s="65">
        <f>52969330</f>
        <v>52969330</v>
      </c>
      <c r="W210" s="65" t="str">
        <f t="shared" ref="W210:W218" si="12">"－"</f>
        <v>－</v>
      </c>
      <c r="X210" s="69">
        <f>18</f>
        <v>18</v>
      </c>
    </row>
    <row r="211" spans="1:24">
      <c r="A211" s="60" t="s">
        <v>872</v>
      </c>
      <c r="B211" s="60" t="s">
        <v>626</v>
      </c>
      <c r="C211" s="60" t="s">
        <v>627</v>
      </c>
      <c r="D211" s="60" t="s">
        <v>628</v>
      </c>
      <c r="E211" s="61" t="s">
        <v>46</v>
      </c>
      <c r="F211" s="62" t="s">
        <v>46</v>
      </c>
      <c r="G211" s="63" t="s">
        <v>46</v>
      </c>
      <c r="H211" s="64"/>
      <c r="I211" s="64" t="s">
        <v>577</v>
      </c>
      <c r="J211" s="65">
        <v>1</v>
      </c>
      <c r="K211" s="66">
        <f>8480</f>
        <v>8480</v>
      </c>
      <c r="L211" s="67" t="s">
        <v>840</v>
      </c>
      <c r="M211" s="66">
        <f>8900</f>
        <v>8900</v>
      </c>
      <c r="N211" s="67" t="s">
        <v>90</v>
      </c>
      <c r="O211" s="66">
        <f>8390</f>
        <v>8390</v>
      </c>
      <c r="P211" s="67" t="s">
        <v>99</v>
      </c>
      <c r="Q211" s="66">
        <f>8510</f>
        <v>8510</v>
      </c>
      <c r="R211" s="67" t="s">
        <v>245</v>
      </c>
      <c r="S211" s="68">
        <f>8557.86</f>
        <v>8557.86</v>
      </c>
      <c r="T211" s="65">
        <f>3875</f>
        <v>3875</v>
      </c>
      <c r="U211" s="65" t="str">
        <f t="shared" si="11"/>
        <v>－</v>
      </c>
      <c r="V211" s="65">
        <f>33313750</f>
        <v>33313750</v>
      </c>
      <c r="W211" s="65" t="str">
        <f t="shared" si="12"/>
        <v>－</v>
      </c>
      <c r="X211" s="69">
        <f>14</f>
        <v>14</v>
      </c>
    </row>
    <row r="212" spans="1:24">
      <c r="A212" s="60" t="s">
        <v>872</v>
      </c>
      <c r="B212" s="60" t="s">
        <v>629</v>
      </c>
      <c r="C212" s="60" t="s">
        <v>630</v>
      </c>
      <c r="D212" s="60" t="s">
        <v>631</v>
      </c>
      <c r="E212" s="61" t="s">
        <v>46</v>
      </c>
      <c r="F212" s="62" t="s">
        <v>46</v>
      </c>
      <c r="G212" s="63" t="s">
        <v>46</v>
      </c>
      <c r="H212" s="64"/>
      <c r="I212" s="64" t="s">
        <v>577</v>
      </c>
      <c r="J212" s="65">
        <v>1</v>
      </c>
      <c r="K212" s="66">
        <f>9880</f>
        <v>9880</v>
      </c>
      <c r="L212" s="67" t="s">
        <v>814</v>
      </c>
      <c r="M212" s="66">
        <f>10210</f>
        <v>10210</v>
      </c>
      <c r="N212" s="67" t="s">
        <v>79</v>
      </c>
      <c r="O212" s="66">
        <f>9860</f>
        <v>9860</v>
      </c>
      <c r="P212" s="67" t="s">
        <v>814</v>
      </c>
      <c r="Q212" s="66">
        <f>10210</f>
        <v>10210</v>
      </c>
      <c r="R212" s="67" t="s">
        <v>245</v>
      </c>
      <c r="S212" s="68">
        <f>10050</f>
        <v>10050</v>
      </c>
      <c r="T212" s="65">
        <f>21</f>
        <v>21</v>
      </c>
      <c r="U212" s="65" t="str">
        <f t="shared" si="11"/>
        <v>－</v>
      </c>
      <c r="V212" s="65">
        <f>210490</f>
        <v>210490</v>
      </c>
      <c r="W212" s="65" t="str">
        <f t="shared" si="12"/>
        <v>－</v>
      </c>
      <c r="X212" s="69">
        <f>7</f>
        <v>7</v>
      </c>
    </row>
    <row r="213" spans="1:24">
      <c r="A213" s="60" t="s">
        <v>872</v>
      </c>
      <c r="B213" s="60" t="s">
        <v>632</v>
      </c>
      <c r="C213" s="60" t="s">
        <v>633</v>
      </c>
      <c r="D213" s="60" t="s">
        <v>634</v>
      </c>
      <c r="E213" s="61" t="s">
        <v>46</v>
      </c>
      <c r="F213" s="62" t="s">
        <v>46</v>
      </c>
      <c r="G213" s="63" t="s">
        <v>46</v>
      </c>
      <c r="H213" s="64"/>
      <c r="I213" s="64" t="s">
        <v>577</v>
      </c>
      <c r="J213" s="65">
        <v>1</v>
      </c>
      <c r="K213" s="66">
        <f>10270</f>
        <v>10270</v>
      </c>
      <c r="L213" s="67" t="s">
        <v>814</v>
      </c>
      <c r="M213" s="66">
        <f>10580</f>
        <v>10580</v>
      </c>
      <c r="N213" s="67" t="s">
        <v>72</v>
      </c>
      <c r="O213" s="66">
        <f>10260</f>
        <v>10260</v>
      </c>
      <c r="P213" s="67" t="s">
        <v>119</v>
      </c>
      <c r="Q213" s="66">
        <f>10420</f>
        <v>10420</v>
      </c>
      <c r="R213" s="67" t="s">
        <v>245</v>
      </c>
      <c r="S213" s="68">
        <f>10366</f>
        <v>10366</v>
      </c>
      <c r="T213" s="65">
        <f>2031</f>
        <v>2031</v>
      </c>
      <c r="U213" s="65" t="str">
        <f t="shared" si="11"/>
        <v>－</v>
      </c>
      <c r="V213" s="65">
        <f>21160090</f>
        <v>21160090</v>
      </c>
      <c r="W213" s="65" t="str">
        <f t="shared" si="12"/>
        <v>－</v>
      </c>
      <c r="X213" s="69">
        <f>5</f>
        <v>5</v>
      </c>
    </row>
    <row r="214" spans="1:24">
      <c r="A214" s="60" t="s">
        <v>872</v>
      </c>
      <c r="B214" s="60" t="s">
        <v>635</v>
      </c>
      <c r="C214" s="60" t="s">
        <v>636</v>
      </c>
      <c r="D214" s="60" t="s">
        <v>637</v>
      </c>
      <c r="E214" s="61" t="s">
        <v>46</v>
      </c>
      <c r="F214" s="62" t="s">
        <v>46</v>
      </c>
      <c r="G214" s="63" t="s">
        <v>46</v>
      </c>
      <c r="H214" s="64"/>
      <c r="I214" s="64" t="s">
        <v>577</v>
      </c>
      <c r="J214" s="65">
        <v>1</v>
      </c>
      <c r="K214" s="66">
        <f>10910</f>
        <v>10910</v>
      </c>
      <c r="L214" s="67" t="s">
        <v>814</v>
      </c>
      <c r="M214" s="66">
        <f>11070</f>
        <v>11070</v>
      </c>
      <c r="N214" s="67" t="s">
        <v>50</v>
      </c>
      <c r="O214" s="66">
        <f>10580</f>
        <v>10580</v>
      </c>
      <c r="P214" s="67" t="s">
        <v>99</v>
      </c>
      <c r="Q214" s="66">
        <f>10930</f>
        <v>10930</v>
      </c>
      <c r="R214" s="67" t="s">
        <v>50</v>
      </c>
      <c r="S214" s="68">
        <f>10833</f>
        <v>10833</v>
      </c>
      <c r="T214" s="65">
        <f>1033</f>
        <v>1033</v>
      </c>
      <c r="U214" s="65" t="str">
        <f t="shared" si="11"/>
        <v>－</v>
      </c>
      <c r="V214" s="65">
        <f>11053590</f>
        <v>11053590</v>
      </c>
      <c r="W214" s="65" t="str">
        <f t="shared" si="12"/>
        <v>－</v>
      </c>
      <c r="X214" s="69">
        <f>10</f>
        <v>10</v>
      </c>
    </row>
    <row r="215" spans="1:24">
      <c r="A215" s="60" t="s">
        <v>872</v>
      </c>
      <c r="B215" s="60" t="s">
        <v>638</v>
      </c>
      <c r="C215" s="60" t="s">
        <v>639</v>
      </c>
      <c r="D215" s="60" t="s">
        <v>640</v>
      </c>
      <c r="E215" s="61" t="s">
        <v>46</v>
      </c>
      <c r="F215" s="62" t="s">
        <v>46</v>
      </c>
      <c r="G215" s="63" t="s">
        <v>46</v>
      </c>
      <c r="H215" s="64"/>
      <c r="I215" s="64" t="s">
        <v>577</v>
      </c>
      <c r="J215" s="65">
        <v>1</v>
      </c>
      <c r="K215" s="66">
        <f>10000</f>
        <v>10000</v>
      </c>
      <c r="L215" s="67" t="s">
        <v>814</v>
      </c>
      <c r="M215" s="66">
        <f>10000</f>
        <v>10000</v>
      </c>
      <c r="N215" s="67" t="s">
        <v>814</v>
      </c>
      <c r="O215" s="66">
        <f>9680</f>
        <v>9680</v>
      </c>
      <c r="P215" s="67" t="s">
        <v>119</v>
      </c>
      <c r="Q215" s="66">
        <f>9770</f>
        <v>9770</v>
      </c>
      <c r="R215" s="67" t="s">
        <v>50</v>
      </c>
      <c r="S215" s="68">
        <f>9865.33</f>
        <v>9865.33</v>
      </c>
      <c r="T215" s="65">
        <f>4614</f>
        <v>4614</v>
      </c>
      <c r="U215" s="65" t="str">
        <f t="shared" si="11"/>
        <v>－</v>
      </c>
      <c r="V215" s="65">
        <f>45396050</f>
        <v>45396050</v>
      </c>
      <c r="W215" s="65" t="str">
        <f t="shared" si="12"/>
        <v>－</v>
      </c>
      <c r="X215" s="69">
        <f>15</f>
        <v>15</v>
      </c>
    </row>
    <row r="216" spans="1:24">
      <c r="A216" s="60" t="s">
        <v>872</v>
      </c>
      <c r="B216" s="60" t="s">
        <v>641</v>
      </c>
      <c r="C216" s="60" t="s">
        <v>642</v>
      </c>
      <c r="D216" s="60" t="s">
        <v>643</v>
      </c>
      <c r="E216" s="61" t="s">
        <v>46</v>
      </c>
      <c r="F216" s="62" t="s">
        <v>46</v>
      </c>
      <c r="G216" s="63" t="s">
        <v>46</v>
      </c>
      <c r="H216" s="64"/>
      <c r="I216" s="64" t="s">
        <v>577</v>
      </c>
      <c r="J216" s="65">
        <v>1</v>
      </c>
      <c r="K216" s="66">
        <f>9840</f>
        <v>9840</v>
      </c>
      <c r="L216" s="67" t="s">
        <v>814</v>
      </c>
      <c r="M216" s="66">
        <f>10040</f>
        <v>10040</v>
      </c>
      <c r="N216" s="67" t="s">
        <v>245</v>
      </c>
      <c r="O216" s="66">
        <f>9660</f>
        <v>9660</v>
      </c>
      <c r="P216" s="67" t="s">
        <v>65</v>
      </c>
      <c r="Q216" s="66">
        <f>9880</f>
        <v>9880</v>
      </c>
      <c r="R216" s="67" t="s">
        <v>50</v>
      </c>
      <c r="S216" s="68">
        <f>9855</f>
        <v>9855</v>
      </c>
      <c r="T216" s="65">
        <f>705</f>
        <v>705</v>
      </c>
      <c r="U216" s="65" t="str">
        <f t="shared" si="11"/>
        <v>－</v>
      </c>
      <c r="V216" s="65">
        <f>6997180</f>
        <v>6997180</v>
      </c>
      <c r="W216" s="65" t="str">
        <f t="shared" si="12"/>
        <v>－</v>
      </c>
      <c r="X216" s="69">
        <f>4</f>
        <v>4</v>
      </c>
    </row>
    <row r="217" spans="1:24">
      <c r="A217" s="60" t="s">
        <v>872</v>
      </c>
      <c r="B217" s="60" t="s">
        <v>644</v>
      </c>
      <c r="C217" s="60" t="s">
        <v>645</v>
      </c>
      <c r="D217" s="60" t="s">
        <v>646</v>
      </c>
      <c r="E217" s="61" t="s">
        <v>46</v>
      </c>
      <c r="F217" s="62" t="s">
        <v>46</v>
      </c>
      <c r="G217" s="63" t="s">
        <v>46</v>
      </c>
      <c r="H217" s="64"/>
      <c r="I217" s="64" t="s">
        <v>577</v>
      </c>
      <c r="J217" s="65">
        <v>1</v>
      </c>
      <c r="K217" s="66">
        <f>10760</f>
        <v>10760</v>
      </c>
      <c r="L217" s="67" t="s">
        <v>65</v>
      </c>
      <c r="M217" s="66">
        <f>11080</f>
        <v>11080</v>
      </c>
      <c r="N217" s="67" t="s">
        <v>90</v>
      </c>
      <c r="O217" s="66">
        <f>10760</f>
        <v>10760</v>
      </c>
      <c r="P217" s="67" t="s">
        <v>65</v>
      </c>
      <c r="Q217" s="66">
        <f>11080</f>
        <v>11080</v>
      </c>
      <c r="R217" s="67" t="s">
        <v>90</v>
      </c>
      <c r="S217" s="68">
        <f>10920</f>
        <v>10920</v>
      </c>
      <c r="T217" s="65">
        <f>381</f>
        <v>381</v>
      </c>
      <c r="U217" s="65" t="str">
        <f t="shared" si="11"/>
        <v>－</v>
      </c>
      <c r="V217" s="65">
        <f>4099880</f>
        <v>4099880</v>
      </c>
      <c r="W217" s="65" t="str">
        <f t="shared" si="12"/>
        <v>－</v>
      </c>
      <c r="X217" s="69">
        <f>2</f>
        <v>2</v>
      </c>
    </row>
    <row r="218" spans="1:24">
      <c r="A218" s="60" t="s">
        <v>872</v>
      </c>
      <c r="B218" s="60" t="s">
        <v>647</v>
      </c>
      <c r="C218" s="60" t="s">
        <v>648</v>
      </c>
      <c r="D218" s="60" t="s">
        <v>649</v>
      </c>
      <c r="E218" s="61" t="s">
        <v>46</v>
      </c>
      <c r="F218" s="62" t="s">
        <v>46</v>
      </c>
      <c r="G218" s="63" t="s">
        <v>46</v>
      </c>
      <c r="H218" s="64"/>
      <c r="I218" s="64" t="s">
        <v>47</v>
      </c>
      <c r="J218" s="65">
        <v>10</v>
      </c>
      <c r="K218" s="66">
        <f>996</f>
        <v>996</v>
      </c>
      <c r="L218" s="67" t="s">
        <v>840</v>
      </c>
      <c r="M218" s="66">
        <f>1000</f>
        <v>1000</v>
      </c>
      <c r="N218" s="67" t="s">
        <v>99</v>
      </c>
      <c r="O218" s="66">
        <f>994</f>
        <v>994</v>
      </c>
      <c r="P218" s="67" t="s">
        <v>100</v>
      </c>
      <c r="Q218" s="66">
        <f>998</f>
        <v>998</v>
      </c>
      <c r="R218" s="67" t="s">
        <v>50</v>
      </c>
      <c r="S218" s="68">
        <f>997.2</f>
        <v>997.2</v>
      </c>
      <c r="T218" s="65">
        <f>210640</f>
        <v>210640</v>
      </c>
      <c r="U218" s="65" t="str">
        <f t="shared" si="11"/>
        <v>－</v>
      </c>
      <c r="V218" s="65">
        <f>210126920</f>
        <v>210126920</v>
      </c>
      <c r="W218" s="65" t="str">
        <f t="shared" si="12"/>
        <v>－</v>
      </c>
      <c r="X218" s="69">
        <f>20</f>
        <v>20</v>
      </c>
    </row>
    <row r="219" spans="1:24">
      <c r="A219" s="60" t="s">
        <v>872</v>
      </c>
      <c r="B219" s="60" t="s">
        <v>650</v>
      </c>
      <c r="C219" s="60" t="s">
        <v>651</v>
      </c>
      <c r="D219" s="60" t="s">
        <v>652</v>
      </c>
      <c r="E219" s="61" t="s">
        <v>46</v>
      </c>
      <c r="F219" s="62" t="s">
        <v>46</v>
      </c>
      <c r="G219" s="63" t="s">
        <v>46</v>
      </c>
      <c r="H219" s="64"/>
      <c r="I219" s="64" t="s">
        <v>47</v>
      </c>
      <c r="J219" s="65">
        <v>10</v>
      </c>
      <c r="K219" s="66">
        <f>1019</f>
        <v>1019</v>
      </c>
      <c r="L219" s="67" t="s">
        <v>840</v>
      </c>
      <c r="M219" s="66">
        <f>1024</f>
        <v>1024</v>
      </c>
      <c r="N219" s="67" t="s">
        <v>814</v>
      </c>
      <c r="O219" s="66">
        <f>990</f>
        <v>990</v>
      </c>
      <c r="P219" s="67" t="s">
        <v>99</v>
      </c>
      <c r="Q219" s="66">
        <f>1001</f>
        <v>1001</v>
      </c>
      <c r="R219" s="67" t="s">
        <v>50</v>
      </c>
      <c r="S219" s="68">
        <f>1002.9</f>
        <v>1002.9</v>
      </c>
      <c r="T219" s="65">
        <f>1145990</f>
        <v>1145990</v>
      </c>
      <c r="U219" s="65">
        <f>600520</f>
        <v>600520</v>
      </c>
      <c r="V219" s="65">
        <f>1150203360</f>
        <v>1150203360</v>
      </c>
      <c r="W219" s="65">
        <f>603335320</f>
        <v>603335320</v>
      </c>
      <c r="X219" s="69">
        <f>20</f>
        <v>20</v>
      </c>
    </row>
    <row r="220" spans="1:24">
      <c r="A220" s="60" t="s">
        <v>872</v>
      </c>
      <c r="B220" s="60" t="s">
        <v>653</v>
      </c>
      <c r="C220" s="60" t="s">
        <v>654</v>
      </c>
      <c r="D220" s="60" t="s">
        <v>655</v>
      </c>
      <c r="E220" s="61" t="s">
        <v>46</v>
      </c>
      <c r="F220" s="62" t="s">
        <v>46</v>
      </c>
      <c r="G220" s="63" t="s">
        <v>46</v>
      </c>
      <c r="H220" s="64"/>
      <c r="I220" s="64" t="s">
        <v>47</v>
      </c>
      <c r="J220" s="65">
        <v>10</v>
      </c>
      <c r="K220" s="66">
        <f>1056</f>
        <v>1056</v>
      </c>
      <c r="L220" s="67" t="s">
        <v>840</v>
      </c>
      <c r="M220" s="66">
        <f>1065</f>
        <v>1065</v>
      </c>
      <c r="N220" s="67" t="s">
        <v>100</v>
      </c>
      <c r="O220" s="66">
        <f>1050</f>
        <v>1050</v>
      </c>
      <c r="P220" s="67" t="s">
        <v>818</v>
      </c>
      <c r="Q220" s="66">
        <f>1060</f>
        <v>1060</v>
      </c>
      <c r="R220" s="67" t="s">
        <v>50</v>
      </c>
      <c r="S220" s="68">
        <f>1057.3</f>
        <v>1057.3</v>
      </c>
      <c r="T220" s="65">
        <f>316330</f>
        <v>316330</v>
      </c>
      <c r="U220" s="65">
        <f>275190</f>
        <v>275190</v>
      </c>
      <c r="V220" s="65">
        <f>334599575</f>
        <v>334599575</v>
      </c>
      <c r="W220" s="65">
        <f>291256855</f>
        <v>291256855</v>
      </c>
      <c r="X220" s="69">
        <f>20</f>
        <v>20</v>
      </c>
    </row>
    <row r="221" spans="1:24">
      <c r="A221" s="60" t="s">
        <v>872</v>
      </c>
      <c r="B221" s="60" t="s">
        <v>656</v>
      </c>
      <c r="C221" s="60" t="s">
        <v>657</v>
      </c>
      <c r="D221" s="60" t="s">
        <v>658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f>1165</f>
        <v>1165</v>
      </c>
      <c r="L221" s="67" t="s">
        <v>840</v>
      </c>
      <c r="M221" s="66">
        <f>1189</f>
        <v>1189</v>
      </c>
      <c r="N221" s="67" t="s">
        <v>814</v>
      </c>
      <c r="O221" s="66">
        <f>1069</f>
        <v>1069</v>
      </c>
      <c r="P221" s="67" t="s">
        <v>175</v>
      </c>
      <c r="Q221" s="66">
        <f>1099</f>
        <v>1099</v>
      </c>
      <c r="R221" s="67" t="s">
        <v>50</v>
      </c>
      <c r="S221" s="68">
        <f>1123.15</f>
        <v>1123.1500000000001</v>
      </c>
      <c r="T221" s="65">
        <f>807540</f>
        <v>807540</v>
      </c>
      <c r="U221" s="65">
        <f>177050</f>
        <v>177050</v>
      </c>
      <c r="V221" s="65">
        <f>915110650</f>
        <v>915110650</v>
      </c>
      <c r="W221" s="65">
        <f>199923320</f>
        <v>199923320</v>
      </c>
      <c r="X221" s="69">
        <f>20</f>
        <v>20</v>
      </c>
    </row>
    <row r="222" spans="1:24">
      <c r="A222" s="60" t="s">
        <v>872</v>
      </c>
      <c r="B222" s="60" t="s">
        <v>659</v>
      </c>
      <c r="C222" s="60" t="s">
        <v>660</v>
      </c>
      <c r="D222" s="60" t="s">
        <v>661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1201</f>
        <v>1201</v>
      </c>
      <c r="L222" s="67" t="s">
        <v>840</v>
      </c>
      <c r="M222" s="66">
        <f>1224</f>
        <v>1224</v>
      </c>
      <c r="N222" s="67" t="s">
        <v>814</v>
      </c>
      <c r="O222" s="66">
        <f>1118</f>
        <v>1118</v>
      </c>
      <c r="P222" s="67" t="s">
        <v>175</v>
      </c>
      <c r="Q222" s="66">
        <f>1143</f>
        <v>1143</v>
      </c>
      <c r="R222" s="67" t="s">
        <v>50</v>
      </c>
      <c r="S222" s="68">
        <f>1164.25</f>
        <v>1164.25</v>
      </c>
      <c r="T222" s="65">
        <f>440030</f>
        <v>440030</v>
      </c>
      <c r="U222" s="65" t="str">
        <f>"－"</f>
        <v>－</v>
      </c>
      <c r="V222" s="65">
        <f>514534880</f>
        <v>514534880</v>
      </c>
      <c r="W222" s="65" t="str">
        <f>"－"</f>
        <v>－</v>
      </c>
      <c r="X222" s="69">
        <f>20</f>
        <v>20</v>
      </c>
    </row>
    <row r="223" spans="1:24">
      <c r="A223" s="60" t="s">
        <v>872</v>
      </c>
      <c r="B223" s="60" t="s">
        <v>662</v>
      </c>
      <c r="C223" s="60" t="s">
        <v>663</v>
      </c>
      <c r="D223" s="60" t="s">
        <v>664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869</f>
        <v>869</v>
      </c>
      <c r="L223" s="67" t="s">
        <v>840</v>
      </c>
      <c r="M223" s="66">
        <f>882</f>
        <v>882</v>
      </c>
      <c r="N223" s="67" t="s">
        <v>814</v>
      </c>
      <c r="O223" s="66">
        <f>793</f>
        <v>793</v>
      </c>
      <c r="P223" s="67" t="s">
        <v>175</v>
      </c>
      <c r="Q223" s="66">
        <f>821</f>
        <v>821</v>
      </c>
      <c r="R223" s="67" t="s">
        <v>50</v>
      </c>
      <c r="S223" s="68">
        <f>848.9</f>
        <v>848.9</v>
      </c>
      <c r="T223" s="65">
        <f>512570</f>
        <v>512570</v>
      </c>
      <c r="U223" s="65">
        <f>30</f>
        <v>30</v>
      </c>
      <c r="V223" s="65">
        <f>429224090</f>
        <v>429224090</v>
      </c>
      <c r="W223" s="65">
        <f>25700</f>
        <v>25700</v>
      </c>
      <c r="X223" s="69">
        <f>20</f>
        <v>20</v>
      </c>
    </row>
    <row r="224" spans="1:24">
      <c r="A224" s="60" t="s">
        <v>872</v>
      </c>
      <c r="B224" s="60" t="s">
        <v>665</v>
      </c>
      <c r="C224" s="60" t="s">
        <v>666</v>
      </c>
      <c r="D224" s="60" t="s">
        <v>667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853</f>
        <v>853</v>
      </c>
      <c r="L224" s="67" t="s">
        <v>840</v>
      </c>
      <c r="M224" s="66">
        <f>950</f>
        <v>950</v>
      </c>
      <c r="N224" s="67" t="s">
        <v>50</v>
      </c>
      <c r="O224" s="66">
        <f>832</f>
        <v>832</v>
      </c>
      <c r="P224" s="67" t="s">
        <v>834</v>
      </c>
      <c r="Q224" s="66">
        <f>943</f>
        <v>943</v>
      </c>
      <c r="R224" s="67" t="s">
        <v>50</v>
      </c>
      <c r="S224" s="68">
        <f>894</f>
        <v>894</v>
      </c>
      <c r="T224" s="65">
        <f>10934130</f>
        <v>10934130</v>
      </c>
      <c r="U224" s="65">
        <f>9600</f>
        <v>9600</v>
      </c>
      <c r="V224" s="65">
        <f>9750917298</f>
        <v>9750917298</v>
      </c>
      <c r="W224" s="65">
        <f>8641308</f>
        <v>8641308</v>
      </c>
      <c r="X224" s="69">
        <f>20</f>
        <v>20</v>
      </c>
    </row>
    <row r="225" spans="1:24">
      <c r="A225" s="60" t="s">
        <v>872</v>
      </c>
      <c r="B225" s="60" t="s">
        <v>668</v>
      </c>
      <c r="C225" s="60" t="s">
        <v>669</v>
      </c>
      <c r="D225" s="60" t="s">
        <v>670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1011</f>
        <v>1011</v>
      </c>
      <c r="L225" s="67" t="s">
        <v>840</v>
      </c>
      <c r="M225" s="66">
        <f>1027</f>
        <v>1027</v>
      </c>
      <c r="N225" s="67" t="s">
        <v>245</v>
      </c>
      <c r="O225" s="66">
        <f>977</f>
        <v>977</v>
      </c>
      <c r="P225" s="67" t="s">
        <v>834</v>
      </c>
      <c r="Q225" s="66">
        <f>1015</f>
        <v>1015</v>
      </c>
      <c r="R225" s="67" t="s">
        <v>50</v>
      </c>
      <c r="S225" s="68">
        <f>1000.65</f>
        <v>1000.65</v>
      </c>
      <c r="T225" s="65">
        <f>392180</f>
        <v>392180</v>
      </c>
      <c r="U225" s="65">
        <f>112000</f>
        <v>112000</v>
      </c>
      <c r="V225" s="65">
        <f>391551450</f>
        <v>391551450</v>
      </c>
      <c r="W225" s="65">
        <f>111026600</f>
        <v>111026600</v>
      </c>
      <c r="X225" s="69">
        <f>20</f>
        <v>20</v>
      </c>
    </row>
    <row r="226" spans="1:24">
      <c r="A226" s="60" t="s">
        <v>872</v>
      </c>
      <c r="B226" s="60" t="s">
        <v>671</v>
      </c>
      <c r="C226" s="60" t="s">
        <v>672</v>
      </c>
      <c r="D226" s="60" t="s">
        <v>673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</v>
      </c>
      <c r="K226" s="66">
        <f>946</f>
        <v>946</v>
      </c>
      <c r="L226" s="67" t="s">
        <v>840</v>
      </c>
      <c r="M226" s="66">
        <f>979</f>
        <v>979</v>
      </c>
      <c r="N226" s="67" t="s">
        <v>245</v>
      </c>
      <c r="O226" s="66">
        <f>933</f>
        <v>933</v>
      </c>
      <c r="P226" s="67" t="s">
        <v>119</v>
      </c>
      <c r="Q226" s="66">
        <f>961</f>
        <v>961</v>
      </c>
      <c r="R226" s="67" t="s">
        <v>50</v>
      </c>
      <c r="S226" s="68">
        <f>954</f>
        <v>954</v>
      </c>
      <c r="T226" s="65">
        <f>227366</f>
        <v>227366</v>
      </c>
      <c r="U226" s="65">
        <f>105000</f>
        <v>105000</v>
      </c>
      <c r="V226" s="65">
        <f>217666631</f>
        <v>217666631</v>
      </c>
      <c r="W226" s="65">
        <f>100275000</f>
        <v>100275000</v>
      </c>
      <c r="X226" s="69">
        <f>20</f>
        <v>20</v>
      </c>
    </row>
    <row r="227" spans="1:24">
      <c r="A227" s="60" t="s">
        <v>872</v>
      </c>
      <c r="B227" s="60" t="s">
        <v>674</v>
      </c>
      <c r="C227" s="60" t="s">
        <v>675</v>
      </c>
      <c r="D227" s="60" t="s">
        <v>676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1059</f>
        <v>1059</v>
      </c>
      <c r="L227" s="67" t="s">
        <v>840</v>
      </c>
      <c r="M227" s="66">
        <f>1087</f>
        <v>1087</v>
      </c>
      <c r="N227" s="67" t="s">
        <v>833</v>
      </c>
      <c r="O227" s="66">
        <f>988</f>
        <v>988</v>
      </c>
      <c r="P227" s="67" t="s">
        <v>175</v>
      </c>
      <c r="Q227" s="66">
        <f>997</f>
        <v>997</v>
      </c>
      <c r="R227" s="67" t="s">
        <v>50</v>
      </c>
      <c r="S227" s="68">
        <f>1025.7</f>
        <v>1025.7</v>
      </c>
      <c r="T227" s="65">
        <f>75760</f>
        <v>75760</v>
      </c>
      <c r="U227" s="65" t="str">
        <f>"－"</f>
        <v>－</v>
      </c>
      <c r="V227" s="65">
        <f>78138190</f>
        <v>78138190</v>
      </c>
      <c r="W227" s="65" t="str">
        <f>"－"</f>
        <v>－</v>
      </c>
      <c r="X227" s="69">
        <f>20</f>
        <v>20</v>
      </c>
    </row>
    <row r="228" spans="1:24">
      <c r="A228" s="60" t="s">
        <v>872</v>
      </c>
      <c r="B228" s="60" t="s">
        <v>677</v>
      </c>
      <c r="C228" s="60" t="s">
        <v>678</v>
      </c>
      <c r="D228" s="60" t="s">
        <v>679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10</v>
      </c>
      <c r="K228" s="66">
        <f>1045</f>
        <v>1045</v>
      </c>
      <c r="L228" s="67" t="s">
        <v>840</v>
      </c>
      <c r="M228" s="66">
        <f>1050</f>
        <v>1050</v>
      </c>
      <c r="N228" s="67" t="s">
        <v>833</v>
      </c>
      <c r="O228" s="66">
        <f>951</f>
        <v>951</v>
      </c>
      <c r="P228" s="67" t="s">
        <v>175</v>
      </c>
      <c r="Q228" s="66">
        <f>967</f>
        <v>967</v>
      </c>
      <c r="R228" s="67" t="s">
        <v>50</v>
      </c>
      <c r="S228" s="68">
        <f>996.2</f>
        <v>996.2</v>
      </c>
      <c r="T228" s="65">
        <f>36800</f>
        <v>36800</v>
      </c>
      <c r="U228" s="65" t="str">
        <f>"－"</f>
        <v>－</v>
      </c>
      <c r="V228" s="65">
        <f>36484120</f>
        <v>36484120</v>
      </c>
      <c r="W228" s="65" t="str">
        <f>"－"</f>
        <v>－</v>
      </c>
      <c r="X228" s="69">
        <f>20</f>
        <v>20</v>
      </c>
    </row>
    <row r="229" spans="1:24">
      <c r="A229" s="60" t="s">
        <v>872</v>
      </c>
      <c r="B229" s="60" t="s">
        <v>680</v>
      </c>
      <c r="C229" s="60" t="s">
        <v>681</v>
      </c>
      <c r="D229" s="60" t="s">
        <v>682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10</v>
      </c>
      <c r="K229" s="66">
        <f>1226</f>
        <v>1226</v>
      </c>
      <c r="L229" s="67" t="s">
        <v>840</v>
      </c>
      <c r="M229" s="66">
        <f>1256</f>
        <v>1256</v>
      </c>
      <c r="N229" s="67" t="s">
        <v>814</v>
      </c>
      <c r="O229" s="66">
        <f>1130</f>
        <v>1130</v>
      </c>
      <c r="P229" s="67" t="s">
        <v>175</v>
      </c>
      <c r="Q229" s="66">
        <f>1159</f>
        <v>1159</v>
      </c>
      <c r="R229" s="67" t="s">
        <v>50</v>
      </c>
      <c r="S229" s="68">
        <f>1186.95</f>
        <v>1186.95</v>
      </c>
      <c r="T229" s="65">
        <f>12667060</f>
        <v>12667060</v>
      </c>
      <c r="U229" s="65">
        <f>3582950</f>
        <v>3582950</v>
      </c>
      <c r="V229" s="65">
        <f>15159698817</f>
        <v>15159698817</v>
      </c>
      <c r="W229" s="65">
        <f>4358046867</f>
        <v>4358046867</v>
      </c>
      <c r="X229" s="69">
        <f>20</f>
        <v>20</v>
      </c>
    </row>
    <row r="230" spans="1:24">
      <c r="A230" s="60" t="s">
        <v>872</v>
      </c>
      <c r="B230" s="60" t="s">
        <v>683</v>
      </c>
      <c r="C230" s="60" t="s">
        <v>684</v>
      </c>
      <c r="D230" s="60" t="s">
        <v>685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</v>
      </c>
      <c r="K230" s="66">
        <f>2748</f>
        <v>2748</v>
      </c>
      <c r="L230" s="67" t="s">
        <v>840</v>
      </c>
      <c r="M230" s="66">
        <f>2851</f>
        <v>2851</v>
      </c>
      <c r="N230" s="67" t="s">
        <v>814</v>
      </c>
      <c r="O230" s="66">
        <f>2585</f>
        <v>2585</v>
      </c>
      <c r="P230" s="67" t="s">
        <v>175</v>
      </c>
      <c r="Q230" s="66">
        <f>2690</f>
        <v>2690</v>
      </c>
      <c r="R230" s="67" t="s">
        <v>50</v>
      </c>
      <c r="S230" s="68">
        <f>2693.85</f>
        <v>2693.85</v>
      </c>
      <c r="T230" s="65">
        <f>43337</f>
        <v>43337</v>
      </c>
      <c r="U230" s="65" t="str">
        <f t="shared" ref="U230:U244" si="13">"－"</f>
        <v>－</v>
      </c>
      <c r="V230" s="65">
        <f>117257488</f>
        <v>117257488</v>
      </c>
      <c r="W230" s="65" t="str">
        <f t="shared" ref="W230:W244" si="14">"－"</f>
        <v>－</v>
      </c>
      <c r="X230" s="69">
        <f>20</f>
        <v>20</v>
      </c>
    </row>
    <row r="231" spans="1:24">
      <c r="A231" s="60" t="s">
        <v>872</v>
      </c>
      <c r="B231" s="60" t="s">
        <v>686</v>
      </c>
      <c r="C231" s="60" t="s">
        <v>687</v>
      </c>
      <c r="D231" s="60" t="s">
        <v>688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1470</f>
        <v>1470</v>
      </c>
      <c r="L231" s="67" t="s">
        <v>833</v>
      </c>
      <c r="M231" s="66">
        <f>1640</f>
        <v>1640</v>
      </c>
      <c r="N231" s="67" t="s">
        <v>79</v>
      </c>
      <c r="O231" s="66">
        <f>1422</f>
        <v>1422</v>
      </c>
      <c r="P231" s="67" t="s">
        <v>99</v>
      </c>
      <c r="Q231" s="66">
        <f>1610</f>
        <v>1610</v>
      </c>
      <c r="R231" s="67" t="s">
        <v>50</v>
      </c>
      <c r="S231" s="68">
        <f>1528.08</f>
        <v>1528.08</v>
      </c>
      <c r="T231" s="65">
        <f>4180</f>
        <v>4180</v>
      </c>
      <c r="U231" s="65" t="str">
        <f t="shared" si="13"/>
        <v>－</v>
      </c>
      <c r="V231" s="65">
        <f>6352150</f>
        <v>6352150</v>
      </c>
      <c r="W231" s="65" t="str">
        <f t="shared" si="14"/>
        <v>－</v>
      </c>
      <c r="X231" s="69">
        <f>13</f>
        <v>13</v>
      </c>
    </row>
    <row r="232" spans="1:24">
      <c r="A232" s="60" t="s">
        <v>872</v>
      </c>
      <c r="B232" s="60" t="s">
        <v>689</v>
      </c>
      <c r="C232" s="60" t="s">
        <v>690</v>
      </c>
      <c r="D232" s="60" t="s">
        <v>691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10</v>
      </c>
      <c r="K232" s="66">
        <f>1626</f>
        <v>1626</v>
      </c>
      <c r="L232" s="67" t="s">
        <v>840</v>
      </c>
      <c r="M232" s="66">
        <f>1682</f>
        <v>1682</v>
      </c>
      <c r="N232" s="67" t="s">
        <v>50</v>
      </c>
      <c r="O232" s="66">
        <f>1609</f>
        <v>1609</v>
      </c>
      <c r="P232" s="67" t="s">
        <v>119</v>
      </c>
      <c r="Q232" s="66">
        <f>1664</f>
        <v>1664</v>
      </c>
      <c r="R232" s="67" t="s">
        <v>50</v>
      </c>
      <c r="S232" s="68">
        <f>1644.17</f>
        <v>1644.17</v>
      </c>
      <c r="T232" s="65">
        <f>74640</f>
        <v>74640</v>
      </c>
      <c r="U232" s="65" t="str">
        <f t="shared" si="13"/>
        <v>－</v>
      </c>
      <c r="V232" s="65">
        <f>121726430</f>
        <v>121726430</v>
      </c>
      <c r="W232" s="65" t="str">
        <f t="shared" si="14"/>
        <v>－</v>
      </c>
      <c r="X232" s="69">
        <f>12</f>
        <v>12</v>
      </c>
    </row>
    <row r="233" spans="1:24">
      <c r="A233" s="60" t="s">
        <v>872</v>
      </c>
      <c r="B233" s="60" t="s">
        <v>692</v>
      </c>
      <c r="C233" s="60" t="s">
        <v>693</v>
      </c>
      <c r="D233" s="60" t="s">
        <v>694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</v>
      </c>
      <c r="K233" s="66">
        <f>23730</f>
        <v>23730</v>
      </c>
      <c r="L233" s="67" t="s">
        <v>814</v>
      </c>
      <c r="M233" s="66">
        <f>23730</f>
        <v>23730</v>
      </c>
      <c r="N233" s="67" t="s">
        <v>814</v>
      </c>
      <c r="O233" s="66">
        <f>23190</f>
        <v>23190</v>
      </c>
      <c r="P233" s="67" t="s">
        <v>175</v>
      </c>
      <c r="Q233" s="66">
        <f>23190</f>
        <v>23190</v>
      </c>
      <c r="R233" s="67" t="s">
        <v>175</v>
      </c>
      <c r="S233" s="68">
        <f>23387.5</f>
        <v>23387.5</v>
      </c>
      <c r="T233" s="65">
        <f>3034</f>
        <v>3034</v>
      </c>
      <c r="U233" s="65" t="str">
        <f t="shared" si="13"/>
        <v>－</v>
      </c>
      <c r="V233" s="65">
        <f>70365500</f>
        <v>70365500</v>
      </c>
      <c r="W233" s="65" t="str">
        <f t="shared" si="14"/>
        <v>－</v>
      </c>
      <c r="X233" s="69">
        <f>4</f>
        <v>4</v>
      </c>
    </row>
    <row r="234" spans="1:24">
      <c r="A234" s="60" t="s">
        <v>872</v>
      </c>
      <c r="B234" s="60" t="s">
        <v>695</v>
      </c>
      <c r="C234" s="60" t="s">
        <v>696</v>
      </c>
      <c r="D234" s="60" t="s">
        <v>697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</v>
      </c>
      <c r="K234" s="66">
        <f>14620</f>
        <v>14620</v>
      </c>
      <c r="L234" s="67" t="s">
        <v>840</v>
      </c>
      <c r="M234" s="66">
        <f>15160</f>
        <v>15160</v>
      </c>
      <c r="N234" s="67" t="s">
        <v>245</v>
      </c>
      <c r="O234" s="66">
        <f>14470</f>
        <v>14470</v>
      </c>
      <c r="P234" s="67" t="s">
        <v>119</v>
      </c>
      <c r="Q234" s="66">
        <f>15010</f>
        <v>15010</v>
      </c>
      <c r="R234" s="67" t="s">
        <v>50</v>
      </c>
      <c r="S234" s="68">
        <f>14805.26</f>
        <v>14805.26</v>
      </c>
      <c r="T234" s="65">
        <f>160541</f>
        <v>160541</v>
      </c>
      <c r="U234" s="65" t="str">
        <f t="shared" si="13"/>
        <v>－</v>
      </c>
      <c r="V234" s="65">
        <f>2373755850</f>
        <v>2373755850</v>
      </c>
      <c r="W234" s="65" t="str">
        <f t="shared" si="14"/>
        <v>－</v>
      </c>
      <c r="X234" s="69">
        <f>19</f>
        <v>19</v>
      </c>
    </row>
    <row r="235" spans="1:24">
      <c r="A235" s="60" t="s">
        <v>872</v>
      </c>
      <c r="B235" s="60" t="s">
        <v>698</v>
      </c>
      <c r="C235" s="60" t="s">
        <v>699</v>
      </c>
      <c r="D235" s="60" t="s">
        <v>700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10</v>
      </c>
      <c r="K235" s="66">
        <f>1006</f>
        <v>1006</v>
      </c>
      <c r="L235" s="67" t="s">
        <v>840</v>
      </c>
      <c r="M235" s="66">
        <f>1025</f>
        <v>1025</v>
      </c>
      <c r="N235" s="67" t="s">
        <v>822</v>
      </c>
      <c r="O235" s="66">
        <f>985</f>
        <v>985</v>
      </c>
      <c r="P235" s="67" t="s">
        <v>834</v>
      </c>
      <c r="Q235" s="66">
        <f>1017</f>
        <v>1017</v>
      </c>
      <c r="R235" s="67" t="s">
        <v>95</v>
      </c>
      <c r="S235" s="68">
        <f>1003.46</f>
        <v>1003.46</v>
      </c>
      <c r="T235" s="65">
        <f>26770</f>
        <v>26770</v>
      </c>
      <c r="U235" s="65" t="str">
        <f t="shared" si="13"/>
        <v>－</v>
      </c>
      <c r="V235" s="65">
        <f>26881500</f>
        <v>26881500</v>
      </c>
      <c r="W235" s="65" t="str">
        <f t="shared" si="14"/>
        <v>－</v>
      </c>
      <c r="X235" s="69">
        <f>13</f>
        <v>13</v>
      </c>
    </row>
    <row r="236" spans="1:24">
      <c r="A236" s="60" t="s">
        <v>872</v>
      </c>
      <c r="B236" s="60" t="s">
        <v>701</v>
      </c>
      <c r="C236" s="60" t="s">
        <v>702</v>
      </c>
      <c r="D236" s="60" t="s">
        <v>703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10</v>
      </c>
      <c r="K236" s="66">
        <f>1024</f>
        <v>1024</v>
      </c>
      <c r="L236" s="67" t="s">
        <v>840</v>
      </c>
      <c r="M236" s="66">
        <f>1024</f>
        <v>1024</v>
      </c>
      <c r="N236" s="67" t="s">
        <v>840</v>
      </c>
      <c r="O236" s="66">
        <f>969</f>
        <v>969</v>
      </c>
      <c r="P236" s="67" t="s">
        <v>834</v>
      </c>
      <c r="Q236" s="66">
        <f>1001</f>
        <v>1001</v>
      </c>
      <c r="R236" s="67" t="s">
        <v>50</v>
      </c>
      <c r="S236" s="68">
        <f>997.95</f>
        <v>997.95</v>
      </c>
      <c r="T236" s="65">
        <f>12940</f>
        <v>12940</v>
      </c>
      <c r="U236" s="65" t="str">
        <f t="shared" si="13"/>
        <v>－</v>
      </c>
      <c r="V236" s="65">
        <f>12920140</f>
        <v>12920140</v>
      </c>
      <c r="W236" s="65" t="str">
        <f t="shared" si="14"/>
        <v>－</v>
      </c>
      <c r="X236" s="69">
        <f>20</f>
        <v>20</v>
      </c>
    </row>
    <row r="237" spans="1:24">
      <c r="A237" s="60" t="s">
        <v>872</v>
      </c>
      <c r="B237" s="60" t="s">
        <v>704</v>
      </c>
      <c r="C237" s="60" t="s">
        <v>705</v>
      </c>
      <c r="D237" s="60" t="s">
        <v>706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</v>
      </c>
      <c r="K237" s="66">
        <f>897</f>
        <v>897</v>
      </c>
      <c r="L237" s="67" t="s">
        <v>840</v>
      </c>
      <c r="M237" s="66">
        <f>913</f>
        <v>913</v>
      </c>
      <c r="N237" s="67" t="s">
        <v>90</v>
      </c>
      <c r="O237" s="66">
        <f>880</f>
        <v>880</v>
      </c>
      <c r="P237" s="67" t="s">
        <v>175</v>
      </c>
      <c r="Q237" s="66">
        <f>887</f>
        <v>887</v>
      </c>
      <c r="R237" s="67" t="s">
        <v>50</v>
      </c>
      <c r="S237" s="68">
        <f>895.4</f>
        <v>895.4</v>
      </c>
      <c r="T237" s="65">
        <f>365380</f>
        <v>365380</v>
      </c>
      <c r="U237" s="65" t="str">
        <f t="shared" si="13"/>
        <v>－</v>
      </c>
      <c r="V237" s="65">
        <f>326089344</f>
        <v>326089344</v>
      </c>
      <c r="W237" s="65" t="str">
        <f t="shared" si="14"/>
        <v>－</v>
      </c>
      <c r="X237" s="69">
        <f>20</f>
        <v>20</v>
      </c>
    </row>
    <row r="238" spans="1:24">
      <c r="A238" s="60" t="s">
        <v>872</v>
      </c>
      <c r="B238" s="60" t="s">
        <v>707</v>
      </c>
      <c r="C238" s="60" t="s">
        <v>708</v>
      </c>
      <c r="D238" s="60" t="s">
        <v>709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</v>
      </c>
      <c r="K238" s="66">
        <f>12100</f>
        <v>12100</v>
      </c>
      <c r="L238" s="67" t="s">
        <v>840</v>
      </c>
      <c r="M238" s="66">
        <f>12400</f>
        <v>12400</v>
      </c>
      <c r="N238" s="67" t="s">
        <v>833</v>
      </c>
      <c r="O238" s="66">
        <f>11300</f>
        <v>11300</v>
      </c>
      <c r="P238" s="67" t="s">
        <v>119</v>
      </c>
      <c r="Q238" s="66">
        <f>11580</f>
        <v>11580</v>
      </c>
      <c r="R238" s="67" t="s">
        <v>50</v>
      </c>
      <c r="S238" s="68">
        <f>11837</f>
        <v>11837</v>
      </c>
      <c r="T238" s="65">
        <f>942</f>
        <v>942</v>
      </c>
      <c r="U238" s="65" t="str">
        <f t="shared" si="13"/>
        <v>－</v>
      </c>
      <c r="V238" s="65">
        <f>11142160</f>
        <v>11142160</v>
      </c>
      <c r="W238" s="65" t="str">
        <f t="shared" si="14"/>
        <v>－</v>
      </c>
      <c r="X238" s="69">
        <f>20</f>
        <v>20</v>
      </c>
    </row>
    <row r="239" spans="1:24">
      <c r="A239" s="60" t="s">
        <v>872</v>
      </c>
      <c r="B239" s="60" t="s">
        <v>710</v>
      </c>
      <c r="C239" s="60" t="s">
        <v>711</v>
      </c>
      <c r="D239" s="60" t="s">
        <v>712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</v>
      </c>
      <c r="K239" s="66">
        <f>1865</f>
        <v>1865</v>
      </c>
      <c r="L239" s="67" t="s">
        <v>840</v>
      </c>
      <c r="M239" s="66">
        <f>1884</f>
        <v>1884</v>
      </c>
      <c r="N239" s="67" t="s">
        <v>245</v>
      </c>
      <c r="O239" s="66">
        <f>1795</f>
        <v>1795</v>
      </c>
      <c r="P239" s="67" t="s">
        <v>834</v>
      </c>
      <c r="Q239" s="66">
        <f>1860</f>
        <v>1860</v>
      </c>
      <c r="R239" s="67" t="s">
        <v>50</v>
      </c>
      <c r="S239" s="68">
        <f>1840.25</f>
        <v>1840.25</v>
      </c>
      <c r="T239" s="65">
        <f>16178</f>
        <v>16178</v>
      </c>
      <c r="U239" s="65" t="str">
        <f t="shared" si="13"/>
        <v>－</v>
      </c>
      <c r="V239" s="65">
        <f>29785258</f>
        <v>29785258</v>
      </c>
      <c r="W239" s="65" t="str">
        <f t="shared" si="14"/>
        <v>－</v>
      </c>
      <c r="X239" s="69">
        <f>20</f>
        <v>20</v>
      </c>
    </row>
    <row r="240" spans="1:24">
      <c r="A240" s="60" t="s">
        <v>872</v>
      </c>
      <c r="B240" s="60" t="s">
        <v>713</v>
      </c>
      <c r="C240" s="60" t="s">
        <v>714</v>
      </c>
      <c r="D240" s="60" t="s">
        <v>715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10</v>
      </c>
      <c r="K240" s="66">
        <f>1175</f>
        <v>1175</v>
      </c>
      <c r="L240" s="67" t="s">
        <v>833</v>
      </c>
      <c r="M240" s="66">
        <f>1399</f>
        <v>1399</v>
      </c>
      <c r="N240" s="67" t="s">
        <v>834</v>
      </c>
      <c r="O240" s="66">
        <f>1175</f>
        <v>1175</v>
      </c>
      <c r="P240" s="67" t="s">
        <v>833</v>
      </c>
      <c r="Q240" s="66">
        <f>1338</f>
        <v>1338</v>
      </c>
      <c r="R240" s="67" t="s">
        <v>72</v>
      </c>
      <c r="S240" s="68">
        <f>1301.56</f>
        <v>1301.56</v>
      </c>
      <c r="T240" s="65">
        <f>690</f>
        <v>690</v>
      </c>
      <c r="U240" s="65" t="str">
        <f t="shared" si="13"/>
        <v>－</v>
      </c>
      <c r="V240" s="65">
        <f>901510</f>
        <v>901510</v>
      </c>
      <c r="W240" s="65" t="str">
        <f t="shared" si="14"/>
        <v>－</v>
      </c>
      <c r="X240" s="69">
        <f>9</f>
        <v>9</v>
      </c>
    </row>
    <row r="241" spans="1:24">
      <c r="A241" s="60" t="s">
        <v>872</v>
      </c>
      <c r="B241" s="60" t="s">
        <v>716</v>
      </c>
      <c r="C241" s="60" t="s">
        <v>717</v>
      </c>
      <c r="D241" s="60" t="s">
        <v>718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10</v>
      </c>
      <c r="K241" s="66">
        <f>1031</f>
        <v>1031</v>
      </c>
      <c r="L241" s="67" t="s">
        <v>840</v>
      </c>
      <c r="M241" s="66">
        <f>1036</f>
        <v>1036</v>
      </c>
      <c r="N241" s="67" t="s">
        <v>814</v>
      </c>
      <c r="O241" s="66">
        <f>1020</f>
        <v>1020</v>
      </c>
      <c r="P241" s="67" t="s">
        <v>95</v>
      </c>
      <c r="Q241" s="66">
        <f>1021</f>
        <v>1021</v>
      </c>
      <c r="R241" s="67" t="s">
        <v>50</v>
      </c>
      <c r="S241" s="68">
        <f>1024.95</f>
        <v>1024.95</v>
      </c>
      <c r="T241" s="65">
        <f>16430</f>
        <v>16430</v>
      </c>
      <c r="U241" s="65" t="str">
        <f t="shared" si="13"/>
        <v>－</v>
      </c>
      <c r="V241" s="65">
        <f>16799270</f>
        <v>16799270</v>
      </c>
      <c r="W241" s="65" t="str">
        <f t="shared" si="14"/>
        <v>－</v>
      </c>
      <c r="X241" s="69">
        <f>19</f>
        <v>19</v>
      </c>
    </row>
    <row r="242" spans="1:24">
      <c r="A242" s="60" t="s">
        <v>872</v>
      </c>
      <c r="B242" s="60" t="s">
        <v>719</v>
      </c>
      <c r="C242" s="60" t="s">
        <v>720</v>
      </c>
      <c r="D242" s="60" t="s">
        <v>721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10</v>
      </c>
      <c r="K242" s="66">
        <f>1779</f>
        <v>1779</v>
      </c>
      <c r="L242" s="67" t="s">
        <v>840</v>
      </c>
      <c r="M242" s="66">
        <f>1810</f>
        <v>1810</v>
      </c>
      <c r="N242" s="67" t="s">
        <v>818</v>
      </c>
      <c r="O242" s="66">
        <f>1720</f>
        <v>1720</v>
      </c>
      <c r="P242" s="67" t="s">
        <v>834</v>
      </c>
      <c r="Q242" s="66">
        <f>1773</f>
        <v>1773</v>
      </c>
      <c r="R242" s="67" t="s">
        <v>50</v>
      </c>
      <c r="S242" s="68">
        <f>1757.9</f>
        <v>1757.9</v>
      </c>
      <c r="T242" s="65">
        <f>32150</f>
        <v>32150</v>
      </c>
      <c r="U242" s="65" t="str">
        <f t="shared" si="13"/>
        <v>－</v>
      </c>
      <c r="V242" s="65">
        <f>56418180</f>
        <v>56418180</v>
      </c>
      <c r="W242" s="65" t="str">
        <f t="shared" si="14"/>
        <v>－</v>
      </c>
      <c r="X242" s="69">
        <f>20</f>
        <v>20</v>
      </c>
    </row>
    <row r="243" spans="1:24">
      <c r="A243" s="60" t="s">
        <v>872</v>
      </c>
      <c r="B243" s="60" t="s">
        <v>722</v>
      </c>
      <c r="C243" s="60" t="s">
        <v>723</v>
      </c>
      <c r="D243" s="60" t="s">
        <v>724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f>1777</f>
        <v>1777</v>
      </c>
      <c r="L243" s="67" t="s">
        <v>840</v>
      </c>
      <c r="M243" s="66">
        <f>1794</f>
        <v>1794</v>
      </c>
      <c r="N243" s="67" t="s">
        <v>245</v>
      </c>
      <c r="O243" s="66">
        <f>1712</f>
        <v>1712</v>
      </c>
      <c r="P243" s="67" t="s">
        <v>834</v>
      </c>
      <c r="Q243" s="66">
        <f>1767</f>
        <v>1767</v>
      </c>
      <c r="R243" s="67" t="s">
        <v>50</v>
      </c>
      <c r="S243" s="68">
        <f>1754.35</f>
        <v>1754.35</v>
      </c>
      <c r="T243" s="65">
        <f>134910</f>
        <v>134910</v>
      </c>
      <c r="U243" s="65" t="str">
        <f t="shared" si="13"/>
        <v>－</v>
      </c>
      <c r="V243" s="65">
        <f>236701790</f>
        <v>236701790</v>
      </c>
      <c r="W243" s="65" t="str">
        <f t="shared" si="14"/>
        <v>－</v>
      </c>
      <c r="X243" s="69">
        <f>20</f>
        <v>20</v>
      </c>
    </row>
    <row r="244" spans="1:24">
      <c r="A244" s="60" t="s">
        <v>872</v>
      </c>
      <c r="B244" s="60" t="s">
        <v>725</v>
      </c>
      <c r="C244" s="60" t="s">
        <v>726</v>
      </c>
      <c r="D244" s="60" t="s">
        <v>727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1616</f>
        <v>1616</v>
      </c>
      <c r="L244" s="67" t="s">
        <v>840</v>
      </c>
      <c r="M244" s="66">
        <f>1670</f>
        <v>1670</v>
      </c>
      <c r="N244" s="67" t="s">
        <v>50</v>
      </c>
      <c r="O244" s="66">
        <f>1599</f>
        <v>1599</v>
      </c>
      <c r="P244" s="67" t="s">
        <v>119</v>
      </c>
      <c r="Q244" s="66">
        <f>1670</f>
        <v>1670</v>
      </c>
      <c r="R244" s="67" t="s">
        <v>50</v>
      </c>
      <c r="S244" s="68">
        <f>1630</f>
        <v>1630</v>
      </c>
      <c r="T244" s="65">
        <f>4070</f>
        <v>4070</v>
      </c>
      <c r="U244" s="65" t="str">
        <f t="shared" si="13"/>
        <v>－</v>
      </c>
      <c r="V244" s="65">
        <f>6625900</f>
        <v>6625900</v>
      </c>
      <c r="W244" s="65" t="str">
        <f t="shared" si="14"/>
        <v>－</v>
      </c>
      <c r="X244" s="69">
        <f>17</f>
        <v>17</v>
      </c>
    </row>
    <row r="245" spans="1:24">
      <c r="A245" s="60" t="s">
        <v>872</v>
      </c>
      <c r="B245" s="60" t="s">
        <v>728</v>
      </c>
      <c r="C245" s="60" t="s">
        <v>729</v>
      </c>
      <c r="D245" s="60" t="s">
        <v>730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</v>
      </c>
      <c r="K245" s="66">
        <f>10620</f>
        <v>10620</v>
      </c>
      <c r="L245" s="67" t="s">
        <v>840</v>
      </c>
      <c r="M245" s="66">
        <f>10900</f>
        <v>10900</v>
      </c>
      <c r="N245" s="67" t="s">
        <v>814</v>
      </c>
      <c r="O245" s="66">
        <f>9730</f>
        <v>9730</v>
      </c>
      <c r="P245" s="67" t="s">
        <v>175</v>
      </c>
      <c r="Q245" s="66">
        <f>9980</f>
        <v>9980</v>
      </c>
      <c r="R245" s="67" t="s">
        <v>50</v>
      </c>
      <c r="S245" s="68">
        <f>10249.5</f>
        <v>10249.5</v>
      </c>
      <c r="T245" s="65">
        <f>285344</f>
        <v>285344</v>
      </c>
      <c r="U245" s="65">
        <f>38702</f>
        <v>38702</v>
      </c>
      <c r="V245" s="65">
        <f>2940552590</f>
        <v>2940552590</v>
      </c>
      <c r="W245" s="65">
        <f>410400600</f>
        <v>410400600</v>
      </c>
      <c r="X245" s="69">
        <f>20</f>
        <v>20</v>
      </c>
    </row>
    <row r="246" spans="1:24">
      <c r="A246" s="60" t="s">
        <v>872</v>
      </c>
      <c r="B246" s="60" t="s">
        <v>734</v>
      </c>
      <c r="C246" s="60" t="s">
        <v>735</v>
      </c>
      <c r="D246" s="60" t="s">
        <v>736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</v>
      </c>
      <c r="K246" s="66">
        <f>10200</f>
        <v>10200</v>
      </c>
      <c r="L246" s="67" t="s">
        <v>840</v>
      </c>
      <c r="M246" s="66">
        <f>10440</f>
        <v>10440</v>
      </c>
      <c r="N246" s="67" t="s">
        <v>814</v>
      </c>
      <c r="O246" s="66">
        <f>9520</f>
        <v>9520</v>
      </c>
      <c r="P246" s="67" t="s">
        <v>175</v>
      </c>
      <c r="Q246" s="66">
        <f>9760</f>
        <v>9760</v>
      </c>
      <c r="R246" s="67" t="s">
        <v>50</v>
      </c>
      <c r="S246" s="68">
        <f>9956.5</f>
        <v>9956.5</v>
      </c>
      <c r="T246" s="65">
        <f>76124</f>
        <v>76124</v>
      </c>
      <c r="U246" s="65">
        <f>10348</f>
        <v>10348</v>
      </c>
      <c r="V246" s="65">
        <f>757513040</f>
        <v>757513040</v>
      </c>
      <c r="W246" s="65">
        <f>103180080</f>
        <v>103180080</v>
      </c>
      <c r="X246" s="69">
        <f>20</f>
        <v>20</v>
      </c>
    </row>
    <row r="247" spans="1:24">
      <c r="A247" s="60" t="s">
        <v>872</v>
      </c>
      <c r="B247" s="60" t="s">
        <v>824</v>
      </c>
      <c r="C247" s="60" t="s">
        <v>825</v>
      </c>
      <c r="D247" s="60" t="s">
        <v>826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</v>
      </c>
      <c r="K247" s="66">
        <f>21330</f>
        <v>21330</v>
      </c>
      <c r="L247" s="67" t="s">
        <v>840</v>
      </c>
      <c r="M247" s="66">
        <f>21820</f>
        <v>21820</v>
      </c>
      <c r="N247" s="67" t="s">
        <v>95</v>
      </c>
      <c r="O247" s="66">
        <f>21200</f>
        <v>21200</v>
      </c>
      <c r="P247" s="67" t="s">
        <v>119</v>
      </c>
      <c r="Q247" s="66">
        <f>21820</f>
        <v>21820</v>
      </c>
      <c r="R247" s="67" t="s">
        <v>95</v>
      </c>
      <c r="S247" s="68">
        <f>21515</f>
        <v>21515</v>
      </c>
      <c r="T247" s="65">
        <f>1131</f>
        <v>1131</v>
      </c>
      <c r="U247" s="65" t="str">
        <f>"－"</f>
        <v>－</v>
      </c>
      <c r="V247" s="65">
        <f>24404060</f>
        <v>24404060</v>
      </c>
      <c r="W247" s="65" t="str">
        <f>"－"</f>
        <v>－</v>
      </c>
      <c r="X247" s="69">
        <f>12</f>
        <v>12</v>
      </c>
    </row>
    <row r="248" spans="1:24">
      <c r="A248" s="60" t="s">
        <v>872</v>
      </c>
      <c r="B248" s="60" t="s">
        <v>828</v>
      </c>
      <c r="C248" s="60" t="s">
        <v>829</v>
      </c>
      <c r="D248" s="60" t="s">
        <v>830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</v>
      </c>
      <c r="K248" s="66">
        <f>2729</f>
        <v>2729</v>
      </c>
      <c r="L248" s="67" t="s">
        <v>840</v>
      </c>
      <c r="M248" s="66">
        <f>2742</f>
        <v>2742</v>
      </c>
      <c r="N248" s="67" t="s">
        <v>816</v>
      </c>
      <c r="O248" s="66">
        <f>2724</f>
        <v>2724</v>
      </c>
      <c r="P248" s="67" t="s">
        <v>100</v>
      </c>
      <c r="Q248" s="66">
        <f>2735</f>
        <v>2735</v>
      </c>
      <c r="R248" s="67" t="s">
        <v>50</v>
      </c>
      <c r="S248" s="68">
        <f>2734.05</f>
        <v>2734.05</v>
      </c>
      <c r="T248" s="65">
        <f>796993</f>
        <v>796993</v>
      </c>
      <c r="U248" s="65">
        <f>604537</f>
        <v>604537</v>
      </c>
      <c r="V248" s="65">
        <f>2177329829</f>
        <v>2177329829</v>
      </c>
      <c r="W248" s="65">
        <f>1651827045</f>
        <v>1651827045</v>
      </c>
      <c r="X248" s="69">
        <f>20</f>
        <v>20</v>
      </c>
    </row>
    <row r="249" spans="1:24">
      <c r="A249" s="60" t="s">
        <v>872</v>
      </c>
      <c r="B249" s="60" t="s">
        <v>835</v>
      </c>
      <c r="C249" s="60" t="s">
        <v>836</v>
      </c>
      <c r="D249" s="60" t="s">
        <v>837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10</v>
      </c>
      <c r="K249" s="66">
        <f>2456</f>
        <v>2456</v>
      </c>
      <c r="L249" s="67" t="s">
        <v>840</v>
      </c>
      <c r="M249" s="66">
        <f>2523</f>
        <v>2523</v>
      </c>
      <c r="N249" s="67" t="s">
        <v>814</v>
      </c>
      <c r="O249" s="66">
        <f>2303</f>
        <v>2303</v>
      </c>
      <c r="P249" s="67" t="s">
        <v>175</v>
      </c>
      <c r="Q249" s="66">
        <f>2348</f>
        <v>2348</v>
      </c>
      <c r="R249" s="67" t="s">
        <v>50</v>
      </c>
      <c r="S249" s="68">
        <f>2408.6</f>
        <v>2408.6</v>
      </c>
      <c r="T249" s="65">
        <f>1290750</f>
        <v>1290750</v>
      </c>
      <c r="U249" s="65">
        <f>705000</f>
        <v>705000</v>
      </c>
      <c r="V249" s="65">
        <f>3089935240</f>
        <v>3089935240</v>
      </c>
      <c r="W249" s="65">
        <f>1691337200</f>
        <v>1691337200</v>
      </c>
      <c r="X249" s="69">
        <f>20</f>
        <v>20</v>
      </c>
    </row>
    <row r="250" spans="1:24">
      <c r="A250" s="60" t="s">
        <v>872</v>
      </c>
      <c r="B250" s="60" t="s">
        <v>849</v>
      </c>
      <c r="C250" s="60" t="s">
        <v>850</v>
      </c>
      <c r="D250" s="60" t="s">
        <v>851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2261</f>
        <v>2261</v>
      </c>
      <c r="L250" s="67" t="s">
        <v>840</v>
      </c>
      <c r="M250" s="66">
        <f>2371</f>
        <v>2371</v>
      </c>
      <c r="N250" s="67" t="s">
        <v>833</v>
      </c>
      <c r="O250" s="66">
        <f>2087</f>
        <v>2087</v>
      </c>
      <c r="P250" s="67" t="s">
        <v>175</v>
      </c>
      <c r="Q250" s="66">
        <f>2140</f>
        <v>2140</v>
      </c>
      <c r="R250" s="67" t="s">
        <v>50</v>
      </c>
      <c r="S250" s="68">
        <f>2196.65</f>
        <v>2196.65</v>
      </c>
      <c r="T250" s="65">
        <f>1373459</f>
        <v>1373459</v>
      </c>
      <c r="U250" s="65">
        <f>872000</f>
        <v>872000</v>
      </c>
      <c r="V250" s="65">
        <f>2970649644</f>
        <v>2970649644</v>
      </c>
      <c r="W250" s="65">
        <f>1872333600</f>
        <v>1872333600</v>
      </c>
      <c r="X250" s="69">
        <f>20</f>
        <v>20</v>
      </c>
    </row>
    <row r="251" spans="1:24">
      <c r="A251" s="60" t="s">
        <v>872</v>
      </c>
      <c r="B251" s="60" t="s">
        <v>865</v>
      </c>
      <c r="C251" s="60" t="s">
        <v>866</v>
      </c>
      <c r="D251" s="60" t="s">
        <v>867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</v>
      </c>
      <c r="K251" s="66">
        <f>1562</f>
        <v>1562</v>
      </c>
      <c r="L251" s="67" t="s">
        <v>840</v>
      </c>
      <c r="M251" s="66">
        <f>1600</f>
        <v>1600</v>
      </c>
      <c r="N251" s="67" t="s">
        <v>90</v>
      </c>
      <c r="O251" s="66">
        <f>1535</f>
        <v>1535</v>
      </c>
      <c r="P251" s="67" t="s">
        <v>50</v>
      </c>
      <c r="Q251" s="66">
        <f>1535</f>
        <v>1535</v>
      </c>
      <c r="R251" s="67" t="s">
        <v>50</v>
      </c>
      <c r="S251" s="68">
        <f>1564.7</f>
        <v>1564.7</v>
      </c>
      <c r="T251" s="65">
        <f>6763258</f>
        <v>6763258</v>
      </c>
      <c r="U251" s="65">
        <f>6720000</f>
        <v>6720000</v>
      </c>
      <c r="V251" s="65">
        <f>10658218080</f>
        <v>10658218080</v>
      </c>
      <c r="W251" s="65">
        <f>10590935096</f>
        <v>10590935096</v>
      </c>
      <c r="X251" s="69">
        <f>20</f>
        <v>20</v>
      </c>
    </row>
    <row r="252" spans="1:24">
      <c r="A252" s="60" t="s">
        <v>872</v>
      </c>
      <c r="B252" s="60" t="s">
        <v>869</v>
      </c>
      <c r="C252" s="60" t="s">
        <v>870</v>
      </c>
      <c r="D252" s="60" t="s">
        <v>871</v>
      </c>
      <c r="E252" s="61" t="s">
        <v>46</v>
      </c>
      <c r="F252" s="62" t="s">
        <v>46</v>
      </c>
      <c r="G252" s="63" t="s">
        <v>46</v>
      </c>
      <c r="H252" s="64"/>
      <c r="I252" s="64" t="s">
        <v>47</v>
      </c>
      <c r="J252" s="65">
        <v>1</v>
      </c>
      <c r="K252" s="66">
        <f>1055</f>
        <v>1055</v>
      </c>
      <c r="L252" s="67" t="s">
        <v>840</v>
      </c>
      <c r="M252" s="66">
        <f>1090</f>
        <v>1090</v>
      </c>
      <c r="N252" s="67" t="s">
        <v>822</v>
      </c>
      <c r="O252" s="66">
        <f>1025</f>
        <v>1025</v>
      </c>
      <c r="P252" s="67" t="s">
        <v>119</v>
      </c>
      <c r="Q252" s="66">
        <f>1054</f>
        <v>1054</v>
      </c>
      <c r="R252" s="67" t="s">
        <v>50</v>
      </c>
      <c r="S252" s="68">
        <f>1052.85</f>
        <v>1052.8499999999999</v>
      </c>
      <c r="T252" s="65">
        <f>111144</f>
        <v>111144</v>
      </c>
      <c r="U252" s="65" t="str">
        <f>"－"</f>
        <v>－</v>
      </c>
      <c r="V252" s="65">
        <f>117311069</f>
        <v>117311069</v>
      </c>
      <c r="W252" s="65" t="str">
        <f>"－"</f>
        <v>－</v>
      </c>
      <c r="X252" s="69">
        <f>20</f>
        <v>20</v>
      </c>
    </row>
    <row r="253" spans="1:24">
      <c r="A253" s="60" t="s">
        <v>872</v>
      </c>
      <c r="B253" s="60" t="s">
        <v>887</v>
      </c>
      <c r="C253" s="60" t="s">
        <v>888</v>
      </c>
      <c r="D253" s="60" t="s">
        <v>889</v>
      </c>
      <c r="E253" s="61" t="s">
        <v>731</v>
      </c>
      <c r="F253" s="62" t="s">
        <v>732</v>
      </c>
      <c r="G253" s="63" t="s">
        <v>890</v>
      </c>
      <c r="H253" s="64"/>
      <c r="I253" s="64" t="s">
        <v>47</v>
      </c>
      <c r="J253" s="65">
        <v>10</v>
      </c>
      <c r="K253" s="66">
        <f>982</f>
        <v>982</v>
      </c>
      <c r="L253" s="67" t="s">
        <v>100</v>
      </c>
      <c r="M253" s="66">
        <f>999</f>
        <v>999</v>
      </c>
      <c r="N253" s="67" t="s">
        <v>100</v>
      </c>
      <c r="O253" s="66">
        <f>951</f>
        <v>951</v>
      </c>
      <c r="P253" s="67" t="s">
        <v>175</v>
      </c>
      <c r="Q253" s="66">
        <f>964</f>
        <v>964</v>
      </c>
      <c r="R253" s="67" t="s">
        <v>50</v>
      </c>
      <c r="S253" s="68">
        <f>967.13</f>
        <v>967.13</v>
      </c>
      <c r="T253" s="65">
        <f>31370</f>
        <v>31370</v>
      </c>
      <c r="U253" s="65" t="str">
        <f>"－"</f>
        <v>－</v>
      </c>
      <c r="V253" s="65">
        <f>30268780</f>
        <v>30268780</v>
      </c>
      <c r="W253" s="65" t="str">
        <f>"－"</f>
        <v>－</v>
      </c>
      <c r="X253" s="69">
        <f>16</f>
        <v>16</v>
      </c>
    </row>
    <row r="254" spans="1:24">
      <c r="A254" s="60" t="s">
        <v>872</v>
      </c>
      <c r="B254" s="60" t="s">
        <v>891</v>
      </c>
      <c r="C254" s="60" t="s">
        <v>892</v>
      </c>
      <c r="D254" s="60" t="s">
        <v>893</v>
      </c>
      <c r="E254" s="61" t="s">
        <v>731</v>
      </c>
      <c r="F254" s="62" t="s">
        <v>732</v>
      </c>
      <c r="G254" s="63" t="s">
        <v>894</v>
      </c>
      <c r="H254" s="64"/>
      <c r="I254" s="64" t="s">
        <v>47</v>
      </c>
      <c r="J254" s="65">
        <v>10</v>
      </c>
      <c r="K254" s="66">
        <f>295</f>
        <v>295</v>
      </c>
      <c r="L254" s="67" t="s">
        <v>834</v>
      </c>
      <c r="M254" s="66">
        <f>356</f>
        <v>356</v>
      </c>
      <c r="N254" s="67" t="s">
        <v>90</v>
      </c>
      <c r="O254" s="66">
        <f>210</f>
        <v>210</v>
      </c>
      <c r="P254" s="67" t="s">
        <v>175</v>
      </c>
      <c r="Q254" s="66">
        <f>216</f>
        <v>216</v>
      </c>
      <c r="R254" s="67" t="s">
        <v>50</v>
      </c>
      <c r="S254" s="68">
        <f>220.08</f>
        <v>220.08</v>
      </c>
      <c r="T254" s="65">
        <f>1331400</f>
        <v>1331400</v>
      </c>
      <c r="U254" s="65" t="str">
        <f>"－"</f>
        <v>－</v>
      </c>
      <c r="V254" s="65">
        <f>306747580</f>
        <v>306747580</v>
      </c>
      <c r="W254" s="65" t="str">
        <f>"－"</f>
        <v>－</v>
      </c>
      <c r="X254" s="69">
        <f>12</f>
        <v>12</v>
      </c>
    </row>
    <row r="255" spans="1:24">
      <c r="A255" s="60" t="s">
        <v>872</v>
      </c>
      <c r="B255" s="60" t="s">
        <v>895</v>
      </c>
      <c r="C255" s="60" t="s">
        <v>896</v>
      </c>
      <c r="D255" s="60" t="s">
        <v>897</v>
      </c>
      <c r="E255" s="61" t="s">
        <v>731</v>
      </c>
      <c r="F255" s="62" t="s">
        <v>732</v>
      </c>
      <c r="G255" s="63" t="s">
        <v>898</v>
      </c>
      <c r="H255" s="64"/>
      <c r="I255" s="64" t="s">
        <v>47</v>
      </c>
      <c r="J255" s="65">
        <v>10</v>
      </c>
      <c r="K255" s="66">
        <f>1970</f>
        <v>1970</v>
      </c>
      <c r="L255" s="67" t="s">
        <v>175</v>
      </c>
      <c r="M255" s="66">
        <f>2170</f>
        <v>2170</v>
      </c>
      <c r="N255" s="67" t="s">
        <v>245</v>
      </c>
      <c r="O255" s="66">
        <f>1953</f>
        <v>1953</v>
      </c>
      <c r="P255" s="67" t="s">
        <v>175</v>
      </c>
      <c r="Q255" s="66">
        <f>2035</f>
        <v>2035</v>
      </c>
      <c r="R255" s="67" t="s">
        <v>50</v>
      </c>
      <c r="S255" s="68">
        <f>2020.6</f>
        <v>2020.6</v>
      </c>
      <c r="T255" s="65">
        <f>266380</f>
        <v>266380</v>
      </c>
      <c r="U255" s="65" t="str">
        <f>"－"</f>
        <v>－</v>
      </c>
      <c r="V255" s="65">
        <f>539414460</f>
        <v>539414460</v>
      </c>
      <c r="W255" s="65" t="str">
        <f>"－"</f>
        <v>－</v>
      </c>
      <c r="X255" s="69">
        <f>5</f>
        <v>5</v>
      </c>
    </row>
    <row r="256" spans="1:24">
      <c r="A256" s="60" t="s">
        <v>872</v>
      </c>
      <c r="B256" s="60" t="s">
        <v>899</v>
      </c>
      <c r="C256" s="60" t="s">
        <v>900</v>
      </c>
      <c r="D256" s="60" t="s">
        <v>901</v>
      </c>
      <c r="E256" s="61" t="s">
        <v>731</v>
      </c>
      <c r="F256" s="62" t="s">
        <v>732</v>
      </c>
      <c r="G256" s="63" t="s">
        <v>898</v>
      </c>
      <c r="H256" s="64"/>
      <c r="I256" s="64" t="s">
        <v>47</v>
      </c>
      <c r="J256" s="65">
        <v>10</v>
      </c>
      <c r="K256" s="66">
        <f>1963</f>
        <v>1963</v>
      </c>
      <c r="L256" s="67" t="s">
        <v>175</v>
      </c>
      <c r="M256" s="66">
        <f>2070</f>
        <v>2070</v>
      </c>
      <c r="N256" s="67" t="s">
        <v>245</v>
      </c>
      <c r="O256" s="66">
        <f>1943</f>
        <v>1943</v>
      </c>
      <c r="P256" s="67" t="s">
        <v>175</v>
      </c>
      <c r="Q256" s="66">
        <f>2024</f>
        <v>2024</v>
      </c>
      <c r="R256" s="67" t="s">
        <v>50</v>
      </c>
      <c r="S256" s="68">
        <f>2010</f>
        <v>2010</v>
      </c>
      <c r="T256" s="65">
        <f>361720</f>
        <v>361720</v>
      </c>
      <c r="U256" s="65">
        <f>325000</f>
        <v>325000</v>
      </c>
      <c r="V256" s="65">
        <f>721780110</f>
        <v>721780110</v>
      </c>
      <c r="W256" s="65">
        <f>648053500</f>
        <v>648053500</v>
      </c>
      <c r="X256" s="69">
        <f>5</f>
        <v>5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53BD3-D41D-4D8E-B185-0873A585B326}">
  <sheetPr>
    <pageSetUpPr fitToPage="1"/>
  </sheetPr>
  <dimension ref="A1:X252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RowHeight="13.5"/>
  <cols>
    <col min="1" max="1" width="13.125" style="1" bestFit="1" customWidth="1"/>
    <col min="2" max="2" width="10.75" style="1" bestFit="1" customWidth="1"/>
    <col min="3" max="4" width="27.625" style="1" customWidth="1"/>
    <col min="5" max="5" width="13.75" style="1" bestFit="1" customWidth="1"/>
    <col min="6" max="6" width="20.75" style="1" bestFit="1" customWidth="1"/>
    <col min="7" max="7" width="11.25" style="1" customWidth="1"/>
    <col min="8" max="8" width="8.75" style="1" bestFit="1" customWidth="1"/>
    <col min="9" max="9" width="11.75" style="1" bestFit="1" customWidth="1"/>
    <col min="10" max="10" width="12.625" style="1" bestFit="1" customWidth="1"/>
    <col min="11" max="11" width="16.25" style="1" customWidth="1"/>
    <col min="12" max="12" width="5.625" style="1" bestFit="1" customWidth="1"/>
    <col min="13" max="13" width="16.25" style="1" customWidth="1"/>
    <col min="14" max="14" width="5.625" style="1" bestFit="1" customWidth="1"/>
    <col min="15" max="15" width="16.25" style="1" customWidth="1"/>
    <col min="16" max="16" width="5.625" style="1" bestFit="1" customWidth="1"/>
    <col min="17" max="17" width="16.25" style="1" customWidth="1"/>
    <col min="18" max="18" width="5.625" style="1" bestFit="1" customWidth="1"/>
    <col min="19" max="19" width="23.875" style="1" bestFit="1" customWidth="1"/>
    <col min="20" max="20" width="16.25" style="1" customWidth="1"/>
    <col min="21" max="21" width="24.125" style="1" customWidth="1"/>
    <col min="22" max="22" width="19.875" style="1" bestFit="1" customWidth="1"/>
    <col min="23" max="23" width="25" style="1" bestFit="1" customWidth="1"/>
    <col min="24" max="24" width="13.12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864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1575</f>
        <v>1575</v>
      </c>
      <c r="L7" s="67" t="s">
        <v>814</v>
      </c>
      <c r="M7" s="66">
        <f>1706</f>
        <v>1706</v>
      </c>
      <c r="N7" s="67" t="s">
        <v>95</v>
      </c>
      <c r="O7" s="66">
        <f>1571</f>
        <v>1571</v>
      </c>
      <c r="P7" s="67" t="s">
        <v>814</v>
      </c>
      <c r="Q7" s="66">
        <f>1684</f>
        <v>1684</v>
      </c>
      <c r="R7" s="67" t="s">
        <v>51</v>
      </c>
      <c r="S7" s="68">
        <f>1661.8</f>
        <v>1661.8</v>
      </c>
      <c r="T7" s="65">
        <f>10180780</f>
        <v>10180780</v>
      </c>
      <c r="U7" s="65">
        <f>5955750</f>
        <v>5955750</v>
      </c>
      <c r="V7" s="65">
        <f>17139075480</f>
        <v>17139075480</v>
      </c>
      <c r="W7" s="65">
        <f>10073793730</f>
        <v>10073793730</v>
      </c>
      <c r="X7" s="69">
        <f>20</f>
        <v>20</v>
      </c>
    </row>
    <row r="8" spans="1:24">
      <c r="A8" s="60" t="s">
        <v>864</v>
      </c>
      <c r="B8" s="60" t="s">
        <v>52</v>
      </c>
      <c r="C8" s="60" t="s">
        <v>53</v>
      </c>
      <c r="D8" s="60" t="s">
        <v>54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1558</f>
        <v>1558</v>
      </c>
      <c r="L8" s="67" t="s">
        <v>814</v>
      </c>
      <c r="M8" s="66">
        <f>1686</f>
        <v>1686</v>
      </c>
      <c r="N8" s="67" t="s">
        <v>95</v>
      </c>
      <c r="O8" s="66">
        <f>1553</f>
        <v>1553</v>
      </c>
      <c r="P8" s="67" t="s">
        <v>814</v>
      </c>
      <c r="Q8" s="66">
        <f>1660</f>
        <v>1660</v>
      </c>
      <c r="R8" s="67" t="s">
        <v>51</v>
      </c>
      <c r="S8" s="68">
        <f>1641.9</f>
        <v>1641.9</v>
      </c>
      <c r="T8" s="65">
        <f>40764240</f>
        <v>40764240</v>
      </c>
      <c r="U8" s="65">
        <f>1643590</f>
        <v>1643590</v>
      </c>
      <c r="V8" s="65">
        <f>67197597660</f>
        <v>67197597660</v>
      </c>
      <c r="W8" s="65">
        <f>2714713520</f>
        <v>2714713520</v>
      </c>
      <c r="X8" s="69">
        <f>20</f>
        <v>20</v>
      </c>
    </row>
    <row r="9" spans="1:24">
      <c r="A9" s="60" t="s">
        <v>864</v>
      </c>
      <c r="B9" s="60" t="s">
        <v>55</v>
      </c>
      <c r="C9" s="60" t="s">
        <v>56</v>
      </c>
      <c r="D9" s="60" t="s">
        <v>57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1543</f>
        <v>1543</v>
      </c>
      <c r="L9" s="67" t="s">
        <v>814</v>
      </c>
      <c r="M9" s="66">
        <f>1667</f>
        <v>1667</v>
      </c>
      <c r="N9" s="67" t="s">
        <v>95</v>
      </c>
      <c r="O9" s="66">
        <f>1536</f>
        <v>1536</v>
      </c>
      <c r="P9" s="67" t="s">
        <v>814</v>
      </c>
      <c r="Q9" s="66">
        <f>1646</f>
        <v>1646</v>
      </c>
      <c r="R9" s="67" t="s">
        <v>51</v>
      </c>
      <c r="S9" s="68">
        <f>1625.15</f>
        <v>1625.15</v>
      </c>
      <c r="T9" s="65">
        <f>16910500</f>
        <v>16910500</v>
      </c>
      <c r="U9" s="65">
        <f>10600000</f>
        <v>10600000</v>
      </c>
      <c r="V9" s="65">
        <f>27639579000</f>
        <v>27639579000</v>
      </c>
      <c r="W9" s="65">
        <f>17364728000</f>
        <v>17364728000</v>
      </c>
      <c r="X9" s="69">
        <f>20</f>
        <v>20</v>
      </c>
    </row>
    <row r="10" spans="1:24">
      <c r="A10" s="60" t="s">
        <v>864</v>
      </c>
      <c r="B10" s="60" t="s">
        <v>58</v>
      </c>
      <c r="C10" s="60" t="s">
        <v>59</v>
      </c>
      <c r="D10" s="60" t="s">
        <v>60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37000</f>
        <v>37000</v>
      </c>
      <c r="L10" s="67" t="s">
        <v>814</v>
      </c>
      <c r="M10" s="66">
        <f>39850</f>
        <v>39850</v>
      </c>
      <c r="N10" s="67" t="s">
        <v>51</v>
      </c>
      <c r="O10" s="66">
        <f>36600</f>
        <v>36600</v>
      </c>
      <c r="P10" s="67" t="s">
        <v>100</v>
      </c>
      <c r="Q10" s="66">
        <f>39650</f>
        <v>39650</v>
      </c>
      <c r="R10" s="67" t="s">
        <v>51</v>
      </c>
      <c r="S10" s="68">
        <f>37975</f>
        <v>37975</v>
      </c>
      <c r="T10" s="65">
        <f>11621</f>
        <v>11621</v>
      </c>
      <c r="U10" s="65">
        <f>30</f>
        <v>30</v>
      </c>
      <c r="V10" s="65">
        <f>443088100</f>
        <v>443088100</v>
      </c>
      <c r="W10" s="65">
        <f>1103450</f>
        <v>1103450</v>
      </c>
      <c r="X10" s="69">
        <f>20</f>
        <v>20</v>
      </c>
    </row>
    <row r="11" spans="1:24">
      <c r="A11" s="60" t="s">
        <v>864</v>
      </c>
      <c r="B11" s="60" t="s">
        <v>62</v>
      </c>
      <c r="C11" s="60" t="s">
        <v>63</v>
      </c>
      <c r="D11" s="60" t="s">
        <v>64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689</f>
        <v>689</v>
      </c>
      <c r="L11" s="67" t="s">
        <v>814</v>
      </c>
      <c r="M11" s="66">
        <f>742</f>
        <v>742</v>
      </c>
      <c r="N11" s="67" t="s">
        <v>820</v>
      </c>
      <c r="O11" s="66">
        <f>688</f>
        <v>688</v>
      </c>
      <c r="P11" s="67" t="s">
        <v>814</v>
      </c>
      <c r="Q11" s="66">
        <f>732</f>
        <v>732</v>
      </c>
      <c r="R11" s="67" t="s">
        <v>51</v>
      </c>
      <c r="S11" s="68">
        <f>724.25</f>
        <v>724.25</v>
      </c>
      <c r="T11" s="65">
        <f>173610</f>
        <v>173610</v>
      </c>
      <c r="U11" s="65" t="str">
        <f>"－"</f>
        <v>－</v>
      </c>
      <c r="V11" s="65">
        <f>126821310</f>
        <v>126821310</v>
      </c>
      <c r="W11" s="65" t="str">
        <f>"－"</f>
        <v>－</v>
      </c>
      <c r="X11" s="69">
        <f>20</f>
        <v>20</v>
      </c>
    </row>
    <row r="12" spans="1:24">
      <c r="A12" s="60" t="s">
        <v>864</v>
      </c>
      <c r="B12" s="60" t="s">
        <v>66</v>
      </c>
      <c r="C12" s="60" t="s">
        <v>67</v>
      </c>
      <c r="D12" s="60" t="s">
        <v>68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17510</f>
        <v>17510</v>
      </c>
      <c r="L12" s="67" t="s">
        <v>814</v>
      </c>
      <c r="M12" s="66">
        <f>18750</f>
        <v>18750</v>
      </c>
      <c r="N12" s="67" t="s">
        <v>816</v>
      </c>
      <c r="O12" s="66">
        <f>17420</f>
        <v>17420</v>
      </c>
      <c r="P12" s="67" t="s">
        <v>817</v>
      </c>
      <c r="Q12" s="66">
        <f>18750</f>
        <v>18750</v>
      </c>
      <c r="R12" s="67" t="s">
        <v>51</v>
      </c>
      <c r="S12" s="68">
        <f>18334.71</f>
        <v>18334.71</v>
      </c>
      <c r="T12" s="65">
        <f>536</f>
        <v>536</v>
      </c>
      <c r="U12" s="65" t="str">
        <f>"－"</f>
        <v>－</v>
      </c>
      <c r="V12" s="65">
        <f>9830260</f>
        <v>9830260</v>
      </c>
      <c r="W12" s="65" t="str">
        <f>"－"</f>
        <v>－</v>
      </c>
      <c r="X12" s="69">
        <f>17</f>
        <v>17</v>
      </c>
    </row>
    <row r="13" spans="1:24">
      <c r="A13" s="60" t="s">
        <v>864</v>
      </c>
      <c r="B13" s="60" t="s">
        <v>69</v>
      </c>
      <c r="C13" s="60" t="s">
        <v>70</v>
      </c>
      <c r="D13" s="60" t="s">
        <v>71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2604</f>
        <v>2604</v>
      </c>
      <c r="L13" s="67" t="s">
        <v>814</v>
      </c>
      <c r="M13" s="66">
        <f>2921</f>
        <v>2921</v>
      </c>
      <c r="N13" s="67" t="s">
        <v>820</v>
      </c>
      <c r="O13" s="66">
        <f>2604</f>
        <v>2604</v>
      </c>
      <c r="P13" s="67" t="s">
        <v>814</v>
      </c>
      <c r="Q13" s="66">
        <f>2790</f>
        <v>2790</v>
      </c>
      <c r="R13" s="67" t="s">
        <v>51</v>
      </c>
      <c r="S13" s="68">
        <f>2788.85</f>
        <v>2788.85</v>
      </c>
      <c r="T13" s="65">
        <f>7670</f>
        <v>7670</v>
      </c>
      <c r="U13" s="65" t="str">
        <f>"－"</f>
        <v>－</v>
      </c>
      <c r="V13" s="65">
        <f>21384330</f>
        <v>21384330</v>
      </c>
      <c r="W13" s="65" t="str">
        <f>"－"</f>
        <v>－</v>
      </c>
      <c r="X13" s="69">
        <f>20</f>
        <v>20</v>
      </c>
    </row>
    <row r="14" spans="1:24">
      <c r="A14" s="60" t="s">
        <v>864</v>
      </c>
      <c r="B14" s="60" t="s">
        <v>73</v>
      </c>
      <c r="C14" s="60" t="s">
        <v>74</v>
      </c>
      <c r="D14" s="60" t="s">
        <v>75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296</f>
        <v>296</v>
      </c>
      <c r="L14" s="67" t="s">
        <v>814</v>
      </c>
      <c r="M14" s="66">
        <f>312</f>
        <v>312</v>
      </c>
      <c r="N14" s="67" t="s">
        <v>819</v>
      </c>
      <c r="O14" s="66">
        <f>291</f>
        <v>291</v>
      </c>
      <c r="P14" s="67" t="s">
        <v>814</v>
      </c>
      <c r="Q14" s="66">
        <f>311</f>
        <v>311</v>
      </c>
      <c r="R14" s="67" t="s">
        <v>51</v>
      </c>
      <c r="S14" s="68">
        <f>306.35</f>
        <v>306.35000000000002</v>
      </c>
      <c r="T14" s="65">
        <f>94000</f>
        <v>94000</v>
      </c>
      <c r="U14" s="65" t="str">
        <f>"－"</f>
        <v>－</v>
      </c>
      <c r="V14" s="65">
        <f>28841000</f>
        <v>28841000</v>
      </c>
      <c r="W14" s="65" t="str">
        <f>"－"</f>
        <v>－</v>
      </c>
      <c r="X14" s="69">
        <f>17</f>
        <v>17</v>
      </c>
    </row>
    <row r="15" spans="1:24">
      <c r="A15" s="60" t="s">
        <v>864</v>
      </c>
      <c r="B15" s="60" t="s">
        <v>76</v>
      </c>
      <c r="C15" s="60" t="s">
        <v>77</v>
      </c>
      <c r="D15" s="60" t="s">
        <v>78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22480</f>
        <v>22480</v>
      </c>
      <c r="L15" s="67" t="s">
        <v>814</v>
      </c>
      <c r="M15" s="66">
        <f>23930</f>
        <v>23930</v>
      </c>
      <c r="N15" s="67" t="s">
        <v>816</v>
      </c>
      <c r="O15" s="66">
        <f>22410</f>
        <v>22410</v>
      </c>
      <c r="P15" s="67" t="s">
        <v>814</v>
      </c>
      <c r="Q15" s="66">
        <f>23640</f>
        <v>23640</v>
      </c>
      <c r="R15" s="67" t="s">
        <v>51</v>
      </c>
      <c r="S15" s="68">
        <f>23400</f>
        <v>23400</v>
      </c>
      <c r="T15" s="65">
        <f>1649438</f>
        <v>1649438</v>
      </c>
      <c r="U15" s="65">
        <f>8208</f>
        <v>8208</v>
      </c>
      <c r="V15" s="65">
        <f>38630343535</f>
        <v>38630343535</v>
      </c>
      <c r="W15" s="65">
        <f>188898995</f>
        <v>188898995</v>
      </c>
      <c r="X15" s="69">
        <f>20</f>
        <v>20</v>
      </c>
    </row>
    <row r="16" spans="1:24">
      <c r="A16" s="60" t="s">
        <v>864</v>
      </c>
      <c r="B16" s="60" t="s">
        <v>80</v>
      </c>
      <c r="C16" s="60" t="s">
        <v>81</v>
      </c>
      <c r="D16" s="60" t="s">
        <v>82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22520</f>
        <v>22520</v>
      </c>
      <c r="L16" s="67" t="s">
        <v>814</v>
      </c>
      <c r="M16" s="66">
        <f>23990</f>
        <v>23990</v>
      </c>
      <c r="N16" s="67" t="s">
        <v>816</v>
      </c>
      <c r="O16" s="66">
        <f>22450</f>
        <v>22450</v>
      </c>
      <c r="P16" s="67" t="s">
        <v>814</v>
      </c>
      <c r="Q16" s="66">
        <f>23700</f>
        <v>23700</v>
      </c>
      <c r="R16" s="67" t="s">
        <v>51</v>
      </c>
      <c r="S16" s="68">
        <f>23444</f>
        <v>23444</v>
      </c>
      <c r="T16" s="65">
        <f>7365315</f>
        <v>7365315</v>
      </c>
      <c r="U16" s="65">
        <f>1698524</f>
        <v>1698524</v>
      </c>
      <c r="V16" s="65">
        <f>173350105320</f>
        <v>173350105320</v>
      </c>
      <c r="W16" s="65">
        <f>40230128500</f>
        <v>40230128500</v>
      </c>
      <c r="X16" s="69">
        <f>20</f>
        <v>20</v>
      </c>
    </row>
    <row r="17" spans="1:24">
      <c r="A17" s="60" t="s">
        <v>864</v>
      </c>
      <c r="B17" s="60" t="s">
        <v>83</v>
      </c>
      <c r="C17" s="60" t="s">
        <v>84</v>
      </c>
      <c r="D17" s="60" t="s">
        <v>85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6280</f>
        <v>6280</v>
      </c>
      <c r="L17" s="67" t="s">
        <v>814</v>
      </c>
      <c r="M17" s="66">
        <f>7230</f>
        <v>7230</v>
      </c>
      <c r="N17" s="67" t="s">
        <v>51</v>
      </c>
      <c r="O17" s="66">
        <f>6280</f>
        <v>6280</v>
      </c>
      <c r="P17" s="67" t="s">
        <v>814</v>
      </c>
      <c r="Q17" s="66">
        <f>7230</f>
        <v>7230</v>
      </c>
      <c r="R17" s="67" t="s">
        <v>51</v>
      </c>
      <c r="S17" s="68">
        <f>6765</f>
        <v>6765</v>
      </c>
      <c r="T17" s="65">
        <f>14600</f>
        <v>14600</v>
      </c>
      <c r="U17" s="65" t="str">
        <f>"－"</f>
        <v>－</v>
      </c>
      <c r="V17" s="65">
        <f>99595800</f>
        <v>99595800</v>
      </c>
      <c r="W17" s="65" t="str">
        <f>"－"</f>
        <v>－</v>
      </c>
      <c r="X17" s="69">
        <f>20</f>
        <v>20</v>
      </c>
    </row>
    <row r="18" spans="1:24">
      <c r="A18" s="60" t="s">
        <v>864</v>
      </c>
      <c r="B18" s="60" t="s">
        <v>87</v>
      </c>
      <c r="C18" s="60" t="s">
        <v>88</v>
      </c>
      <c r="D18" s="60" t="s">
        <v>89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313</f>
        <v>313</v>
      </c>
      <c r="L18" s="67" t="s">
        <v>814</v>
      </c>
      <c r="M18" s="66">
        <f>314</f>
        <v>314</v>
      </c>
      <c r="N18" s="67" t="s">
        <v>818</v>
      </c>
      <c r="O18" s="66">
        <f>300</f>
        <v>300</v>
      </c>
      <c r="P18" s="67" t="s">
        <v>175</v>
      </c>
      <c r="Q18" s="66">
        <f>314</f>
        <v>314</v>
      </c>
      <c r="R18" s="67" t="s">
        <v>51</v>
      </c>
      <c r="S18" s="68">
        <f>309.21</f>
        <v>309.20999999999998</v>
      </c>
      <c r="T18" s="65">
        <f>33000</f>
        <v>33000</v>
      </c>
      <c r="U18" s="65" t="str">
        <f>"－"</f>
        <v>－</v>
      </c>
      <c r="V18" s="65">
        <f>10180200</f>
        <v>10180200</v>
      </c>
      <c r="W18" s="65" t="str">
        <f>"－"</f>
        <v>－</v>
      </c>
      <c r="X18" s="69">
        <f>19</f>
        <v>19</v>
      </c>
    </row>
    <row r="19" spans="1:24">
      <c r="A19" s="60" t="s">
        <v>864</v>
      </c>
      <c r="B19" s="60" t="s">
        <v>92</v>
      </c>
      <c r="C19" s="60" t="s">
        <v>93</v>
      </c>
      <c r="D19" s="60" t="s">
        <v>94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136</f>
        <v>136</v>
      </c>
      <c r="L19" s="67" t="s">
        <v>814</v>
      </c>
      <c r="M19" s="66">
        <f>137</f>
        <v>137</v>
      </c>
      <c r="N19" s="67" t="s">
        <v>818</v>
      </c>
      <c r="O19" s="66">
        <f>133</f>
        <v>133</v>
      </c>
      <c r="P19" s="67" t="s">
        <v>815</v>
      </c>
      <c r="Q19" s="66">
        <f>134</f>
        <v>134</v>
      </c>
      <c r="R19" s="67" t="s">
        <v>51</v>
      </c>
      <c r="S19" s="68">
        <f>135.25</f>
        <v>135.25</v>
      </c>
      <c r="T19" s="65">
        <f>255200</f>
        <v>255200</v>
      </c>
      <c r="U19" s="65">
        <f>200</f>
        <v>200</v>
      </c>
      <c r="V19" s="65">
        <f>34465800</f>
        <v>34465800</v>
      </c>
      <c r="W19" s="65">
        <f>27200</f>
        <v>27200</v>
      </c>
      <c r="X19" s="69">
        <f>20</f>
        <v>20</v>
      </c>
    </row>
    <row r="20" spans="1:24">
      <c r="A20" s="60" t="s">
        <v>864</v>
      </c>
      <c r="B20" s="60" t="s">
        <v>96</v>
      </c>
      <c r="C20" s="60" t="s">
        <v>97</v>
      </c>
      <c r="D20" s="60" t="s">
        <v>98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163</f>
        <v>163</v>
      </c>
      <c r="L20" s="67" t="s">
        <v>814</v>
      </c>
      <c r="M20" s="66">
        <f>163</f>
        <v>163</v>
      </c>
      <c r="N20" s="67" t="s">
        <v>814</v>
      </c>
      <c r="O20" s="66">
        <f>156</f>
        <v>156</v>
      </c>
      <c r="P20" s="67" t="s">
        <v>815</v>
      </c>
      <c r="Q20" s="66">
        <f>160</f>
        <v>160</v>
      </c>
      <c r="R20" s="67" t="s">
        <v>51</v>
      </c>
      <c r="S20" s="68">
        <f>159</f>
        <v>159</v>
      </c>
      <c r="T20" s="65">
        <f>390100</f>
        <v>390100</v>
      </c>
      <c r="U20" s="65">
        <f>500</f>
        <v>500</v>
      </c>
      <c r="V20" s="65">
        <f>61991600</f>
        <v>61991600</v>
      </c>
      <c r="W20" s="65">
        <f>79900</f>
        <v>79900</v>
      </c>
      <c r="X20" s="69">
        <f>20</f>
        <v>20</v>
      </c>
    </row>
    <row r="21" spans="1:24">
      <c r="A21" s="60" t="s">
        <v>864</v>
      </c>
      <c r="B21" s="60" t="s">
        <v>101</v>
      </c>
      <c r="C21" s="60" t="s">
        <v>102</v>
      </c>
      <c r="D21" s="60" t="s">
        <v>103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19700</f>
        <v>19700</v>
      </c>
      <c r="L21" s="67" t="s">
        <v>814</v>
      </c>
      <c r="M21" s="66">
        <f>20560</f>
        <v>20560</v>
      </c>
      <c r="N21" s="67" t="s">
        <v>100</v>
      </c>
      <c r="O21" s="66">
        <f>18700</f>
        <v>18700</v>
      </c>
      <c r="P21" s="67" t="s">
        <v>815</v>
      </c>
      <c r="Q21" s="66">
        <f>19540</f>
        <v>19540</v>
      </c>
      <c r="R21" s="67" t="s">
        <v>51</v>
      </c>
      <c r="S21" s="68">
        <f>19576.5</f>
        <v>19576.5</v>
      </c>
      <c r="T21" s="65">
        <f>473982</f>
        <v>473982</v>
      </c>
      <c r="U21" s="65" t="str">
        <f>"－"</f>
        <v>－</v>
      </c>
      <c r="V21" s="65">
        <f>9307143230</f>
        <v>9307143230</v>
      </c>
      <c r="W21" s="65" t="str">
        <f>"－"</f>
        <v>－</v>
      </c>
      <c r="X21" s="69">
        <f>20</f>
        <v>20</v>
      </c>
    </row>
    <row r="22" spans="1:24">
      <c r="A22" s="60" t="s">
        <v>864</v>
      </c>
      <c r="B22" s="60" t="s">
        <v>104</v>
      </c>
      <c r="C22" s="60" t="s">
        <v>105</v>
      </c>
      <c r="D22" s="60" t="s">
        <v>106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2628</f>
        <v>2628</v>
      </c>
      <c r="L22" s="67" t="s">
        <v>814</v>
      </c>
      <c r="M22" s="66">
        <f>2815</f>
        <v>2815</v>
      </c>
      <c r="N22" s="67" t="s">
        <v>821</v>
      </c>
      <c r="O22" s="66">
        <f>2608</f>
        <v>2608</v>
      </c>
      <c r="P22" s="67" t="s">
        <v>818</v>
      </c>
      <c r="Q22" s="66">
        <f>2742</f>
        <v>2742</v>
      </c>
      <c r="R22" s="67" t="s">
        <v>51</v>
      </c>
      <c r="S22" s="68">
        <f>2721.65</f>
        <v>2721.65</v>
      </c>
      <c r="T22" s="65">
        <f>2315</f>
        <v>2315</v>
      </c>
      <c r="U22" s="65" t="str">
        <f>"－"</f>
        <v>－</v>
      </c>
      <c r="V22" s="65">
        <f>6334992</f>
        <v>6334992</v>
      </c>
      <c r="W22" s="65" t="str">
        <f>"－"</f>
        <v>－</v>
      </c>
      <c r="X22" s="69">
        <f>20</f>
        <v>20</v>
      </c>
    </row>
    <row r="23" spans="1:24">
      <c r="A23" s="60" t="s">
        <v>864</v>
      </c>
      <c r="B23" s="60" t="s">
        <v>107</v>
      </c>
      <c r="C23" s="60" t="s">
        <v>108</v>
      </c>
      <c r="D23" s="60" t="s">
        <v>109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5490</f>
        <v>5490</v>
      </c>
      <c r="L23" s="67" t="s">
        <v>814</v>
      </c>
      <c r="M23" s="66">
        <f>5590</f>
        <v>5590</v>
      </c>
      <c r="N23" s="67" t="s">
        <v>100</v>
      </c>
      <c r="O23" s="66">
        <f>5200</f>
        <v>5200</v>
      </c>
      <c r="P23" s="67" t="s">
        <v>815</v>
      </c>
      <c r="Q23" s="66">
        <f>5390</f>
        <v>5390</v>
      </c>
      <c r="R23" s="67" t="s">
        <v>51</v>
      </c>
      <c r="S23" s="68">
        <f>5389.5</f>
        <v>5389.5</v>
      </c>
      <c r="T23" s="65">
        <f>265240</f>
        <v>265240</v>
      </c>
      <c r="U23" s="65">
        <f>50</f>
        <v>50</v>
      </c>
      <c r="V23" s="65">
        <f>1429153550</f>
        <v>1429153550</v>
      </c>
      <c r="W23" s="65">
        <f>277350</f>
        <v>277350</v>
      </c>
      <c r="X23" s="69">
        <f>20</f>
        <v>20</v>
      </c>
    </row>
    <row r="24" spans="1:24">
      <c r="A24" s="60" t="s">
        <v>864</v>
      </c>
      <c r="B24" s="60" t="s">
        <v>110</v>
      </c>
      <c r="C24" s="60" t="s">
        <v>111</v>
      </c>
      <c r="D24" s="60" t="s">
        <v>112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22800</f>
        <v>22800</v>
      </c>
      <c r="L24" s="67" t="s">
        <v>814</v>
      </c>
      <c r="M24" s="66">
        <f>24080</f>
        <v>24080</v>
      </c>
      <c r="N24" s="67" t="s">
        <v>816</v>
      </c>
      <c r="O24" s="66">
        <f>22770</f>
        <v>22770</v>
      </c>
      <c r="P24" s="67" t="s">
        <v>814</v>
      </c>
      <c r="Q24" s="66">
        <f>23820</f>
        <v>23820</v>
      </c>
      <c r="R24" s="67" t="s">
        <v>51</v>
      </c>
      <c r="S24" s="68">
        <f>23576.5</f>
        <v>23576.5</v>
      </c>
      <c r="T24" s="65">
        <f>534667</f>
        <v>534667</v>
      </c>
      <c r="U24" s="65">
        <f>116954</f>
        <v>116954</v>
      </c>
      <c r="V24" s="65">
        <f>12591244176</f>
        <v>12591244176</v>
      </c>
      <c r="W24" s="65">
        <f>2756220206</f>
        <v>2756220206</v>
      </c>
      <c r="X24" s="69">
        <f>20</f>
        <v>20</v>
      </c>
    </row>
    <row r="25" spans="1:24">
      <c r="A25" s="60" t="s">
        <v>864</v>
      </c>
      <c r="B25" s="60" t="s">
        <v>113</v>
      </c>
      <c r="C25" s="60" t="s">
        <v>114</v>
      </c>
      <c r="D25" s="60" t="s">
        <v>115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22560</f>
        <v>22560</v>
      </c>
      <c r="L25" s="67" t="s">
        <v>814</v>
      </c>
      <c r="M25" s="66">
        <f>24020</f>
        <v>24020</v>
      </c>
      <c r="N25" s="67" t="s">
        <v>816</v>
      </c>
      <c r="O25" s="66">
        <f>22490</f>
        <v>22490</v>
      </c>
      <c r="P25" s="67" t="s">
        <v>814</v>
      </c>
      <c r="Q25" s="66">
        <f>23760</f>
        <v>23760</v>
      </c>
      <c r="R25" s="67" t="s">
        <v>51</v>
      </c>
      <c r="S25" s="68">
        <f>23490.5</f>
        <v>23490.5</v>
      </c>
      <c r="T25" s="65">
        <f>1644050</f>
        <v>1644050</v>
      </c>
      <c r="U25" s="65">
        <f>230780</f>
        <v>230780</v>
      </c>
      <c r="V25" s="65">
        <f>38739366422</f>
        <v>38739366422</v>
      </c>
      <c r="W25" s="65">
        <f>5470011622</f>
        <v>5470011622</v>
      </c>
      <c r="X25" s="69">
        <f>20</f>
        <v>20</v>
      </c>
    </row>
    <row r="26" spans="1:24">
      <c r="A26" s="60" t="s">
        <v>864</v>
      </c>
      <c r="B26" s="60" t="s">
        <v>116</v>
      </c>
      <c r="C26" s="60" t="s">
        <v>117</v>
      </c>
      <c r="D26" s="60" t="s">
        <v>118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1796</f>
        <v>1796</v>
      </c>
      <c r="L26" s="67" t="s">
        <v>814</v>
      </c>
      <c r="M26" s="66">
        <f>1890</f>
        <v>1890</v>
      </c>
      <c r="N26" s="67" t="s">
        <v>51</v>
      </c>
      <c r="O26" s="66">
        <f>1775</f>
        <v>1775</v>
      </c>
      <c r="P26" s="67" t="s">
        <v>815</v>
      </c>
      <c r="Q26" s="66">
        <f>1870</f>
        <v>1870</v>
      </c>
      <c r="R26" s="67" t="s">
        <v>51</v>
      </c>
      <c r="S26" s="68">
        <f>1820.35</f>
        <v>1820.35</v>
      </c>
      <c r="T26" s="65">
        <f>7413740</f>
        <v>7413740</v>
      </c>
      <c r="U26" s="65">
        <f>293630</f>
        <v>293630</v>
      </c>
      <c r="V26" s="65">
        <f>13537192694</f>
        <v>13537192694</v>
      </c>
      <c r="W26" s="65">
        <f>535977984</f>
        <v>535977984</v>
      </c>
      <c r="X26" s="69">
        <f>20</f>
        <v>20</v>
      </c>
    </row>
    <row r="27" spans="1:24">
      <c r="A27" s="60" t="s">
        <v>864</v>
      </c>
      <c r="B27" s="60" t="s">
        <v>120</v>
      </c>
      <c r="C27" s="60" t="s">
        <v>121</v>
      </c>
      <c r="D27" s="60" t="s">
        <v>122</v>
      </c>
      <c r="E27" s="61" t="s">
        <v>46</v>
      </c>
      <c r="F27" s="62" t="s">
        <v>46</v>
      </c>
      <c r="G27" s="63" t="s">
        <v>46</v>
      </c>
      <c r="H27" s="64"/>
      <c r="I27" s="64" t="s">
        <v>47</v>
      </c>
      <c r="J27" s="65">
        <v>10</v>
      </c>
      <c r="K27" s="66">
        <f>669</f>
        <v>669</v>
      </c>
      <c r="L27" s="67" t="s">
        <v>814</v>
      </c>
      <c r="M27" s="66">
        <f>721</f>
        <v>721</v>
      </c>
      <c r="N27" s="67" t="s">
        <v>95</v>
      </c>
      <c r="O27" s="66">
        <f>669</f>
        <v>669</v>
      </c>
      <c r="P27" s="67" t="s">
        <v>814</v>
      </c>
      <c r="Q27" s="66">
        <f>709</f>
        <v>709</v>
      </c>
      <c r="R27" s="67" t="s">
        <v>51</v>
      </c>
      <c r="S27" s="68">
        <f>703.65</f>
        <v>703.65</v>
      </c>
      <c r="T27" s="65">
        <f>139480</f>
        <v>139480</v>
      </c>
      <c r="U27" s="65" t="str">
        <f>"－"</f>
        <v>－</v>
      </c>
      <c r="V27" s="65">
        <f>99080870</f>
        <v>99080870</v>
      </c>
      <c r="W27" s="65" t="str">
        <f>"－"</f>
        <v>－</v>
      </c>
      <c r="X27" s="69">
        <f>20</f>
        <v>20</v>
      </c>
    </row>
    <row r="28" spans="1:24">
      <c r="A28" s="60" t="s">
        <v>864</v>
      </c>
      <c r="B28" s="60" t="s">
        <v>123</v>
      </c>
      <c r="C28" s="60" t="s">
        <v>124</v>
      </c>
      <c r="D28" s="60" t="s">
        <v>125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1685</f>
        <v>1685</v>
      </c>
      <c r="L28" s="67" t="s">
        <v>814</v>
      </c>
      <c r="M28" s="66">
        <f>1794</f>
        <v>1794</v>
      </c>
      <c r="N28" s="67" t="s">
        <v>51</v>
      </c>
      <c r="O28" s="66">
        <f>1684</f>
        <v>1684</v>
      </c>
      <c r="P28" s="67" t="s">
        <v>814</v>
      </c>
      <c r="Q28" s="66">
        <f>1779</f>
        <v>1779</v>
      </c>
      <c r="R28" s="67" t="s">
        <v>51</v>
      </c>
      <c r="S28" s="68">
        <f>1725.4</f>
        <v>1725.4</v>
      </c>
      <c r="T28" s="65">
        <f>2963500</f>
        <v>2963500</v>
      </c>
      <c r="U28" s="65">
        <f>261800</f>
        <v>261800</v>
      </c>
      <c r="V28" s="65">
        <f>5167316357</f>
        <v>5167316357</v>
      </c>
      <c r="W28" s="65">
        <f>446724657</f>
        <v>446724657</v>
      </c>
      <c r="X28" s="69">
        <f>20</f>
        <v>20</v>
      </c>
    </row>
    <row r="29" spans="1:24">
      <c r="A29" s="60" t="s">
        <v>864</v>
      </c>
      <c r="B29" s="60" t="s">
        <v>126</v>
      </c>
      <c r="C29" s="60" t="s">
        <v>127</v>
      </c>
      <c r="D29" s="60" t="s">
        <v>128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22630</f>
        <v>22630</v>
      </c>
      <c r="L29" s="67" t="s">
        <v>814</v>
      </c>
      <c r="M29" s="66">
        <f>24100</f>
        <v>24100</v>
      </c>
      <c r="N29" s="67" t="s">
        <v>816</v>
      </c>
      <c r="O29" s="66">
        <f>22560</f>
        <v>22560</v>
      </c>
      <c r="P29" s="67" t="s">
        <v>814</v>
      </c>
      <c r="Q29" s="66">
        <f>23840</f>
        <v>23840</v>
      </c>
      <c r="R29" s="67" t="s">
        <v>51</v>
      </c>
      <c r="S29" s="68">
        <f>23554.5</f>
        <v>23554.5</v>
      </c>
      <c r="T29" s="65">
        <f>548409</f>
        <v>548409</v>
      </c>
      <c r="U29" s="65">
        <f>13500</f>
        <v>13500</v>
      </c>
      <c r="V29" s="65">
        <f>12932135360</f>
        <v>12932135360</v>
      </c>
      <c r="W29" s="65">
        <f>322987500</f>
        <v>322987500</v>
      </c>
      <c r="X29" s="69">
        <f>20</f>
        <v>20</v>
      </c>
    </row>
    <row r="30" spans="1:24">
      <c r="A30" s="60" t="s">
        <v>864</v>
      </c>
      <c r="B30" s="60" t="s">
        <v>129</v>
      </c>
      <c r="C30" s="60" t="s">
        <v>130</v>
      </c>
      <c r="D30" s="60" t="s">
        <v>131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1557</f>
        <v>1557</v>
      </c>
      <c r="L30" s="67" t="s">
        <v>814</v>
      </c>
      <c r="M30" s="66">
        <f>1686</f>
        <v>1686</v>
      </c>
      <c r="N30" s="67" t="s">
        <v>95</v>
      </c>
      <c r="O30" s="66">
        <f>1553</f>
        <v>1553</v>
      </c>
      <c r="P30" s="67" t="s">
        <v>814</v>
      </c>
      <c r="Q30" s="66">
        <f>1664</f>
        <v>1664</v>
      </c>
      <c r="R30" s="67" t="s">
        <v>51</v>
      </c>
      <c r="S30" s="68">
        <f>1642.7</f>
        <v>1642.7</v>
      </c>
      <c r="T30" s="65">
        <f>2685580</f>
        <v>2685580</v>
      </c>
      <c r="U30" s="65">
        <f>20</f>
        <v>20</v>
      </c>
      <c r="V30" s="65">
        <f>4411295210</f>
        <v>4411295210</v>
      </c>
      <c r="W30" s="65">
        <f>32910</f>
        <v>32910</v>
      </c>
      <c r="X30" s="69">
        <f>20</f>
        <v>20</v>
      </c>
    </row>
    <row r="31" spans="1:24">
      <c r="A31" s="60" t="s">
        <v>864</v>
      </c>
      <c r="B31" s="60" t="s">
        <v>132</v>
      </c>
      <c r="C31" s="60" t="s">
        <v>133</v>
      </c>
      <c r="D31" s="60" t="s">
        <v>134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12610</f>
        <v>12610</v>
      </c>
      <c r="L31" s="67" t="s">
        <v>814</v>
      </c>
      <c r="M31" s="66">
        <f>12880</f>
        <v>12880</v>
      </c>
      <c r="N31" s="67" t="s">
        <v>822</v>
      </c>
      <c r="O31" s="66">
        <f>12610</f>
        <v>12610</v>
      </c>
      <c r="P31" s="67" t="s">
        <v>814</v>
      </c>
      <c r="Q31" s="66">
        <f>12870</f>
        <v>12870</v>
      </c>
      <c r="R31" s="67" t="s">
        <v>51</v>
      </c>
      <c r="S31" s="68">
        <f>12764.5</f>
        <v>12764.5</v>
      </c>
      <c r="T31" s="65">
        <f>622</f>
        <v>622</v>
      </c>
      <c r="U31" s="65" t="str">
        <f>"－"</f>
        <v>－</v>
      </c>
      <c r="V31" s="65">
        <f>7920310</f>
        <v>7920310</v>
      </c>
      <c r="W31" s="65" t="str">
        <f>"－"</f>
        <v>－</v>
      </c>
      <c r="X31" s="69">
        <f>20</f>
        <v>20</v>
      </c>
    </row>
    <row r="32" spans="1:24">
      <c r="A32" s="60" t="s">
        <v>864</v>
      </c>
      <c r="B32" s="60" t="s">
        <v>135</v>
      </c>
      <c r="C32" s="60" t="s">
        <v>136</v>
      </c>
      <c r="D32" s="60" t="s">
        <v>137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2144</f>
        <v>2144</v>
      </c>
      <c r="L32" s="67" t="s">
        <v>814</v>
      </c>
      <c r="M32" s="66">
        <f>2158</f>
        <v>2158</v>
      </c>
      <c r="N32" s="67" t="s">
        <v>814</v>
      </c>
      <c r="O32" s="66">
        <f>1814</f>
        <v>1814</v>
      </c>
      <c r="P32" s="67" t="s">
        <v>95</v>
      </c>
      <c r="Q32" s="66">
        <f>1868</f>
        <v>1868</v>
      </c>
      <c r="R32" s="67" t="s">
        <v>51</v>
      </c>
      <c r="S32" s="68">
        <f>1919.25</f>
        <v>1919.25</v>
      </c>
      <c r="T32" s="65">
        <f>7524140</f>
        <v>7524140</v>
      </c>
      <c r="U32" s="65">
        <f>154390</f>
        <v>154390</v>
      </c>
      <c r="V32" s="65">
        <f>14463156030</f>
        <v>14463156030</v>
      </c>
      <c r="W32" s="65">
        <f>319444280</f>
        <v>319444280</v>
      </c>
      <c r="X32" s="69">
        <f>20</f>
        <v>20</v>
      </c>
    </row>
    <row r="33" spans="1:24">
      <c r="A33" s="60" t="s">
        <v>864</v>
      </c>
      <c r="B33" s="60" t="s">
        <v>138</v>
      </c>
      <c r="C33" s="60" t="s">
        <v>139</v>
      </c>
      <c r="D33" s="60" t="s">
        <v>140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814</f>
        <v>814</v>
      </c>
      <c r="L33" s="67" t="s">
        <v>814</v>
      </c>
      <c r="M33" s="66">
        <f>819</f>
        <v>819</v>
      </c>
      <c r="N33" s="67" t="s">
        <v>814</v>
      </c>
      <c r="O33" s="66">
        <f>711</f>
        <v>711</v>
      </c>
      <c r="P33" s="67" t="s">
        <v>816</v>
      </c>
      <c r="Q33" s="66">
        <f>727</f>
        <v>727</v>
      </c>
      <c r="R33" s="67" t="s">
        <v>51</v>
      </c>
      <c r="S33" s="68">
        <f>746.45</f>
        <v>746.45</v>
      </c>
      <c r="T33" s="65">
        <f>1060289480</f>
        <v>1060289480</v>
      </c>
      <c r="U33" s="65">
        <f>6052599</f>
        <v>6052599</v>
      </c>
      <c r="V33" s="65">
        <f>792814778480</f>
        <v>792814778480</v>
      </c>
      <c r="W33" s="65">
        <f>4521686861</f>
        <v>4521686861</v>
      </c>
      <c r="X33" s="69">
        <f>20</f>
        <v>20</v>
      </c>
    </row>
    <row r="34" spans="1:24">
      <c r="A34" s="60" t="s">
        <v>864</v>
      </c>
      <c r="B34" s="60" t="s">
        <v>141</v>
      </c>
      <c r="C34" s="60" t="s">
        <v>142</v>
      </c>
      <c r="D34" s="60" t="s">
        <v>143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17220</f>
        <v>17220</v>
      </c>
      <c r="L34" s="67" t="s">
        <v>814</v>
      </c>
      <c r="M34" s="66">
        <f>19540</f>
        <v>19540</v>
      </c>
      <c r="N34" s="67" t="s">
        <v>816</v>
      </c>
      <c r="O34" s="66">
        <f>17150</f>
        <v>17150</v>
      </c>
      <c r="P34" s="67" t="s">
        <v>814</v>
      </c>
      <c r="Q34" s="66">
        <f>19110</f>
        <v>19110</v>
      </c>
      <c r="R34" s="67" t="s">
        <v>51</v>
      </c>
      <c r="S34" s="68">
        <f>18687.5</f>
        <v>18687.5</v>
      </c>
      <c r="T34" s="65">
        <f>461319</f>
        <v>461319</v>
      </c>
      <c r="U34" s="65">
        <f>57</f>
        <v>57</v>
      </c>
      <c r="V34" s="65">
        <f>8609197400</f>
        <v>8609197400</v>
      </c>
      <c r="W34" s="65">
        <f>999210</f>
        <v>999210</v>
      </c>
      <c r="X34" s="69">
        <f>20</f>
        <v>20</v>
      </c>
    </row>
    <row r="35" spans="1:24">
      <c r="A35" s="60" t="s">
        <v>864</v>
      </c>
      <c r="B35" s="60" t="s">
        <v>144</v>
      </c>
      <c r="C35" s="60" t="s">
        <v>145</v>
      </c>
      <c r="D35" s="60" t="s">
        <v>146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1975</f>
        <v>1975</v>
      </c>
      <c r="L35" s="67" t="s">
        <v>814</v>
      </c>
      <c r="M35" s="66">
        <f>1989</f>
        <v>1989</v>
      </c>
      <c r="N35" s="67" t="s">
        <v>814</v>
      </c>
      <c r="O35" s="66">
        <f>1730</f>
        <v>1730</v>
      </c>
      <c r="P35" s="67" t="s">
        <v>816</v>
      </c>
      <c r="Q35" s="66">
        <f>1766</f>
        <v>1766</v>
      </c>
      <c r="R35" s="67" t="s">
        <v>51</v>
      </c>
      <c r="S35" s="68">
        <f>1814.65</f>
        <v>1814.65</v>
      </c>
      <c r="T35" s="65">
        <f>75628520</f>
        <v>75628520</v>
      </c>
      <c r="U35" s="65">
        <f>14220</f>
        <v>14220</v>
      </c>
      <c r="V35" s="65">
        <f>137317549300</f>
        <v>137317549300</v>
      </c>
      <c r="W35" s="65">
        <f>26251440</f>
        <v>26251440</v>
      </c>
      <c r="X35" s="69">
        <f>20</f>
        <v>20</v>
      </c>
    </row>
    <row r="36" spans="1:24">
      <c r="A36" s="60" t="s">
        <v>864</v>
      </c>
      <c r="B36" s="60" t="s">
        <v>147</v>
      </c>
      <c r="C36" s="60" t="s">
        <v>148</v>
      </c>
      <c r="D36" s="60" t="s">
        <v>149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14020</f>
        <v>14020</v>
      </c>
      <c r="L36" s="67" t="s">
        <v>814</v>
      </c>
      <c r="M36" s="66">
        <f>14970</f>
        <v>14970</v>
      </c>
      <c r="N36" s="67" t="s">
        <v>95</v>
      </c>
      <c r="O36" s="66">
        <f>14020</f>
        <v>14020</v>
      </c>
      <c r="P36" s="67" t="s">
        <v>814</v>
      </c>
      <c r="Q36" s="66">
        <f>14950</f>
        <v>14950</v>
      </c>
      <c r="R36" s="67" t="s">
        <v>51</v>
      </c>
      <c r="S36" s="68">
        <f>14629.5</f>
        <v>14629.5</v>
      </c>
      <c r="T36" s="65">
        <f>21283</f>
        <v>21283</v>
      </c>
      <c r="U36" s="65">
        <f>19392</f>
        <v>19392</v>
      </c>
      <c r="V36" s="65">
        <f>300050638</f>
        <v>300050638</v>
      </c>
      <c r="W36" s="65">
        <f>272632128</f>
        <v>272632128</v>
      </c>
      <c r="X36" s="69">
        <f>20</f>
        <v>20</v>
      </c>
    </row>
    <row r="37" spans="1:24">
      <c r="A37" s="60" t="s">
        <v>864</v>
      </c>
      <c r="B37" s="60" t="s">
        <v>151</v>
      </c>
      <c r="C37" s="60" t="s">
        <v>152</v>
      </c>
      <c r="D37" s="60" t="s">
        <v>153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14140</f>
        <v>14140</v>
      </c>
      <c r="L37" s="67" t="s">
        <v>814</v>
      </c>
      <c r="M37" s="66">
        <f>16050</f>
        <v>16050</v>
      </c>
      <c r="N37" s="67" t="s">
        <v>816</v>
      </c>
      <c r="O37" s="66">
        <f>14080</f>
        <v>14080</v>
      </c>
      <c r="P37" s="67" t="s">
        <v>814</v>
      </c>
      <c r="Q37" s="66">
        <f>15690</f>
        <v>15690</v>
      </c>
      <c r="R37" s="67" t="s">
        <v>51</v>
      </c>
      <c r="S37" s="68">
        <f>15345.5</f>
        <v>15345.5</v>
      </c>
      <c r="T37" s="65">
        <f>1200187</f>
        <v>1200187</v>
      </c>
      <c r="U37" s="65" t="str">
        <f>"－"</f>
        <v>－</v>
      </c>
      <c r="V37" s="65">
        <f>18356190420</f>
        <v>18356190420</v>
      </c>
      <c r="W37" s="65" t="str">
        <f>"－"</f>
        <v>－</v>
      </c>
      <c r="X37" s="69">
        <f>20</f>
        <v>20</v>
      </c>
    </row>
    <row r="38" spans="1:24">
      <c r="A38" s="60" t="s">
        <v>864</v>
      </c>
      <c r="B38" s="60" t="s">
        <v>154</v>
      </c>
      <c r="C38" s="60" t="s">
        <v>155</v>
      </c>
      <c r="D38" s="60" t="s">
        <v>156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2120</f>
        <v>2120</v>
      </c>
      <c r="L38" s="67" t="s">
        <v>814</v>
      </c>
      <c r="M38" s="66">
        <f>2133</f>
        <v>2133</v>
      </c>
      <c r="N38" s="67" t="s">
        <v>814</v>
      </c>
      <c r="O38" s="66">
        <f>1853</f>
        <v>1853</v>
      </c>
      <c r="P38" s="67" t="s">
        <v>816</v>
      </c>
      <c r="Q38" s="66">
        <f>1895</f>
        <v>1895</v>
      </c>
      <c r="R38" s="67" t="s">
        <v>51</v>
      </c>
      <c r="S38" s="68">
        <f>1945.55</f>
        <v>1945.55</v>
      </c>
      <c r="T38" s="65">
        <f>8769789</f>
        <v>8769789</v>
      </c>
      <c r="U38" s="65">
        <f>421</f>
        <v>421</v>
      </c>
      <c r="V38" s="65">
        <f>17115004161</f>
        <v>17115004161</v>
      </c>
      <c r="W38" s="65">
        <f>819690</f>
        <v>819690</v>
      </c>
      <c r="X38" s="69">
        <f>20</f>
        <v>20</v>
      </c>
    </row>
    <row r="39" spans="1:24">
      <c r="A39" s="60" t="s">
        <v>864</v>
      </c>
      <c r="B39" s="60" t="s">
        <v>157</v>
      </c>
      <c r="C39" s="60" t="s">
        <v>158</v>
      </c>
      <c r="D39" s="60" t="s">
        <v>159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11070</f>
        <v>11070</v>
      </c>
      <c r="L39" s="67" t="s">
        <v>814</v>
      </c>
      <c r="M39" s="66">
        <f>12970</f>
        <v>12970</v>
      </c>
      <c r="N39" s="67" t="s">
        <v>95</v>
      </c>
      <c r="O39" s="66">
        <f>11010</f>
        <v>11010</v>
      </c>
      <c r="P39" s="67" t="s">
        <v>814</v>
      </c>
      <c r="Q39" s="66">
        <f>12600</f>
        <v>12600</v>
      </c>
      <c r="R39" s="67" t="s">
        <v>51</v>
      </c>
      <c r="S39" s="68">
        <f>12316</f>
        <v>12316</v>
      </c>
      <c r="T39" s="65">
        <f>221974</f>
        <v>221974</v>
      </c>
      <c r="U39" s="65" t="str">
        <f>"－"</f>
        <v>－</v>
      </c>
      <c r="V39" s="65">
        <f>2745048290</f>
        <v>2745048290</v>
      </c>
      <c r="W39" s="65" t="str">
        <f>"－"</f>
        <v>－</v>
      </c>
      <c r="X39" s="69">
        <f>20</f>
        <v>20</v>
      </c>
    </row>
    <row r="40" spans="1:24">
      <c r="A40" s="60" t="s">
        <v>864</v>
      </c>
      <c r="B40" s="60" t="s">
        <v>160</v>
      </c>
      <c r="C40" s="60" t="s">
        <v>161</v>
      </c>
      <c r="D40" s="60" t="s">
        <v>162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3120</f>
        <v>3120</v>
      </c>
      <c r="L40" s="67" t="s">
        <v>814</v>
      </c>
      <c r="M40" s="66">
        <f>3140</f>
        <v>3140</v>
      </c>
      <c r="N40" s="67" t="s">
        <v>814</v>
      </c>
      <c r="O40" s="66">
        <f>2637</f>
        <v>2637</v>
      </c>
      <c r="P40" s="67" t="s">
        <v>95</v>
      </c>
      <c r="Q40" s="66">
        <f>2707</f>
        <v>2707</v>
      </c>
      <c r="R40" s="67" t="s">
        <v>51</v>
      </c>
      <c r="S40" s="68">
        <f>2790.35</f>
        <v>2790.35</v>
      </c>
      <c r="T40" s="65">
        <f>2072339</f>
        <v>2072339</v>
      </c>
      <c r="U40" s="65">
        <f>105411</f>
        <v>105411</v>
      </c>
      <c r="V40" s="65">
        <f>5769363963</f>
        <v>5769363963</v>
      </c>
      <c r="W40" s="65">
        <f>309639823</f>
        <v>309639823</v>
      </c>
      <c r="X40" s="69">
        <f>20</f>
        <v>20</v>
      </c>
    </row>
    <row r="41" spans="1:24">
      <c r="A41" s="60" t="s">
        <v>864</v>
      </c>
      <c r="B41" s="60" t="s">
        <v>163</v>
      </c>
      <c r="C41" s="60" t="s">
        <v>164</v>
      </c>
      <c r="D41" s="60" t="s">
        <v>165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22020</f>
        <v>22020</v>
      </c>
      <c r="L41" s="67" t="s">
        <v>814</v>
      </c>
      <c r="M41" s="66">
        <f>23410</f>
        <v>23410</v>
      </c>
      <c r="N41" s="67" t="s">
        <v>816</v>
      </c>
      <c r="O41" s="66">
        <f>21970</f>
        <v>21970</v>
      </c>
      <c r="P41" s="67" t="s">
        <v>814</v>
      </c>
      <c r="Q41" s="66">
        <f>23150</f>
        <v>23150</v>
      </c>
      <c r="R41" s="67" t="s">
        <v>51</v>
      </c>
      <c r="S41" s="68">
        <f>22904.5</f>
        <v>22904.5</v>
      </c>
      <c r="T41" s="65">
        <f>65476</f>
        <v>65476</v>
      </c>
      <c r="U41" s="65" t="str">
        <f>"－"</f>
        <v>－</v>
      </c>
      <c r="V41" s="65">
        <f>1500959490</f>
        <v>1500959490</v>
      </c>
      <c r="W41" s="65" t="str">
        <f>"－"</f>
        <v>－</v>
      </c>
      <c r="X41" s="69">
        <f>20</f>
        <v>20</v>
      </c>
    </row>
    <row r="42" spans="1:24">
      <c r="A42" s="60" t="s">
        <v>864</v>
      </c>
      <c r="B42" s="60" t="s">
        <v>166</v>
      </c>
      <c r="C42" s="60" t="s">
        <v>167</v>
      </c>
      <c r="D42" s="60" t="s">
        <v>168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4015</f>
        <v>4015</v>
      </c>
      <c r="L42" s="67" t="s">
        <v>814</v>
      </c>
      <c r="M42" s="66">
        <f>4310</f>
        <v>4310</v>
      </c>
      <c r="N42" s="67" t="s">
        <v>51</v>
      </c>
      <c r="O42" s="66">
        <f>4000</f>
        <v>4000</v>
      </c>
      <c r="P42" s="67" t="s">
        <v>814</v>
      </c>
      <c r="Q42" s="66">
        <f>4300</f>
        <v>4300</v>
      </c>
      <c r="R42" s="67" t="s">
        <v>51</v>
      </c>
      <c r="S42" s="68">
        <f>4150.75</f>
        <v>4150.75</v>
      </c>
      <c r="T42" s="65">
        <f>3368</f>
        <v>3368</v>
      </c>
      <c r="U42" s="65" t="str">
        <f>"－"</f>
        <v>－</v>
      </c>
      <c r="V42" s="65">
        <f>14114885</f>
        <v>14114885</v>
      </c>
      <c r="W42" s="65" t="str">
        <f>"－"</f>
        <v>－</v>
      </c>
      <c r="X42" s="69">
        <f>20</f>
        <v>20</v>
      </c>
    </row>
    <row r="43" spans="1:24">
      <c r="A43" s="60" t="s">
        <v>864</v>
      </c>
      <c r="B43" s="60" t="s">
        <v>169</v>
      </c>
      <c r="C43" s="60" t="s">
        <v>170</v>
      </c>
      <c r="D43" s="60" t="s">
        <v>171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7250</f>
        <v>7250</v>
      </c>
      <c r="L43" s="67" t="s">
        <v>814</v>
      </c>
      <c r="M43" s="66">
        <f>8060</f>
        <v>8060</v>
      </c>
      <c r="N43" s="67" t="s">
        <v>51</v>
      </c>
      <c r="O43" s="66">
        <f>7240</f>
        <v>7240</v>
      </c>
      <c r="P43" s="67" t="s">
        <v>814</v>
      </c>
      <c r="Q43" s="66">
        <f>7850</f>
        <v>7850</v>
      </c>
      <c r="R43" s="67" t="s">
        <v>51</v>
      </c>
      <c r="S43" s="68">
        <f>7547.5</f>
        <v>7547.5</v>
      </c>
      <c r="T43" s="65">
        <f>3094</f>
        <v>3094</v>
      </c>
      <c r="U43" s="65" t="str">
        <f>"－"</f>
        <v>－</v>
      </c>
      <c r="V43" s="65">
        <f>23513920</f>
        <v>23513920</v>
      </c>
      <c r="W43" s="65" t="str">
        <f>"－"</f>
        <v>－</v>
      </c>
      <c r="X43" s="69">
        <f>20</f>
        <v>20</v>
      </c>
    </row>
    <row r="44" spans="1:24">
      <c r="A44" s="60" t="s">
        <v>864</v>
      </c>
      <c r="B44" s="60" t="s">
        <v>172</v>
      </c>
      <c r="C44" s="60" t="s">
        <v>173</v>
      </c>
      <c r="D44" s="60" t="s">
        <v>174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14390</f>
        <v>14390</v>
      </c>
      <c r="L44" s="67" t="s">
        <v>818</v>
      </c>
      <c r="M44" s="66">
        <f>14650</f>
        <v>14650</v>
      </c>
      <c r="N44" s="67" t="s">
        <v>95</v>
      </c>
      <c r="O44" s="66">
        <f>13910</f>
        <v>13910</v>
      </c>
      <c r="P44" s="67" t="s">
        <v>48</v>
      </c>
      <c r="Q44" s="66">
        <f>14650</f>
        <v>14650</v>
      </c>
      <c r="R44" s="67" t="s">
        <v>51</v>
      </c>
      <c r="S44" s="68">
        <f>14469.38</f>
        <v>14469.38</v>
      </c>
      <c r="T44" s="65">
        <f>3298</f>
        <v>3298</v>
      </c>
      <c r="U44" s="65">
        <f>3000</f>
        <v>3000</v>
      </c>
      <c r="V44" s="65">
        <f>49352540</f>
        <v>49352540</v>
      </c>
      <c r="W44" s="65">
        <f>45033000</f>
        <v>45033000</v>
      </c>
      <c r="X44" s="69">
        <f>16</f>
        <v>16</v>
      </c>
    </row>
    <row r="45" spans="1:24">
      <c r="A45" s="60" t="s">
        <v>864</v>
      </c>
      <c r="B45" s="60" t="s">
        <v>176</v>
      </c>
      <c r="C45" s="60" t="s">
        <v>177</v>
      </c>
      <c r="D45" s="60" t="s">
        <v>178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11520</f>
        <v>11520</v>
      </c>
      <c r="L45" s="67" t="s">
        <v>48</v>
      </c>
      <c r="M45" s="66">
        <f>12540</f>
        <v>12540</v>
      </c>
      <c r="N45" s="67" t="s">
        <v>51</v>
      </c>
      <c r="O45" s="66">
        <f>11520</f>
        <v>11520</v>
      </c>
      <c r="P45" s="67" t="s">
        <v>48</v>
      </c>
      <c r="Q45" s="66">
        <f>11860</f>
        <v>11860</v>
      </c>
      <c r="R45" s="67" t="s">
        <v>51</v>
      </c>
      <c r="S45" s="68">
        <f>11790</f>
        <v>11790</v>
      </c>
      <c r="T45" s="65">
        <f>407</f>
        <v>407</v>
      </c>
      <c r="U45" s="65" t="str">
        <f t="shared" ref="U45:U54" si="0">"－"</f>
        <v>－</v>
      </c>
      <c r="V45" s="65">
        <f>4847890</f>
        <v>4847890</v>
      </c>
      <c r="W45" s="65" t="str">
        <f t="shared" ref="W45:W54" si="1">"－"</f>
        <v>－</v>
      </c>
      <c r="X45" s="69">
        <f>14</f>
        <v>14</v>
      </c>
    </row>
    <row r="46" spans="1:24">
      <c r="A46" s="60" t="s">
        <v>864</v>
      </c>
      <c r="B46" s="60" t="s">
        <v>179</v>
      </c>
      <c r="C46" s="60" t="s">
        <v>180</v>
      </c>
      <c r="D46" s="60" t="s">
        <v>181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7870</f>
        <v>7870</v>
      </c>
      <c r="L46" s="67" t="s">
        <v>814</v>
      </c>
      <c r="M46" s="66">
        <f>8250</f>
        <v>8250</v>
      </c>
      <c r="N46" s="67" t="s">
        <v>820</v>
      </c>
      <c r="O46" s="66">
        <f>7720</f>
        <v>7720</v>
      </c>
      <c r="P46" s="67" t="s">
        <v>814</v>
      </c>
      <c r="Q46" s="66">
        <f>7930</f>
        <v>7930</v>
      </c>
      <c r="R46" s="67" t="s">
        <v>51</v>
      </c>
      <c r="S46" s="68">
        <f>7913.5</f>
        <v>7913.5</v>
      </c>
      <c r="T46" s="65">
        <f>1214</f>
        <v>1214</v>
      </c>
      <c r="U46" s="65" t="str">
        <f t="shared" si="0"/>
        <v>－</v>
      </c>
      <c r="V46" s="65">
        <f>9636370</f>
        <v>9636370</v>
      </c>
      <c r="W46" s="65" t="str">
        <f t="shared" si="1"/>
        <v>－</v>
      </c>
      <c r="X46" s="69">
        <f>20</f>
        <v>20</v>
      </c>
    </row>
    <row r="47" spans="1:24">
      <c r="A47" s="60" t="s">
        <v>864</v>
      </c>
      <c r="B47" s="60" t="s">
        <v>182</v>
      </c>
      <c r="C47" s="60" t="s">
        <v>183</v>
      </c>
      <c r="D47" s="60" t="s">
        <v>184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4285</f>
        <v>4285</v>
      </c>
      <c r="L47" s="67" t="s">
        <v>814</v>
      </c>
      <c r="M47" s="66">
        <f>4425</f>
        <v>4425</v>
      </c>
      <c r="N47" s="67" t="s">
        <v>817</v>
      </c>
      <c r="O47" s="66">
        <f>4215</f>
        <v>4215</v>
      </c>
      <c r="P47" s="67" t="s">
        <v>816</v>
      </c>
      <c r="Q47" s="66">
        <f>4295</f>
        <v>4295</v>
      </c>
      <c r="R47" s="67" t="s">
        <v>51</v>
      </c>
      <c r="S47" s="68">
        <f>4313.5</f>
        <v>4313.5</v>
      </c>
      <c r="T47" s="65">
        <f>1416</f>
        <v>1416</v>
      </c>
      <c r="U47" s="65" t="str">
        <f t="shared" si="0"/>
        <v>－</v>
      </c>
      <c r="V47" s="65">
        <f>6067090</f>
        <v>6067090</v>
      </c>
      <c r="W47" s="65" t="str">
        <f t="shared" si="1"/>
        <v>－</v>
      </c>
      <c r="X47" s="69">
        <f>20</f>
        <v>20</v>
      </c>
    </row>
    <row r="48" spans="1:24">
      <c r="A48" s="60" t="s">
        <v>864</v>
      </c>
      <c r="B48" s="60" t="s">
        <v>185</v>
      </c>
      <c r="C48" s="60" t="s">
        <v>186</v>
      </c>
      <c r="D48" s="60" t="s">
        <v>187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2330</f>
        <v>2330</v>
      </c>
      <c r="L48" s="67" t="s">
        <v>814</v>
      </c>
      <c r="M48" s="66">
        <f>2367</f>
        <v>2367</v>
      </c>
      <c r="N48" s="67" t="s">
        <v>51</v>
      </c>
      <c r="O48" s="66">
        <f>2232</f>
        <v>2232</v>
      </c>
      <c r="P48" s="67" t="s">
        <v>814</v>
      </c>
      <c r="Q48" s="66">
        <f>2326</f>
        <v>2326</v>
      </c>
      <c r="R48" s="67" t="s">
        <v>51</v>
      </c>
      <c r="S48" s="68">
        <f>2314.25</f>
        <v>2314.25</v>
      </c>
      <c r="T48" s="65">
        <f>2118</f>
        <v>2118</v>
      </c>
      <c r="U48" s="65" t="str">
        <f t="shared" si="0"/>
        <v>－</v>
      </c>
      <c r="V48" s="65">
        <f>4923148</f>
        <v>4923148</v>
      </c>
      <c r="W48" s="65" t="str">
        <f t="shared" si="1"/>
        <v>－</v>
      </c>
      <c r="X48" s="69">
        <f>20</f>
        <v>20</v>
      </c>
    </row>
    <row r="49" spans="1:24">
      <c r="A49" s="60" t="s">
        <v>864</v>
      </c>
      <c r="B49" s="60" t="s">
        <v>188</v>
      </c>
      <c r="C49" s="60" t="s">
        <v>189</v>
      </c>
      <c r="D49" s="60" t="s">
        <v>190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2169</f>
        <v>2169</v>
      </c>
      <c r="L49" s="67" t="s">
        <v>814</v>
      </c>
      <c r="M49" s="66">
        <f>2195</f>
        <v>2195</v>
      </c>
      <c r="N49" s="67" t="s">
        <v>819</v>
      </c>
      <c r="O49" s="66">
        <f>2090</f>
        <v>2090</v>
      </c>
      <c r="P49" s="67" t="s">
        <v>814</v>
      </c>
      <c r="Q49" s="66">
        <f>2179</f>
        <v>2179</v>
      </c>
      <c r="R49" s="67" t="s">
        <v>51</v>
      </c>
      <c r="S49" s="68">
        <f>2161.1</f>
        <v>2161.1</v>
      </c>
      <c r="T49" s="65">
        <f>1247</f>
        <v>1247</v>
      </c>
      <c r="U49" s="65" t="str">
        <f t="shared" si="0"/>
        <v>－</v>
      </c>
      <c r="V49" s="65">
        <f>2693876</f>
        <v>2693876</v>
      </c>
      <c r="W49" s="65" t="str">
        <f t="shared" si="1"/>
        <v>－</v>
      </c>
      <c r="X49" s="69">
        <f>20</f>
        <v>20</v>
      </c>
    </row>
    <row r="50" spans="1:24">
      <c r="A50" s="60" t="s">
        <v>864</v>
      </c>
      <c r="B50" s="60" t="s">
        <v>191</v>
      </c>
      <c r="C50" s="60" t="s">
        <v>192</v>
      </c>
      <c r="D50" s="60" t="s">
        <v>193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33250</f>
        <v>33250</v>
      </c>
      <c r="L50" s="67" t="s">
        <v>814</v>
      </c>
      <c r="M50" s="66">
        <f>36400</f>
        <v>36400</v>
      </c>
      <c r="N50" s="67" t="s">
        <v>51</v>
      </c>
      <c r="O50" s="66">
        <f>33200</f>
        <v>33200</v>
      </c>
      <c r="P50" s="67" t="s">
        <v>814</v>
      </c>
      <c r="Q50" s="66">
        <f>36000</f>
        <v>36000</v>
      </c>
      <c r="R50" s="67" t="s">
        <v>51</v>
      </c>
      <c r="S50" s="68">
        <f>34826.32</f>
        <v>34826.32</v>
      </c>
      <c r="T50" s="65">
        <f>500</f>
        <v>500</v>
      </c>
      <c r="U50" s="65" t="str">
        <f t="shared" si="0"/>
        <v>－</v>
      </c>
      <c r="V50" s="65">
        <f>17458550</f>
        <v>17458550</v>
      </c>
      <c r="W50" s="65" t="str">
        <f t="shared" si="1"/>
        <v>－</v>
      </c>
      <c r="X50" s="69">
        <f>19</f>
        <v>19</v>
      </c>
    </row>
    <row r="51" spans="1:24">
      <c r="A51" s="60" t="s">
        <v>864</v>
      </c>
      <c r="B51" s="60" t="s">
        <v>194</v>
      </c>
      <c r="C51" s="60" t="s">
        <v>195</v>
      </c>
      <c r="D51" s="60" t="s">
        <v>196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24590</f>
        <v>24590</v>
      </c>
      <c r="L51" s="67" t="s">
        <v>817</v>
      </c>
      <c r="M51" s="66">
        <f>26260</f>
        <v>26260</v>
      </c>
      <c r="N51" s="67" t="s">
        <v>95</v>
      </c>
      <c r="O51" s="66">
        <f>24590</f>
        <v>24590</v>
      </c>
      <c r="P51" s="67" t="s">
        <v>817</v>
      </c>
      <c r="Q51" s="66">
        <f>26010</f>
        <v>26010</v>
      </c>
      <c r="R51" s="67" t="s">
        <v>51</v>
      </c>
      <c r="S51" s="68">
        <f>25350.83</f>
        <v>25350.83</v>
      </c>
      <c r="T51" s="65">
        <f>160</f>
        <v>160</v>
      </c>
      <c r="U51" s="65" t="str">
        <f t="shared" si="0"/>
        <v>－</v>
      </c>
      <c r="V51" s="65">
        <f>4090010</f>
        <v>4090010</v>
      </c>
      <c r="W51" s="65" t="str">
        <f t="shared" si="1"/>
        <v>－</v>
      </c>
      <c r="X51" s="69">
        <f>12</f>
        <v>12</v>
      </c>
    </row>
    <row r="52" spans="1:24">
      <c r="A52" s="60" t="s">
        <v>864</v>
      </c>
      <c r="B52" s="60" t="s">
        <v>197</v>
      </c>
      <c r="C52" s="60" t="s">
        <v>198</v>
      </c>
      <c r="D52" s="60" t="s">
        <v>199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22230</f>
        <v>22230</v>
      </c>
      <c r="L52" s="67" t="s">
        <v>814</v>
      </c>
      <c r="M52" s="66">
        <f>24020</f>
        <v>24020</v>
      </c>
      <c r="N52" s="67" t="s">
        <v>90</v>
      </c>
      <c r="O52" s="66">
        <f>22230</f>
        <v>22230</v>
      </c>
      <c r="P52" s="67" t="s">
        <v>814</v>
      </c>
      <c r="Q52" s="66">
        <f>23450</f>
        <v>23450</v>
      </c>
      <c r="R52" s="67" t="s">
        <v>51</v>
      </c>
      <c r="S52" s="68">
        <f>22985</f>
        <v>22985</v>
      </c>
      <c r="T52" s="65">
        <f>1856</f>
        <v>1856</v>
      </c>
      <c r="U52" s="65" t="str">
        <f t="shared" si="0"/>
        <v>－</v>
      </c>
      <c r="V52" s="65">
        <f>42632340</f>
        <v>42632340</v>
      </c>
      <c r="W52" s="65" t="str">
        <f t="shared" si="1"/>
        <v>－</v>
      </c>
      <c r="X52" s="69">
        <f>16</f>
        <v>16</v>
      </c>
    </row>
    <row r="53" spans="1:24">
      <c r="A53" s="60" t="s">
        <v>864</v>
      </c>
      <c r="B53" s="60" t="s">
        <v>200</v>
      </c>
      <c r="C53" s="60" t="s">
        <v>201</v>
      </c>
      <c r="D53" s="60" t="s">
        <v>202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1699</f>
        <v>1699</v>
      </c>
      <c r="L53" s="67" t="s">
        <v>814</v>
      </c>
      <c r="M53" s="66">
        <f>1811</f>
        <v>1811</v>
      </c>
      <c r="N53" s="67" t="s">
        <v>51</v>
      </c>
      <c r="O53" s="66">
        <f>1695</f>
        <v>1695</v>
      </c>
      <c r="P53" s="67" t="s">
        <v>814</v>
      </c>
      <c r="Q53" s="66">
        <f>1791</f>
        <v>1791</v>
      </c>
      <c r="R53" s="67" t="s">
        <v>51</v>
      </c>
      <c r="S53" s="68">
        <f>1741.5</f>
        <v>1741.5</v>
      </c>
      <c r="T53" s="65">
        <f>18190</f>
        <v>18190</v>
      </c>
      <c r="U53" s="65" t="str">
        <f t="shared" si="0"/>
        <v>－</v>
      </c>
      <c r="V53" s="65">
        <f>32113500</f>
        <v>32113500</v>
      </c>
      <c r="W53" s="65" t="str">
        <f t="shared" si="1"/>
        <v>－</v>
      </c>
      <c r="X53" s="69">
        <f>20</f>
        <v>20</v>
      </c>
    </row>
    <row r="54" spans="1:24">
      <c r="A54" s="60" t="s">
        <v>864</v>
      </c>
      <c r="B54" s="60" t="s">
        <v>203</v>
      </c>
      <c r="C54" s="60" t="s">
        <v>204</v>
      </c>
      <c r="D54" s="60" t="s">
        <v>205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1225</f>
        <v>1225</v>
      </c>
      <c r="L54" s="67" t="s">
        <v>814</v>
      </c>
      <c r="M54" s="66">
        <f>1362</f>
        <v>1362</v>
      </c>
      <c r="N54" s="67" t="s">
        <v>51</v>
      </c>
      <c r="O54" s="66">
        <f>1225</f>
        <v>1225</v>
      </c>
      <c r="P54" s="67" t="s">
        <v>814</v>
      </c>
      <c r="Q54" s="66">
        <f>1358</f>
        <v>1358</v>
      </c>
      <c r="R54" s="67" t="s">
        <v>51</v>
      </c>
      <c r="S54" s="68">
        <f>1316.35</f>
        <v>1316.35</v>
      </c>
      <c r="T54" s="65">
        <f>17010</f>
        <v>17010</v>
      </c>
      <c r="U54" s="65" t="str">
        <f t="shared" si="0"/>
        <v>－</v>
      </c>
      <c r="V54" s="65">
        <f>22044220</f>
        <v>22044220</v>
      </c>
      <c r="W54" s="65" t="str">
        <f t="shared" si="1"/>
        <v>－</v>
      </c>
      <c r="X54" s="69">
        <f>20</f>
        <v>20</v>
      </c>
    </row>
    <row r="55" spans="1:24">
      <c r="A55" s="60" t="s">
        <v>864</v>
      </c>
      <c r="B55" s="60" t="s">
        <v>206</v>
      </c>
      <c r="C55" s="60" t="s">
        <v>207</v>
      </c>
      <c r="D55" s="60" t="s">
        <v>208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6040</f>
        <v>6040</v>
      </c>
      <c r="L55" s="67" t="s">
        <v>814</v>
      </c>
      <c r="M55" s="66">
        <f>6040</f>
        <v>6040</v>
      </c>
      <c r="N55" s="67" t="s">
        <v>814</v>
      </c>
      <c r="O55" s="66">
        <f>5640</f>
        <v>5640</v>
      </c>
      <c r="P55" s="67" t="s">
        <v>816</v>
      </c>
      <c r="Q55" s="66">
        <f>5710</f>
        <v>5710</v>
      </c>
      <c r="R55" s="67" t="s">
        <v>51</v>
      </c>
      <c r="S55" s="68">
        <f>5777.5</f>
        <v>5777.5</v>
      </c>
      <c r="T55" s="65">
        <f>304916</f>
        <v>304916</v>
      </c>
      <c r="U55" s="65">
        <f>17000</f>
        <v>17000</v>
      </c>
      <c r="V55" s="65">
        <f>1760219600</f>
        <v>1760219600</v>
      </c>
      <c r="W55" s="65">
        <f>99098100</f>
        <v>99098100</v>
      </c>
      <c r="X55" s="69">
        <f>20</f>
        <v>20</v>
      </c>
    </row>
    <row r="56" spans="1:24">
      <c r="A56" s="60" t="s">
        <v>864</v>
      </c>
      <c r="B56" s="60" t="s">
        <v>209</v>
      </c>
      <c r="C56" s="60" t="s">
        <v>210</v>
      </c>
      <c r="D56" s="60" t="s">
        <v>211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7240</f>
        <v>7240</v>
      </c>
      <c r="L56" s="67" t="s">
        <v>814</v>
      </c>
      <c r="M56" s="66">
        <f>7250</f>
        <v>7250</v>
      </c>
      <c r="N56" s="67" t="s">
        <v>814</v>
      </c>
      <c r="O56" s="66">
        <f>6660</f>
        <v>6660</v>
      </c>
      <c r="P56" s="67" t="s">
        <v>95</v>
      </c>
      <c r="Q56" s="66">
        <f>6740</f>
        <v>6740</v>
      </c>
      <c r="R56" s="67" t="s">
        <v>51</v>
      </c>
      <c r="S56" s="68">
        <f>6837</f>
        <v>6837</v>
      </c>
      <c r="T56" s="65">
        <f>218891</f>
        <v>218891</v>
      </c>
      <c r="U56" s="65" t="str">
        <f>"－"</f>
        <v>－</v>
      </c>
      <c r="V56" s="65">
        <f>1494406470</f>
        <v>1494406470</v>
      </c>
      <c r="W56" s="65" t="str">
        <f>"－"</f>
        <v>－</v>
      </c>
      <c r="X56" s="69">
        <f>20</f>
        <v>20</v>
      </c>
    </row>
    <row r="57" spans="1:24">
      <c r="A57" s="60" t="s">
        <v>864</v>
      </c>
      <c r="B57" s="60" t="s">
        <v>212</v>
      </c>
      <c r="C57" s="60" t="s">
        <v>213</v>
      </c>
      <c r="D57" s="60" t="s">
        <v>214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10720</f>
        <v>10720</v>
      </c>
      <c r="L57" s="67" t="s">
        <v>814</v>
      </c>
      <c r="M57" s="66">
        <f>12160</f>
        <v>12160</v>
      </c>
      <c r="N57" s="67" t="s">
        <v>816</v>
      </c>
      <c r="O57" s="66">
        <f>10660</f>
        <v>10660</v>
      </c>
      <c r="P57" s="67" t="s">
        <v>814</v>
      </c>
      <c r="Q57" s="66">
        <f>11890</f>
        <v>11890</v>
      </c>
      <c r="R57" s="67" t="s">
        <v>51</v>
      </c>
      <c r="S57" s="68">
        <f>11629.5</f>
        <v>11629.5</v>
      </c>
      <c r="T57" s="65">
        <f>5320942</f>
        <v>5320942</v>
      </c>
      <c r="U57" s="65">
        <f>1966</f>
        <v>1966</v>
      </c>
      <c r="V57" s="65">
        <f>61761270280</f>
        <v>61761270280</v>
      </c>
      <c r="W57" s="65">
        <f>22243380</f>
        <v>22243380</v>
      </c>
      <c r="X57" s="69">
        <f>20</f>
        <v>20</v>
      </c>
    </row>
    <row r="58" spans="1:24">
      <c r="A58" s="60" t="s">
        <v>864</v>
      </c>
      <c r="B58" s="60" t="s">
        <v>215</v>
      </c>
      <c r="C58" s="60" t="s">
        <v>216</v>
      </c>
      <c r="D58" s="60" t="s">
        <v>217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3230</f>
        <v>3230</v>
      </c>
      <c r="L58" s="67" t="s">
        <v>814</v>
      </c>
      <c r="M58" s="66">
        <f>3255</f>
        <v>3255</v>
      </c>
      <c r="N58" s="67" t="s">
        <v>814</v>
      </c>
      <c r="O58" s="66">
        <f>2826</f>
        <v>2826</v>
      </c>
      <c r="P58" s="67" t="s">
        <v>816</v>
      </c>
      <c r="Q58" s="66">
        <f>2888</f>
        <v>2888</v>
      </c>
      <c r="R58" s="67" t="s">
        <v>51</v>
      </c>
      <c r="S58" s="68">
        <f>2966.05</f>
        <v>2966.05</v>
      </c>
      <c r="T58" s="65">
        <f>27882484</f>
        <v>27882484</v>
      </c>
      <c r="U58" s="65">
        <f>419</f>
        <v>419</v>
      </c>
      <c r="V58" s="65">
        <f>82487507284</f>
        <v>82487507284</v>
      </c>
      <c r="W58" s="65">
        <f>1254362</f>
        <v>1254362</v>
      </c>
      <c r="X58" s="69">
        <f>20</f>
        <v>20</v>
      </c>
    </row>
    <row r="59" spans="1:24">
      <c r="A59" s="60" t="s">
        <v>864</v>
      </c>
      <c r="B59" s="60" t="s">
        <v>218</v>
      </c>
      <c r="C59" s="60" t="s">
        <v>219</v>
      </c>
      <c r="D59" s="60" t="s">
        <v>220</v>
      </c>
      <c r="E59" s="61" t="s">
        <v>46</v>
      </c>
      <c r="F59" s="62" t="s">
        <v>46</v>
      </c>
      <c r="G59" s="63" t="s">
        <v>46</v>
      </c>
      <c r="H59" s="64"/>
      <c r="I59" s="64" t="s">
        <v>47</v>
      </c>
      <c r="J59" s="65">
        <v>1</v>
      </c>
      <c r="K59" s="66">
        <f>19340</f>
        <v>19340</v>
      </c>
      <c r="L59" s="67" t="s">
        <v>48</v>
      </c>
      <c r="M59" s="66">
        <f>21170</f>
        <v>21170</v>
      </c>
      <c r="N59" s="67" t="s">
        <v>822</v>
      </c>
      <c r="O59" s="66">
        <f>19340</f>
        <v>19340</v>
      </c>
      <c r="P59" s="67" t="s">
        <v>48</v>
      </c>
      <c r="Q59" s="66">
        <f>20510</f>
        <v>20510</v>
      </c>
      <c r="R59" s="67" t="s">
        <v>51</v>
      </c>
      <c r="S59" s="68">
        <f>20142.73</f>
        <v>20142.73</v>
      </c>
      <c r="T59" s="65">
        <f>94</f>
        <v>94</v>
      </c>
      <c r="U59" s="65" t="str">
        <f t="shared" ref="U59:U64" si="2">"－"</f>
        <v>－</v>
      </c>
      <c r="V59" s="65">
        <f>1940320</f>
        <v>1940320</v>
      </c>
      <c r="W59" s="65" t="str">
        <f t="shared" ref="W59:W64" si="3">"－"</f>
        <v>－</v>
      </c>
      <c r="X59" s="69">
        <f>11</f>
        <v>11</v>
      </c>
    </row>
    <row r="60" spans="1:24">
      <c r="A60" s="60" t="s">
        <v>864</v>
      </c>
      <c r="B60" s="60" t="s">
        <v>221</v>
      </c>
      <c r="C60" s="60" t="s">
        <v>222</v>
      </c>
      <c r="D60" s="60" t="s">
        <v>223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8850</f>
        <v>8850</v>
      </c>
      <c r="L60" s="67" t="s">
        <v>814</v>
      </c>
      <c r="M60" s="66">
        <f>10300</f>
        <v>10300</v>
      </c>
      <c r="N60" s="67" t="s">
        <v>51</v>
      </c>
      <c r="O60" s="66">
        <f>8690</f>
        <v>8690</v>
      </c>
      <c r="P60" s="67" t="s">
        <v>814</v>
      </c>
      <c r="Q60" s="66">
        <f>10200</f>
        <v>10200</v>
      </c>
      <c r="R60" s="67" t="s">
        <v>51</v>
      </c>
      <c r="S60" s="68">
        <f>9769</f>
        <v>9769</v>
      </c>
      <c r="T60" s="65">
        <f>3581</f>
        <v>3581</v>
      </c>
      <c r="U60" s="65" t="str">
        <f t="shared" si="2"/>
        <v>－</v>
      </c>
      <c r="V60" s="65">
        <f>34726330</f>
        <v>34726330</v>
      </c>
      <c r="W60" s="65" t="str">
        <f t="shared" si="3"/>
        <v>－</v>
      </c>
      <c r="X60" s="69">
        <f>20</f>
        <v>20</v>
      </c>
    </row>
    <row r="61" spans="1:24">
      <c r="A61" s="60" t="s">
        <v>864</v>
      </c>
      <c r="B61" s="60" t="s">
        <v>224</v>
      </c>
      <c r="C61" s="60" t="s">
        <v>225</v>
      </c>
      <c r="D61" s="60" t="s">
        <v>226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7070</f>
        <v>7070</v>
      </c>
      <c r="L61" s="67" t="s">
        <v>814</v>
      </c>
      <c r="M61" s="66">
        <f>7070</f>
        <v>7070</v>
      </c>
      <c r="N61" s="67" t="s">
        <v>814</v>
      </c>
      <c r="O61" s="66">
        <f>6510</f>
        <v>6510</v>
      </c>
      <c r="P61" s="67" t="s">
        <v>95</v>
      </c>
      <c r="Q61" s="66">
        <f>6540</f>
        <v>6540</v>
      </c>
      <c r="R61" s="67" t="s">
        <v>51</v>
      </c>
      <c r="S61" s="68">
        <f>6673.85</f>
        <v>6673.85</v>
      </c>
      <c r="T61" s="65">
        <f>548</f>
        <v>548</v>
      </c>
      <c r="U61" s="65" t="str">
        <f t="shared" si="2"/>
        <v>－</v>
      </c>
      <c r="V61" s="65">
        <f>3611210</f>
        <v>3611210</v>
      </c>
      <c r="W61" s="65" t="str">
        <f t="shared" si="3"/>
        <v>－</v>
      </c>
      <c r="X61" s="69">
        <f>13</f>
        <v>13</v>
      </c>
    </row>
    <row r="62" spans="1:24">
      <c r="A62" s="60" t="s">
        <v>864</v>
      </c>
      <c r="B62" s="60" t="s">
        <v>227</v>
      </c>
      <c r="C62" s="60" t="s">
        <v>228</v>
      </c>
      <c r="D62" s="60" t="s">
        <v>229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4065</f>
        <v>4065</v>
      </c>
      <c r="L62" s="67" t="s">
        <v>814</v>
      </c>
      <c r="M62" s="66">
        <f>4065</f>
        <v>4065</v>
      </c>
      <c r="N62" s="67" t="s">
        <v>814</v>
      </c>
      <c r="O62" s="66">
        <f>3420</f>
        <v>3420</v>
      </c>
      <c r="P62" s="67" t="s">
        <v>51</v>
      </c>
      <c r="Q62" s="66">
        <f>3515</f>
        <v>3515</v>
      </c>
      <c r="R62" s="67" t="s">
        <v>51</v>
      </c>
      <c r="S62" s="68">
        <f>3614.75</f>
        <v>3614.75</v>
      </c>
      <c r="T62" s="65">
        <f>22472</f>
        <v>22472</v>
      </c>
      <c r="U62" s="65" t="str">
        <f t="shared" si="2"/>
        <v>－</v>
      </c>
      <c r="V62" s="65">
        <f>81154095</f>
        <v>81154095</v>
      </c>
      <c r="W62" s="65" t="str">
        <f t="shared" si="3"/>
        <v>－</v>
      </c>
      <c r="X62" s="69">
        <f>20</f>
        <v>20</v>
      </c>
    </row>
    <row r="63" spans="1:24">
      <c r="A63" s="60" t="s">
        <v>864</v>
      </c>
      <c r="B63" s="60" t="s">
        <v>230</v>
      </c>
      <c r="C63" s="60" t="s">
        <v>231</v>
      </c>
      <c r="D63" s="60" t="s">
        <v>232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8550</f>
        <v>8550</v>
      </c>
      <c r="L63" s="67" t="s">
        <v>814</v>
      </c>
      <c r="M63" s="66">
        <f>9760</f>
        <v>9760</v>
      </c>
      <c r="N63" s="67" t="s">
        <v>95</v>
      </c>
      <c r="O63" s="66">
        <f>8300</f>
        <v>8300</v>
      </c>
      <c r="P63" s="67" t="s">
        <v>814</v>
      </c>
      <c r="Q63" s="66">
        <f>9560</f>
        <v>9560</v>
      </c>
      <c r="R63" s="67" t="s">
        <v>51</v>
      </c>
      <c r="S63" s="68">
        <f>9270.5</f>
        <v>9270.5</v>
      </c>
      <c r="T63" s="65">
        <f>9590</f>
        <v>9590</v>
      </c>
      <c r="U63" s="65" t="str">
        <f t="shared" si="2"/>
        <v>－</v>
      </c>
      <c r="V63" s="65">
        <f>88526700</f>
        <v>88526700</v>
      </c>
      <c r="W63" s="65" t="str">
        <f t="shared" si="3"/>
        <v>－</v>
      </c>
      <c r="X63" s="69">
        <f>20</f>
        <v>20</v>
      </c>
    </row>
    <row r="64" spans="1:24">
      <c r="A64" s="60" t="s">
        <v>864</v>
      </c>
      <c r="B64" s="60" t="s">
        <v>233</v>
      </c>
      <c r="C64" s="60" t="s">
        <v>234</v>
      </c>
      <c r="D64" s="60" t="s">
        <v>235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6940</f>
        <v>6940</v>
      </c>
      <c r="L64" s="67" t="s">
        <v>814</v>
      </c>
      <c r="M64" s="66">
        <f>6940</f>
        <v>6940</v>
      </c>
      <c r="N64" s="67" t="s">
        <v>814</v>
      </c>
      <c r="O64" s="66">
        <f>6410</f>
        <v>6410</v>
      </c>
      <c r="P64" s="67" t="s">
        <v>90</v>
      </c>
      <c r="Q64" s="66">
        <f>6420</f>
        <v>6420</v>
      </c>
      <c r="R64" s="67" t="s">
        <v>51</v>
      </c>
      <c r="S64" s="68">
        <f>6608</f>
        <v>6608</v>
      </c>
      <c r="T64" s="65">
        <f>510</f>
        <v>510</v>
      </c>
      <c r="U64" s="65" t="str">
        <f t="shared" si="2"/>
        <v>－</v>
      </c>
      <c r="V64" s="65">
        <f>3388100</f>
        <v>3388100</v>
      </c>
      <c r="W64" s="65" t="str">
        <f t="shared" si="3"/>
        <v>－</v>
      </c>
      <c r="X64" s="69">
        <f>10</f>
        <v>10</v>
      </c>
    </row>
    <row r="65" spans="1:24">
      <c r="A65" s="60" t="s">
        <v>864</v>
      </c>
      <c r="B65" s="60" t="s">
        <v>236</v>
      </c>
      <c r="C65" s="60" t="s">
        <v>237</v>
      </c>
      <c r="D65" s="60" t="s">
        <v>238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4045</f>
        <v>4045</v>
      </c>
      <c r="L65" s="67" t="s">
        <v>814</v>
      </c>
      <c r="M65" s="66">
        <f>4065</f>
        <v>4065</v>
      </c>
      <c r="N65" s="67" t="s">
        <v>814</v>
      </c>
      <c r="O65" s="66">
        <f>3410</f>
        <v>3410</v>
      </c>
      <c r="P65" s="67" t="s">
        <v>816</v>
      </c>
      <c r="Q65" s="66">
        <f>3500</f>
        <v>3500</v>
      </c>
      <c r="R65" s="67" t="s">
        <v>51</v>
      </c>
      <c r="S65" s="68">
        <f>3612</f>
        <v>3612</v>
      </c>
      <c r="T65" s="65">
        <f>48200</f>
        <v>48200</v>
      </c>
      <c r="U65" s="65">
        <f>220</f>
        <v>220</v>
      </c>
      <c r="V65" s="65">
        <f>174649950</f>
        <v>174649950</v>
      </c>
      <c r="W65" s="65">
        <f>801550</f>
        <v>801550</v>
      </c>
      <c r="X65" s="69">
        <f>20</f>
        <v>20</v>
      </c>
    </row>
    <row r="66" spans="1:24">
      <c r="A66" s="60" t="s">
        <v>864</v>
      </c>
      <c r="B66" s="60" t="s">
        <v>239</v>
      </c>
      <c r="C66" s="60" t="s">
        <v>240</v>
      </c>
      <c r="D66" s="60" t="s">
        <v>241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f>17830</f>
        <v>17830</v>
      </c>
      <c r="L66" s="67" t="s">
        <v>814</v>
      </c>
      <c r="M66" s="66">
        <f>20250</f>
        <v>20250</v>
      </c>
      <c r="N66" s="67" t="s">
        <v>51</v>
      </c>
      <c r="O66" s="66">
        <f>17500</f>
        <v>17500</v>
      </c>
      <c r="P66" s="67" t="s">
        <v>814</v>
      </c>
      <c r="Q66" s="66">
        <f>20000</f>
        <v>20000</v>
      </c>
      <c r="R66" s="67" t="s">
        <v>51</v>
      </c>
      <c r="S66" s="68">
        <f>19395</f>
        <v>19395</v>
      </c>
      <c r="T66" s="65">
        <f>2881</f>
        <v>2881</v>
      </c>
      <c r="U66" s="65" t="str">
        <f>"－"</f>
        <v>－</v>
      </c>
      <c r="V66" s="65">
        <f>56492620</f>
        <v>56492620</v>
      </c>
      <c r="W66" s="65" t="str">
        <f>"－"</f>
        <v>－</v>
      </c>
      <c r="X66" s="69">
        <f>20</f>
        <v>20</v>
      </c>
    </row>
    <row r="67" spans="1:24">
      <c r="A67" s="60" t="s">
        <v>864</v>
      </c>
      <c r="B67" s="60" t="s">
        <v>242</v>
      </c>
      <c r="C67" s="60" t="s">
        <v>243</v>
      </c>
      <c r="D67" s="60" t="s">
        <v>244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4565</f>
        <v>4565</v>
      </c>
      <c r="L67" s="67" t="s">
        <v>814</v>
      </c>
      <c r="M67" s="66">
        <f>4565</f>
        <v>4565</v>
      </c>
      <c r="N67" s="67" t="s">
        <v>814</v>
      </c>
      <c r="O67" s="66">
        <f>4180</f>
        <v>4180</v>
      </c>
      <c r="P67" s="67" t="s">
        <v>822</v>
      </c>
      <c r="Q67" s="66">
        <f>4220</f>
        <v>4220</v>
      </c>
      <c r="R67" s="67" t="s">
        <v>51</v>
      </c>
      <c r="S67" s="68">
        <f>4295.75</f>
        <v>4295.75</v>
      </c>
      <c r="T67" s="65">
        <f>2689</f>
        <v>2689</v>
      </c>
      <c r="U67" s="65" t="str">
        <f>"－"</f>
        <v>－</v>
      </c>
      <c r="V67" s="65">
        <f>11754925</f>
        <v>11754925</v>
      </c>
      <c r="W67" s="65" t="str">
        <f>"－"</f>
        <v>－</v>
      </c>
      <c r="X67" s="69">
        <f>20</f>
        <v>20</v>
      </c>
    </row>
    <row r="68" spans="1:24">
      <c r="A68" s="60" t="s">
        <v>864</v>
      </c>
      <c r="B68" s="60" t="s">
        <v>246</v>
      </c>
      <c r="C68" s="60" t="s">
        <v>247</v>
      </c>
      <c r="D68" s="60" t="s">
        <v>248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f>1575</f>
        <v>1575</v>
      </c>
      <c r="L68" s="67" t="s">
        <v>814</v>
      </c>
      <c r="M68" s="66">
        <f>1610</f>
        <v>1610</v>
      </c>
      <c r="N68" s="67" t="s">
        <v>814</v>
      </c>
      <c r="O68" s="66">
        <f>1334</f>
        <v>1334</v>
      </c>
      <c r="P68" s="67" t="s">
        <v>821</v>
      </c>
      <c r="Q68" s="66">
        <f>1384</f>
        <v>1384</v>
      </c>
      <c r="R68" s="67" t="s">
        <v>51</v>
      </c>
      <c r="S68" s="68">
        <f>1442.45</f>
        <v>1442.45</v>
      </c>
      <c r="T68" s="65">
        <f>92433</f>
        <v>92433</v>
      </c>
      <c r="U68" s="65">
        <f>105</f>
        <v>105</v>
      </c>
      <c r="V68" s="65">
        <f>130969261</f>
        <v>130969261</v>
      </c>
      <c r="W68" s="65">
        <f>161304</f>
        <v>161304</v>
      </c>
      <c r="X68" s="69">
        <f>20</f>
        <v>20</v>
      </c>
    </row>
    <row r="69" spans="1:24">
      <c r="A69" s="60" t="s">
        <v>864</v>
      </c>
      <c r="B69" s="60" t="s">
        <v>249</v>
      </c>
      <c r="C69" s="60" t="s">
        <v>250</v>
      </c>
      <c r="D69" s="60" t="s">
        <v>251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10</v>
      </c>
      <c r="K69" s="66">
        <f>1525</f>
        <v>1525</v>
      </c>
      <c r="L69" s="67" t="s">
        <v>814</v>
      </c>
      <c r="M69" s="66">
        <f>1648</f>
        <v>1648</v>
      </c>
      <c r="N69" s="67" t="s">
        <v>51</v>
      </c>
      <c r="O69" s="66">
        <f>1525</f>
        <v>1525</v>
      </c>
      <c r="P69" s="67" t="s">
        <v>814</v>
      </c>
      <c r="Q69" s="66">
        <f>1628</f>
        <v>1628</v>
      </c>
      <c r="R69" s="67" t="s">
        <v>51</v>
      </c>
      <c r="S69" s="68">
        <f>1608.2</f>
        <v>1608.2</v>
      </c>
      <c r="T69" s="65">
        <f>730680</f>
        <v>730680</v>
      </c>
      <c r="U69" s="65">
        <f>100000</f>
        <v>100000</v>
      </c>
      <c r="V69" s="65">
        <f>1180284470</f>
        <v>1180284470</v>
      </c>
      <c r="W69" s="65">
        <f>164420000</f>
        <v>164420000</v>
      </c>
      <c r="X69" s="69">
        <f>20</f>
        <v>20</v>
      </c>
    </row>
    <row r="70" spans="1:24">
      <c r="A70" s="60" t="s">
        <v>864</v>
      </c>
      <c r="B70" s="60" t="s">
        <v>252</v>
      </c>
      <c r="C70" s="60" t="s">
        <v>253</v>
      </c>
      <c r="D70" s="60" t="s">
        <v>254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13720</f>
        <v>13720</v>
      </c>
      <c r="L70" s="67" t="s">
        <v>814</v>
      </c>
      <c r="M70" s="66">
        <f>14800</f>
        <v>14800</v>
      </c>
      <c r="N70" s="67" t="s">
        <v>816</v>
      </c>
      <c r="O70" s="66">
        <f>13700</f>
        <v>13700</v>
      </c>
      <c r="P70" s="67" t="s">
        <v>814</v>
      </c>
      <c r="Q70" s="66">
        <f>14680</f>
        <v>14680</v>
      </c>
      <c r="R70" s="67" t="s">
        <v>51</v>
      </c>
      <c r="S70" s="68">
        <f>14471.5</f>
        <v>14471.5</v>
      </c>
      <c r="T70" s="65">
        <f>42584</f>
        <v>42584</v>
      </c>
      <c r="U70" s="65" t="str">
        <f>"－"</f>
        <v>－</v>
      </c>
      <c r="V70" s="65">
        <f>609075860</f>
        <v>609075860</v>
      </c>
      <c r="W70" s="65" t="str">
        <f>"－"</f>
        <v>－</v>
      </c>
      <c r="X70" s="69">
        <f>20</f>
        <v>20</v>
      </c>
    </row>
    <row r="71" spans="1:24">
      <c r="A71" s="60" t="s">
        <v>864</v>
      </c>
      <c r="B71" s="60" t="s">
        <v>255</v>
      </c>
      <c r="C71" s="60" t="s">
        <v>256</v>
      </c>
      <c r="D71" s="60" t="s">
        <v>257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1559</f>
        <v>1559</v>
      </c>
      <c r="L71" s="67" t="s">
        <v>814</v>
      </c>
      <c r="M71" s="66">
        <f>1662</f>
        <v>1662</v>
      </c>
      <c r="N71" s="67" t="s">
        <v>95</v>
      </c>
      <c r="O71" s="66">
        <f>1546</f>
        <v>1546</v>
      </c>
      <c r="P71" s="67" t="s">
        <v>814</v>
      </c>
      <c r="Q71" s="66">
        <f>1642</f>
        <v>1642</v>
      </c>
      <c r="R71" s="67" t="s">
        <v>51</v>
      </c>
      <c r="S71" s="68">
        <f>1622.4</f>
        <v>1622.4</v>
      </c>
      <c r="T71" s="65">
        <f>6272750</f>
        <v>6272750</v>
      </c>
      <c r="U71" s="65">
        <f>1004240</f>
        <v>1004240</v>
      </c>
      <c r="V71" s="65">
        <f>10232832231</f>
        <v>10232832231</v>
      </c>
      <c r="W71" s="65">
        <f>1646546507</f>
        <v>1646546507</v>
      </c>
      <c r="X71" s="69">
        <f>20</f>
        <v>20</v>
      </c>
    </row>
    <row r="72" spans="1:24">
      <c r="A72" s="60" t="s">
        <v>864</v>
      </c>
      <c r="B72" s="60" t="s">
        <v>258</v>
      </c>
      <c r="C72" s="60" t="s">
        <v>259</v>
      </c>
      <c r="D72" s="60" t="s">
        <v>260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1722</f>
        <v>1722</v>
      </c>
      <c r="L72" s="67" t="s">
        <v>814</v>
      </c>
      <c r="M72" s="66">
        <f>1815</f>
        <v>1815</v>
      </c>
      <c r="N72" s="67" t="s">
        <v>51</v>
      </c>
      <c r="O72" s="66">
        <f>1703</f>
        <v>1703</v>
      </c>
      <c r="P72" s="67" t="s">
        <v>815</v>
      </c>
      <c r="Q72" s="66">
        <f>1796</f>
        <v>1796</v>
      </c>
      <c r="R72" s="67" t="s">
        <v>51</v>
      </c>
      <c r="S72" s="68">
        <f>1746.65</f>
        <v>1746.65</v>
      </c>
      <c r="T72" s="65">
        <f>2411394</f>
        <v>2411394</v>
      </c>
      <c r="U72" s="65">
        <f>256543</f>
        <v>256543</v>
      </c>
      <c r="V72" s="65">
        <f>4193221260</f>
        <v>4193221260</v>
      </c>
      <c r="W72" s="65">
        <f>443686116</f>
        <v>443686116</v>
      </c>
      <c r="X72" s="69">
        <f>20</f>
        <v>20</v>
      </c>
    </row>
    <row r="73" spans="1:24">
      <c r="A73" s="60" t="s">
        <v>864</v>
      </c>
      <c r="B73" s="60" t="s">
        <v>261</v>
      </c>
      <c r="C73" s="60" t="s">
        <v>262</v>
      </c>
      <c r="D73" s="60" t="s">
        <v>263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1644</f>
        <v>1644</v>
      </c>
      <c r="L73" s="67" t="s">
        <v>814</v>
      </c>
      <c r="M73" s="66">
        <f>1742</f>
        <v>1742</v>
      </c>
      <c r="N73" s="67" t="s">
        <v>816</v>
      </c>
      <c r="O73" s="66">
        <f>1644</f>
        <v>1644</v>
      </c>
      <c r="P73" s="67" t="s">
        <v>814</v>
      </c>
      <c r="Q73" s="66">
        <f>1725</f>
        <v>1725</v>
      </c>
      <c r="R73" s="67" t="s">
        <v>51</v>
      </c>
      <c r="S73" s="68">
        <f>1704.2</f>
        <v>1704.2</v>
      </c>
      <c r="T73" s="65">
        <f>68328</f>
        <v>68328</v>
      </c>
      <c r="U73" s="65">
        <f>353</f>
        <v>353</v>
      </c>
      <c r="V73" s="65">
        <f>114889005</f>
        <v>114889005</v>
      </c>
      <c r="W73" s="65">
        <f>592461</f>
        <v>592461</v>
      </c>
      <c r="X73" s="69">
        <f>20</f>
        <v>20</v>
      </c>
    </row>
    <row r="74" spans="1:24">
      <c r="A74" s="60" t="s">
        <v>864</v>
      </c>
      <c r="B74" s="60" t="s">
        <v>264</v>
      </c>
      <c r="C74" s="60" t="s">
        <v>265</v>
      </c>
      <c r="D74" s="60" t="s">
        <v>266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1656</f>
        <v>1656</v>
      </c>
      <c r="L74" s="67" t="s">
        <v>814</v>
      </c>
      <c r="M74" s="66">
        <f>1765</f>
        <v>1765</v>
      </c>
      <c r="N74" s="67" t="s">
        <v>95</v>
      </c>
      <c r="O74" s="66">
        <f>1630</f>
        <v>1630</v>
      </c>
      <c r="P74" s="67" t="s">
        <v>814</v>
      </c>
      <c r="Q74" s="66">
        <f>1737</f>
        <v>1737</v>
      </c>
      <c r="R74" s="67" t="s">
        <v>51</v>
      </c>
      <c r="S74" s="68">
        <f>1708.55</f>
        <v>1708.55</v>
      </c>
      <c r="T74" s="65">
        <f>168643</f>
        <v>168643</v>
      </c>
      <c r="U74" s="65" t="str">
        <f>"－"</f>
        <v>－</v>
      </c>
      <c r="V74" s="65">
        <f>287378171</f>
        <v>287378171</v>
      </c>
      <c r="W74" s="65" t="str">
        <f>"－"</f>
        <v>－</v>
      </c>
      <c r="X74" s="69">
        <f>20</f>
        <v>20</v>
      </c>
    </row>
    <row r="75" spans="1:24">
      <c r="A75" s="60" t="s">
        <v>864</v>
      </c>
      <c r="B75" s="60" t="s">
        <v>267</v>
      </c>
      <c r="C75" s="60" t="s">
        <v>268</v>
      </c>
      <c r="D75" s="60" t="s">
        <v>269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18840</f>
        <v>18840</v>
      </c>
      <c r="L75" s="67" t="s">
        <v>818</v>
      </c>
      <c r="M75" s="66">
        <f>19870</f>
        <v>19870</v>
      </c>
      <c r="N75" s="67" t="s">
        <v>95</v>
      </c>
      <c r="O75" s="66">
        <f>18810</f>
        <v>18810</v>
      </c>
      <c r="P75" s="67" t="s">
        <v>817</v>
      </c>
      <c r="Q75" s="66">
        <f>19770</f>
        <v>19770</v>
      </c>
      <c r="R75" s="67" t="s">
        <v>51</v>
      </c>
      <c r="S75" s="68">
        <f>19418</f>
        <v>19418</v>
      </c>
      <c r="T75" s="65">
        <f>222</f>
        <v>222</v>
      </c>
      <c r="U75" s="65" t="str">
        <f>"－"</f>
        <v>－</v>
      </c>
      <c r="V75" s="65">
        <f>4313620</f>
        <v>4313620</v>
      </c>
      <c r="W75" s="65" t="str">
        <f>"－"</f>
        <v>－</v>
      </c>
      <c r="X75" s="69">
        <f>10</f>
        <v>10</v>
      </c>
    </row>
    <row r="76" spans="1:24">
      <c r="A76" s="60" t="s">
        <v>864</v>
      </c>
      <c r="B76" s="60" t="s">
        <v>270</v>
      </c>
      <c r="C76" s="60" t="s">
        <v>271</v>
      </c>
      <c r="D76" s="60" t="s">
        <v>272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15200</f>
        <v>15200</v>
      </c>
      <c r="L76" s="67" t="s">
        <v>814</v>
      </c>
      <c r="M76" s="66">
        <f>16260</f>
        <v>16260</v>
      </c>
      <c r="N76" s="67" t="s">
        <v>51</v>
      </c>
      <c r="O76" s="66">
        <f>15200</f>
        <v>15200</v>
      </c>
      <c r="P76" s="67" t="s">
        <v>814</v>
      </c>
      <c r="Q76" s="66">
        <f>16260</f>
        <v>16260</v>
      </c>
      <c r="R76" s="67" t="s">
        <v>51</v>
      </c>
      <c r="S76" s="68">
        <f>15802</f>
        <v>15802</v>
      </c>
      <c r="T76" s="65">
        <f>2144</f>
        <v>2144</v>
      </c>
      <c r="U76" s="65" t="str">
        <f>"－"</f>
        <v>－</v>
      </c>
      <c r="V76" s="65">
        <f>34069520</f>
        <v>34069520</v>
      </c>
      <c r="W76" s="65" t="str">
        <f>"－"</f>
        <v>－</v>
      </c>
      <c r="X76" s="69">
        <f>10</f>
        <v>10</v>
      </c>
    </row>
    <row r="77" spans="1:24">
      <c r="A77" s="60" t="s">
        <v>864</v>
      </c>
      <c r="B77" s="60" t="s">
        <v>273</v>
      </c>
      <c r="C77" s="60" t="s">
        <v>274</v>
      </c>
      <c r="D77" s="60" t="s">
        <v>275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1488</f>
        <v>1488</v>
      </c>
      <c r="L77" s="67" t="s">
        <v>814</v>
      </c>
      <c r="M77" s="66">
        <f>1620</f>
        <v>1620</v>
      </c>
      <c r="N77" s="67" t="s">
        <v>51</v>
      </c>
      <c r="O77" s="66">
        <f>1488</f>
        <v>1488</v>
      </c>
      <c r="P77" s="67" t="s">
        <v>814</v>
      </c>
      <c r="Q77" s="66">
        <f>1620</f>
        <v>1620</v>
      </c>
      <c r="R77" s="67" t="s">
        <v>51</v>
      </c>
      <c r="S77" s="68">
        <f>1576.75</f>
        <v>1576.75</v>
      </c>
      <c r="T77" s="65">
        <f>1371</f>
        <v>1371</v>
      </c>
      <c r="U77" s="65" t="str">
        <f>"－"</f>
        <v>－</v>
      </c>
      <c r="V77" s="65">
        <f>2178830</f>
        <v>2178830</v>
      </c>
      <c r="W77" s="65" t="str">
        <f>"－"</f>
        <v>－</v>
      </c>
      <c r="X77" s="69">
        <f>20</f>
        <v>20</v>
      </c>
    </row>
    <row r="78" spans="1:24">
      <c r="A78" s="60" t="s">
        <v>864</v>
      </c>
      <c r="B78" s="60" t="s">
        <v>276</v>
      </c>
      <c r="C78" s="60" t="s">
        <v>277</v>
      </c>
      <c r="D78" s="60" t="s">
        <v>278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2536</f>
        <v>2536</v>
      </c>
      <c r="L78" s="67" t="s">
        <v>814</v>
      </c>
      <c r="M78" s="66">
        <f>2541</f>
        <v>2541</v>
      </c>
      <c r="N78" s="67" t="s">
        <v>817</v>
      </c>
      <c r="O78" s="66">
        <f>2495</f>
        <v>2495</v>
      </c>
      <c r="P78" s="67" t="s">
        <v>95</v>
      </c>
      <c r="Q78" s="66">
        <f>2507</f>
        <v>2507</v>
      </c>
      <c r="R78" s="67" t="s">
        <v>51</v>
      </c>
      <c r="S78" s="68">
        <f>2518.15</f>
        <v>2518.15</v>
      </c>
      <c r="T78" s="65">
        <f>2748837</f>
        <v>2748837</v>
      </c>
      <c r="U78" s="65">
        <f>1519328</f>
        <v>1519328</v>
      </c>
      <c r="V78" s="65">
        <f>6888153920</f>
        <v>6888153920</v>
      </c>
      <c r="W78" s="65">
        <f>3798988872</f>
        <v>3798988872</v>
      </c>
      <c r="X78" s="69">
        <f>20</f>
        <v>20</v>
      </c>
    </row>
    <row r="79" spans="1:24">
      <c r="A79" s="60" t="s">
        <v>864</v>
      </c>
      <c r="B79" s="60" t="s">
        <v>279</v>
      </c>
      <c r="C79" s="60" t="s">
        <v>280</v>
      </c>
      <c r="D79" s="60" t="s">
        <v>281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f>1529</f>
        <v>1529</v>
      </c>
      <c r="L79" s="67" t="s">
        <v>814</v>
      </c>
      <c r="M79" s="66">
        <f>1562</f>
        <v>1562</v>
      </c>
      <c r="N79" s="67" t="s">
        <v>51</v>
      </c>
      <c r="O79" s="66">
        <f>1474</f>
        <v>1474</v>
      </c>
      <c r="P79" s="67" t="s">
        <v>48</v>
      </c>
      <c r="Q79" s="66">
        <f>1530</f>
        <v>1530</v>
      </c>
      <c r="R79" s="67" t="s">
        <v>51</v>
      </c>
      <c r="S79" s="68">
        <f>1513.63</f>
        <v>1513.63</v>
      </c>
      <c r="T79" s="65">
        <f>657</f>
        <v>657</v>
      </c>
      <c r="U79" s="65" t="str">
        <f>"－"</f>
        <v>－</v>
      </c>
      <c r="V79" s="65">
        <f>995005</f>
        <v>995005</v>
      </c>
      <c r="W79" s="65" t="str">
        <f>"－"</f>
        <v>－</v>
      </c>
      <c r="X79" s="69">
        <f>19</f>
        <v>19</v>
      </c>
    </row>
    <row r="80" spans="1:24">
      <c r="A80" s="60" t="s">
        <v>864</v>
      </c>
      <c r="B80" s="60" t="s">
        <v>282</v>
      </c>
      <c r="C80" s="60" t="s">
        <v>283</v>
      </c>
      <c r="D80" s="60" t="s">
        <v>284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10</v>
      </c>
      <c r="K80" s="66">
        <f>1483</f>
        <v>1483</v>
      </c>
      <c r="L80" s="67" t="s">
        <v>814</v>
      </c>
      <c r="M80" s="66">
        <f>1596</f>
        <v>1596</v>
      </c>
      <c r="N80" s="67" t="s">
        <v>51</v>
      </c>
      <c r="O80" s="66">
        <f>1483</f>
        <v>1483</v>
      </c>
      <c r="P80" s="67" t="s">
        <v>814</v>
      </c>
      <c r="Q80" s="66">
        <f>1588</f>
        <v>1588</v>
      </c>
      <c r="R80" s="67" t="s">
        <v>51</v>
      </c>
      <c r="S80" s="68">
        <f>1556.5</f>
        <v>1556.5</v>
      </c>
      <c r="T80" s="65">
        <f>9250</f>
        <v>9250</v>
      </c>
      <c r="U80" s="65" t="str">
        <f>"－"</f>
        <v>－</v>
      </c>
      <c r="V80" s="65">
        <f>14555750</f>
        <v>14555750</v>
      </c>
      <c r="W80" s="65" t="str">
        <f>"－"</f>
        <v>－</v>
      </c>
      <c r="X80" s="69">
        <f>20</f>
        <v>20</v>
      </c>
    </row>
    <row r="81" spans="1:24">
      <c r="A81" s="60" t="s">
        <v>864</v>
      </c>
      <c r="B81" s="60" t="s">
        <v>285</v>
      </c>
      <c r="C81" s="60" t="s">
        <v>286</v>
      </c>
      <c r="D81" s="60" t="s">
        <v>287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24330</f>
        <v>24330</v>
      </c>
      <c r="L81" s="67" t="s">
        <v>817</v>
      </c>
      <c r="M81" s="66">
        <f>25200</f>
        <v>25200</v>
      </c>
      <c r="N81" s="67" t="s">
        <v>816</v>
      </c>
      <c r="O81" s="66">
        <f>24010</f>
        <v>24010</v>
      </c>
      <c r="P81" s="67" t="s">
        <v>100</v>
      </c>
      <c r="Q81" s="66">
        <f>24730</f>
        <v>24730</v>
      </c>
      <c r="R81" s="67" t="s">
        <v>821</v>
      </c>
      <c r="S81" s="68">
        <f>24484.29</f>
        <v>24484.29</v>
      </c>
      <c r="T81" s="65">
        <f>19</f>
        <v>19</v>
      </c>
      <c r="U81" s="65" t="str">
        <f>"－"</f>
        <v>－</v>
      </c>
      <c r="V81" s="65">
        <f>461400</f>
        <v>461400</v>
      </c>
      <c r="W81" s="65" t="str">
        <f>"－"</f>
        <v>－</v>
      </c>
      <c r="X81" s="69">
        <f>7</f>
        <v>7</v>
      </c>
    </row>
    <row r="82" spans="1:24">
      <c r="A82" s="60" t="s">
        <v>864</v>
      </c>
      <c r="B82" s="60" t="s">
        <v>288</v>
      </c>
      <c r="C82" s="60" t="s">
        <v>289</v>
      </c>
      <c r="D82" s="60" t="s">
        <v>290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22160</f>
        <v>22160</v>
      </c>
      <c r="L82" s="67" t="s">
        <v>814</v>
      </c>
      <c r="M82" s="66">
        <f>22250</f>
        <v>22250</v>
      </c>
      <c r="N82" s="67" t="s">
        <v>814</v>
      </c>
      <c r="O82" s="66">
        <f>21820</f>
        <v>21820</v>
      </c>
      <c r="P82" s="67" t="s">
        <v>51</v>
      </c>
      <c r="Q82" s="66">
        <f>21890</f>
        <v>21890</v>
      </c>
      <c r="R82" s="67" t="s">
        <v>51</v>
      </c>
      <c r="S82" s="68">
        <f>22059.5</f>
        <v>22059.5</v>
      </c>
      <c r="T82" s="65">
        <f>56536</f>
        <v>56536</v>
      </c>
      <c r="U82" s="65">
        <f>25500</f>
        <v>25500</v>
      </c>
      <c r="V82" s="65">
        <f>1247097240</f>
        <v>1247097240</v>
      </c>
      <c r="W82" s="65">
        <f>561633050</f>
        <v>561633050</v>
      </c>
      <c r="X82" s="69">
        <f>20</f>
        <v>20</v>
      </c>
    </row>
    <row r="83" spans="1:24">
      <c r="A83" s="60" t="s">
        <v>864</v>
      </c>
      <c r="B83" s="60" t="s">
        <v>291</v>
      </c>
      <c r="C83" s="60" t="s">
        <v>292</v>
      </c>
      <c r="D83" s="60" t="s">
        <v>293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</v>
      </c>
      <c r="K83" s="66">
        <f>19840</f>
        <v>19840</v>
      </c>
      <c r="L83" s="67" t="s">
        <v>814</v>
      </c>
      <c r="M83" s="66">
        <f>19870</f>
        <v>19870</v>
      </c>
      <c r="N83" s="67" t="s">
        <v>817</v>
      </c>
      <c r="O83" s="66">
        <f>19530</f>
        <v>19530</v>
      </c>
      <c r="P83" s="67" t="s">
        <v>95</v>
      </c>
      <c r="Q83" s="66">
        <f>19600</f>
        <v>19600</v>
      </c>
      <c r="R83" s="67" t="s">
        <v>51</v>
      </c>
      <c r="S83" s="68">
        <f>19700.5</f>
        <v>19700.5</v>
      </c>
      <c r="T83" s="65">
        <f>33142</f>
        <v>33142</v>
      </c>
      <c r="U83" s="65">
        <f>28100</f>
        <v>28100</v>
      </c>
      <c r="V83" s="65">
        <f>650627125</f>
        <v>650627125</v>
      </c>
      <c r="W83" s="65">
        <f>551344025</f>
        <v>551344025</v>
      </c>
      <c r="X83" s="69">
        <f>20</f>
        <v>20</v>
      </c>
    </row>
    <row r="84" spans="1:24">
      <c r="A84" s="60" t="s">
        <v>864</v>
      </c>
      <c r="B84" s="60" t="s">
        <v>294</v>
      </c>
      <c r="C84" s="60" t="s">
        <v>295</v>
      </c>
      <c r="D84" s="60" t="s">
        <v>296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10</v>
      </c>
      <c r="K84" s="66">
        <f>1719</f>
        <v>1719</v>
      </c>
      <c r="L84" s="67" t="s">
        <v>814</v>
      </c>
      <c r="M84" s="66">
        <f>1829</f>
        <v>1829</v>
      </c>
      <c r="N84" s="67" t="s">
        <v>51</v>
      </c>
      <c r="O84" s="66">
        <f>1715</f>
        <v>1715</v>
      </c>
      <c r="P84" s="67" t="s">
        <v>814</v>
      </c>
      <c r="Q84" s="66">
        <f>1810</f>
        <v>1810</v>
      </c>
      <c r="R84" s="67" t="s">
        <v>51</v>
      </c>
      <c r="S84" s="68">
        <f>1763</f>
        <v>1763</v>
      </c>
      <c r="T84" s="65">
        <f>1165750</f>
        <v>1165750</v>
      </c>
      <c r="U84" s="65">
        <f>210200</f>
        <v>210200</v>
      </c>
      <c r="V84" s="65">
        <f>2058996920</f>
        <v>2058996920</v>
      </c>
      <c r="W84" s="65">
        <f>372225020</f>
        <v>372225020</v>
      </c>
      <c r="X84" s="69">
        <f>20</f>
        <v>20</v>
      </c>
    </row>
    <row r="85" spans="1:24">
      <c r="A85" s="60" t="s">
        <v>864</v>
      </c>
      <c r="B85" s="60" t="s">
        <v>297</v>
      </c>
      <c r="C85" s="60" t="s">
        <v>298</v>
      </c>
      <c r="D85" s="60" t="s">
        <v>299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f>26290</f>
        <v>26290</v>
      </c>
      <c r="L85" s="67" t="s">
        <v>814</v>
      </c>
      <c r="M85" s="66">
        <f>28950</f>
        <v>28950</v>
      </c>
      <c r="N85" s="67" t="s">
        <v>51</v>
      </c>
      <c r="O85" s="66">
        <f>26020</f>
        <v>26020</v>
      </c>
      <c r="P85" s="67" t="s">
        <v>814</v>
      </c>
      <c r="Q85" s="66">
        <f>28540</f>
        <v>28540</v>
      </c>
      <c r="R85" s="67" t="s">
        <v>51</v>
      </c>
      <c r="S85" s="68">
        <f>27795</f>
        <v>27795</v>
      </c>
      <c r="T85" s="65">
        <f>27593</f>
        <v>27593</v>
      </c>
      <c r="U85" s="65" t="str">
        <f t="shared" ref="U85:U90" si="4">"－"</f>
        <v>－</v>
      </c>
      <c r="V85" s="65">
        <f>759183650</f>
        <v>759183650</v>
      </c>
      <c r="W85" s="65" t="str">
        <f t="shared" ref="W85:W90" si="5">"－"</f>
        <v>－</v>
      </c>
      <c r="X85" s="69">
        <f>20</f>
        <v>20</v>
      </c>
    </row>
    <row r="86" spans="1:24">
      <c r="A86" s="60" t="s">
        <v>864</v>
      </c>
      <c r="B86" s="60" t="s">
        <v>300</v>
      </c>
      <c r="C86" s="60" t="s">
        <v>301</v>
      </c>
      <c r="D86" s="60" t="s">
        <v>302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10</v>
      </c>
      <c r="K86" s="66">
        <f>8000</f>
        <v>8000</v>
      </c>
      <c r="L86" s="67" t="s">
        <v>814</v>
      </c>
      <c r="M86" s="66">
        <f>8220</f>
        <v>8220</v>
      </c>
      <c r="N86" s="67" t="s">
        <v>91</v>
      </c>
      <c r="O86" s="66">
        <f>7950</f>
        <v>7950</v>
      </c>
      <c r="P86" s="67" t="s">
        <v>95</v>
      </c>
      <c r="Q86" s="66">
        <f>8110</f>
        <v>8110</v>
      </c>
      <c r="R86" s="67" t="s">
        <v>51</v>
      </c>
      <c r="S86" s="68">
        <f>8048.57</f>
        <v>8048.57</v>
      </c>
      <c r="T86" s="65">
        <f>880</f>
        <v>880</v>
      </c>
      <c r="U86" s="65" t="str">
        <f t="shared" si="4"/>
        <v>－</v>
      </c>
      <c r="V86" s="65">
        <f>7091600</f>
        <v>7091600</v>
      </c>
      <c r="W86" s="65" t="str">
        <f t="shared" si="5"/>
        <v>－</v>
      </c>
      <c r="X86" s="69">
        <f>7</f>
        <v>7</v>
      </c>
    </row>
    <row r="87" spans="1:24">
      <c r="A87" s="60" t="s">
        <v>864</v>
      </c>
      <c r="B87" s="60" t="s">
        <v>303</v>
      </c>
      <c r="C87" s="60" t="s">
        <v>304</v>
      </c>
      <c r="D87" s="60" t="s">
        <v>305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13070</f>
        <v>13070</v>
      </c>
      <c r="L87" s="67" t="s">
        <v>814</v>
      </c>
      <c r="M87" s="66">
        <f>13540</f>
        <v>13540</v>
      </c>
      <c r="N87" s="67" t="s">
        <v>95</v>
      </c>
      <c r="O87" s="66">
        <f>12770</f>
        <v>12770</v>
      </c>
      <c r="P87" s="67" t="s">
        <v>100</v>
      </c>
      <c r="Q87" s="66">
        <f>13530</f>
        <v>13530</v>
      </c>
      <c r="R87" s="67" t="s">
        <v>51</v>
      </c>
      <c r="S87" s="68">
        <f>13172</f>
        <v>13172</v>
      </c>
      <c r="T87" s="65">
        <f>916</f>
        <v>916</v>
      </c>
      <c r="U87" s="65" t="str">
        <f t="shared" si="4"/>
        <v>－</v>
      </c>
      <c r="V87" s="65">
        <f>12097910</f>
        <v>12097910</v>
      </c>
      <c r="W87" s="65" t="str">
        <f t="shared" si="5"/>
        <v>－</v>
      </c>
      <c r="X87" s="69">
        <f>20</f>
        <v>20</v>
      </c>
    </row>
    <row r="88" spans="1:24">
      <c r="A88" s="60" t="s">
        <v>864</v>
      </c>
      <c r="B88" s="60" t="s">
        <v>306</v>
      </c>
      <c r="C88" s="60" t="s">
        <v>307</v>
      </c>
      <c r="D88" s="60" t="s">
        <v>308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12530</f>
        <v>12530</v>
      </c>
      <c r="L88" s="67" t="s">
        <v>814</v>
      </c>
      <c r="M88" s="66">
        <f>13650</f>
        <v>13650</v>
      </c>
      <c r="N88" s="67" t="s">
        <v>51</v>
      </c>
      <c r="O88" s="66">
        <f>12530</f>
        <v>12530</v>
      </c>
      <c r="P88" s="67" t="s">
        <v>814</v>
      </c>
      <c r="Q88" s="66">
        <f>13650</f>
        <v>13650</v>
      </c>
      <c r="R88" s="67" t="s">
        <v>51</v>
      </c>
      <c r="S88" s="68">
        <f>13209</f>
        <v>13209</v>
      </c>
      <c r="T88" s="65">
        <f>4577</f>
        <v>4577</v>
      </c>
      <c r="U88" s="65" t="str">
        <f t="shared" si="4"/>
        <v>－</v>
      </c>
      <c r="V88" s="65">
        <f>60325920</f>
        <v>60325920</v>
      </c>
      <c r="W88" s="65" t="str">
        <f t="shared" si="5"/>
        <v>－</v>
      </c>
      <c r="X88" s="69">
        <f>20</f>
        <v>20</v>
      </c>
    </row>
    <row r="89" spans="1:24">
      <c r="A89" s="60" t="s">
        <v>864</v>
      </c>
      <c r="B89" s="60" t="s">
        <v>310</v>
      </c>
      <c r="C89" s="60" t="s">
        <v>311</v>
      </c>
      <c r="D89" s="60" t="s">
        <v>312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f>14770</f>
        <v>14770</v>
      </c>
      <c r="L89" s="67" t="s">
        <v>814</v>
      </c>
      <c r="M89" s="66">
        <f>16330</f>
        <v>16330</v>
      </c>
      <c r="N89" s="67" t="s">
        <v>95</v>
      </c>
      <c r="O89" s="66">
        <f>14730</f>
        <v>14730</v>
      </c>
      <c r="P89" s="67" t="s">
        <v>814</v>
      </c>
      <c r="Q89" s="66">
        <f>16240</f>
        <v>16240</v>
      </c>
      <c r="R89" s="67" t="s">
        <v>51</v>
      </c>
      <c r="S89" s="68">
        <f>15772</f>
        <v>15772</v>
      </c>
      <c r="T89" s="65">
        <f>4109</f>
        <v>4109</v>
      </c>
      <c r="U89" s="65" t="str">
        <f t="shared" si="4"/>
        <v>－</v>
      </c>
      <c r="V89" s="65">
        <f>65883380</f>
        <v>65883380</v>
      </c>
      <c r="W89" s="65" t="str">
        <f t="shared" si="5"/>
        <v>－</v>
      </c>
      <c r="X89" s="69">
        <f>20</f>
        <v>20</v>
      </c>
    </row>
    <row r="90" spans="1:24">
      <c r="A90" s="60" t="s">
        <v>864</v>
      </c>
      <c r="B90" s="60" t="s">
        <v>313</v>
      </c>
      <c r="C90" s="60" t="s">
        <v>314</v>
      </c>
      <c r="D90" s="60" t="s">
        <v>315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10</v>
      </c>
      <c r="K90" s="66">
        <f>9730</f>
        <v>9730</v>
      </c>
      <c r="L90" s="67" t="s">
        <v>814</v>
      </c>
      <c r="M90" s="66">
        <f>9850</f>
        <v>9850</v>
      </c>
      <c r="N90" s="67" t="s">
        <v>79</v>
      </c>
      <c r="O90" s="66">
        <f>9570</f>
        <v>9570</v>
      </c>
      <c r="P90" s="67" t="s">
        <v>815</v>
      </c>
      <c r="Q90" s="66">
        <f>9720</f>
        <v>9720</v>
      </c>
      <c r="R90" s="67" t="s">
        <v>51</v>
      </c>
      <c r="S90" s="68">
        <f>9704.5</f>
        <v>9704.5</v>
      </c>
      <c r="T90" s="65">
        <f>7980</f>
        <v>7980</v>
      </c>
      <c r="U90" s="65" t="str">
        <f t="shared" si="4"/>
        <v>－</v>
      </c>
      <c r="V90" s="65">
        <f>77461300</f>
        <v>77461300</v>
      </c>
      <c r="W90" s="65" t="str">
        <f t="shared" si="5"/>
        <v>－</v>
      </c>
      <c r="X90" s="69">
        <f>20</f>
        <v>20</v>
      </c>
    </row>
    <row r="91" spans="1:24">
      <c r="A91" s="60" t="s">
        <v>864</v>
      </c>
      <c r="B91" s="60" t="s">
        <v>316</v>
      </c>
      <c r="C91" s="60" t="s">
        <v>317</v>
      </c>
      <c r="D91" s="60" t="s">
        <v>318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2682</f>
        <v>2682</v>
      </c>
      <c r="L91" s="67" t="s">
        <v>814</v>
      </c>
      <c r="M91" s="66">
        <f>2716</f>
        <v>2716</v>
      </c>
      <c r="N91" s="67" t="s">
        <v>100</v>
      </c>
      <c r="O91" s="66">
        <f>2614</f>
        <v>2614</v>
      </c>
      <c r="P91" s="67" t="s">
        <v>95</v>
      </c>
      <c r="Q91" s="66">
        <f>2631</f>
        <v>2631</v>
      </c>
      <c r="R91" s="67" t="s">
        <v>51</v>
      </c>
      <c r="S91" s="68">
        <f>2665.05</f>
        <v>2665.05</v>
      </c>
      <c r="T91" s="65">
        <f>202122</f>
        <v>202122</v>
      </c>
      <c r="U91" s="65">
        <f>137336</f>
        <v>137336</v>
      </c>
      <c r="V91" s="65">
        <f>537127604</f>
        <v>537127604</v>
      </c>
      <c r="W91" s="65">
        <f>365166828</f>
        <v>365166828</v>
      </c>
      <c r="X91" s="69">
        <f>20</f>
        <v>20</v>
      </c>
    </row>
    <row r="92" spans="1:24">
      <c r="A92" s="60" t="s">
        <v>864</v>
      </c>
      <c r="B92" s="60" t="s">
        <v>319</v>
      </c>
      <c r="C92" s="60" t="s">
        <v>320</v>
      </c>
      <c r="D92" s="60" t="s">
        <v>321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2305</f>
        <v>2305</v>
      </c>
      <c r="L92" s="67" t="s">
        <v>814</v>
      </c>
      <c r="M92" s="66">
        <f>2318</f>
        <v>2318</v>
      </c>
      <c r="N92" s="67" t="s">
        <v>91</v>
      </c>
      <c r="O92" s="66">
        <f>2279</f>
        <v>2279</v>
      </c>
      <c r="P92" s="67" t="s">
        <v>79</v>
      </c>
      <c r="Q92" s="66">
        <f>2308</f>
        <v>2308</v>
      </c>
      <c r="R92" s="67" t="s">
        <v>51</v>
      </c>
      <c r="S92" s="68">
        <f>2300.95</f>
        <v>2300.9499999999998</v>
      </c>
      <c r="T92" s="65">
        <f>110307</f>
        <v>110307</v>
      </c>
      <c r="U92" s="65" t="str">
        <f>"－"</f>
        <v>－</v>
      </c>
      <c r="V92" s="65">
        <f>253404276</f>
        <v>253404276</v>
      </c>
      <c r="W92" s="65" t="str">
        <f>"－"</f>
        <v>－</v>
      </c>
      <c r="X92" s="69">
        <f>20</f>
        <v>20</v>
      </c>
    </row>
    <row r="93" spans="1:24">
      <c r="A93" s="60" t="s">
        <v>864</v>
      </c>
      <c r="B93" s="60" t="s">
        <v>322</v>
      </c>
      <c r="C93" s="60" t="s">
        <v>323</v>
      </c>
      <c r="D93" s="60" t="s">
        <v>324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11270</f>
        <v>11270</v>
      </c>
      <c r="L93" s="67" t="s">
        <v>814</v>
      </c>
      <c r="M93" s="66">
        <f>12190</f>
        <v>12190</v>
      </c>
      <c r="N93" s="67" t="s">
        <v>95</v>
      </c>
      <c r="O93" s="66">
        <f>11270</f>
        <v>11270</v>
      </c>
      <c r="P93" s="67" t="s">
        <v>814</v>
      </c>
      <c r="Q93" s="66">
        <f>12090</f>
        <v>12090</v>
      </c>
      <c r="R93" s="67" t="s">
        <v>51</v>
      </c>
      <c r="S93" s="68">
        <f>11888</f>
        <v>11888</v>
      </c>
      <c r="T93" s="65">
        <f>2332</f>
        <v>2332</v>
      </c>
      <c r="U93" s="65" t="str">
        <f>"－"</f>
        <v>－</v>
      </c>
      <c r="V93" s="65">
        <f>27818460</f>
        <v>27818460</v>
      </c>
      <c r="W93" s="65" t="str">
        <f>"－"</f>
        <v>－</v>
      </c>
      <c r="X93" s="69">
        <f>20</f>
        <v>20</v>
      </c>
    </row>
    <row r="94" spans="1:24">
      <c r="A94" s="60" t="s">
        <v>864</v>
      </c>
      <c r="B94" s="60" t="s">
        <v>325</v>
      </c>
      <c r="C94" s="60" t="s">
        <v>326</v>
      </c>
      <c r="D94" s="60" t="s">
        <v>327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8050</f>
        <v>8050</v>
      </c>
      <c r="L94" s="67" t="s">
        <v>814</v>
      </c>
      <c r="M94" s="66">
        <f>8500</f>
        <v>8500</v>
      </c>
      <c r="N94" s="67" t="s">
        <v>815</v>
      </c>
      <c r="O94" s="66">
        <f>7920</f>
        <v>7920</v>
      </c>
      <c r="P94" s="67" t="s">
        <v>815</v>
      </c>
      <c r="Q94" s="66">
        <f>7960</f>
        <v>7960</v>
      </c>
      <c r="R94" s="67" t="s">
        <v>51</v>
      </c>
      <c r="S94" s="68">
        <f>8050.59</f>
        <v>8050.59</v>
      </c>
      <c r="T94" s="65">
        <f>668</f>
        <v>668</v>
      </c>
      <c r="U94" s="65" t="str">
        <f>"－"</f>
        <v>－</v>
      </c>
      <c r="V94" s="65">
        <f>5378320</f>
        <v>5378320</v>
      </c>
      <c r="W94" s="65" t="str">
        <f>"－"</f>
        <v>－</v>
      </c>
      <c r="X94" s="69">
        <f>17</f>
        <v>17</v>
      </c>
    </row>
    <row r="95" spans="1:24">
      <c r="A95" s="60" t="s">
        <v>864</v>
      </c>
      <c r="B95" s="60" t="s">
        <v>328</v>
      </c>
      <c r="C95" s="60" t="s">
        <v>329</v>
      </c>
      <c r="D95" s="60" t="s">
        <v>330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6560</f>
        <v>6560</v>
      </c>
      <c r="L95" s="67" t="s">
        <v>814</v>
      </c>
      <c r="M95" s="66">
        <f>6750</f>
        <v>6750</v>
      </c>
      <c r="N95" s="67" t="s">
        <v>100</v>
      </c>
      <c r="O95" s="66">
        <f>6180</f>
        <v>6180</v>
      </c>
      <c r="P95" s="67" t="s">
        <v>815</v>
      </c>
      <c r="Q95" s="66">
        <f>6500</f>
        <v>6500</v>
      </c>
      <c r="R95" s="67" t="s">
        <v>51</v>
      </c>
      <c r="S95" s="68">
        <f>6484</f>
        <v>6484</v>
      </c>
      <c r="T95" s="65">
        <f>4452914</f>
        <v>4452914</v>
      </c>
      <c r="U95" s="65">
        <f>114265</f>
        <v>114265</v>
      </c>
      <c r="V95" s="65">
        <f>28863142241</f>
        <v>28863142241</v>
      </c>
      <c r="W95" s="65">
        <f>743642611</f>
        <v>743642611</v>
      </c>
      <c r="X95" s="69">
        <f>20</f>
        <v>20</v>
      </c>
    </row>
    <row r="96" spans="1:24">
      <c r="A96" s="60" t="s">
        <v>864</v>
      </c>
      <c r="B96" s="60" t="s">
        <v>331</v>
      </c>
      <c r="C96" s="60" t="s">
        <v>332</v>
      </c>
      <c r="D96" s="60" t="s">
        <v>333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2938</f>
        <v>2938</v>
      </c>
      <c r="L96" s="67" t="s">
        <v>814</v>
      </c>
      <c r="M96" s="66">
        <f>3275</f>
        <v>3275</v>
      </c>
      <c r="N96" s="67" t="s">
        <v>100</v>
      </c>
      <c r="O96" s="66">
        <f>2936</f>
        <v>2936</v>
      </c>
      <c r="P96" s="67" t="s">
        <v>814</v>
      </c>
      <c r="Q96" s="66">
        <f>3025</f>
        <v>3025</v>
      </c>
      <c r="R96" s="67" t="s">
        <v>51</v>
      </c>
      <c r="S96" s="68">
        <f>3046.55</f>
        <v>3046.55</v>
      </c>
      <c r="T96" s="65">
        <f>1366908</f>
        <v>1366908</v>
      </c>
      <c r="U96" s="65" t="str">
        <f>"－"</f>
        <v>－</v>
      </c>
      <c r="V96" s="65">
        <f>4214108366</f>
        <v>4214108366</v>
      </c>
      <c r="W96" s="65" t="str">
        <f>"－"</f>
        <v>－</v>
      </c>
      <c r="X96" s="69">
        <f>20</f>
        <v>20</v>
      </c>
    </row>
    <row r="97" spans="1:24">
      <c r="A97" s="60" t="s">
        <v>864</v>
      </c>
      <c r="B97" s="60" t="s">
        <v>334</v>
      </c>
      <c r="C97" s="60" t="s">
        <v>335</v>
      </c>
      <c r="D97" s="60" t="s">
        <v>336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7940</f>
        <v>7940</v>
      </c>
      <c r="L97" s="67" t="s">
        <v>814</v>
      </c>
      <c r="M97" s="66">
        <f>9540</f>
        <v>9540</v>
      </c>
      <c r="N97" s="67" t="s">
        <v>100</v>
      </c>
      <c r="O97" s="66">
        <f>7730</f>
        <v>7730</v>
      </c>
      <c r="P97" s="67" t="s">
        <v>815</v>
      </c>
      <c r="Q97" s="66">
        <f>8870</f>
        <v>8870</v>
      </c>
      <c r="R97" s="67" t="s">
        <v>51</v>
      </c>
      <c r="S97" s="68">
        <f>8555</f>
        <v>8555</v>
      </c>
      <c r="T97" s="65">
        <f>1084399</f>
        <v>1084399</v>
      </c>
      <c r="U97" s="65">
        <f>453</f>
        <v>453</v>
      </c>
      <c r="V97" s="65">
        <f>9326455830</f>
        <v>9326455830</v>
      </c>
      <c r="W97" s="65">
        <f>3914420</f>
        <v>3914420</v>
      </c>
      <c r="X97" s="69">
        <f>20</f>
        <v>20</v>
      </c>
    </row>
    <row r="98" spans="1:24">
      <c r="A98" s="60" t="s">
        <v>864</v>
      </c>
      <c r="B98" s="60" t="s">
        <v>337</v>
      </c>
      <c r="C98" s="60" t="s">
        <v>338</v>
      </c>
      <c r="D98" s="60" t="s">
        <v>339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65900</f>
        <v>65900</v>
      </c>
      <c r="L98" s="67" t="s">
        <v>814</v>
      </c>
      <c r="M98" s="66">
        <f>73100</f>
        <v>73100</v>
      </c>
      <c r="N98" s="67" t="s">
        <v>100</v>
      </c>
      <c r="O98" s="66">
        <f>65600</f>
        <v>65600</v>
      </c>
      <c r="P98" s="67" t="s">
        <v>814</v>
      </c>
      <c r="Q98" s="66">
        <f>70200</f>
        <v>70200</v>
      </c>
      <c r="R98" s="67" t="s">
        <v>51</v>
      </c>
      <c r="S98" s="68">
        <f>69135</f>
        <v>69135</v>
      </c>
      <c r="T98" s="65">
        <f>6351</f>
        <v>6351</v>
      </c>
      <c r="U98" s="65" t="str">
        <f>"－"</f>
        <v>－</v>
      </c>
      <c r="V98" s="65">
        <f>440291800</f>
        <v>440291800</v>
      </c>
      <c r="W98" s="65" t="str">
        <f>"－"</f>
        <v>－</v>
      </c>
      <c r="X98" s="69">
        <f>20</f>
        <v>20</v>
      </c>
    </row>
    <row r="99" spans="1:24">
      <c r="A99" s="60" t="s">
        <v>864</v>
      </c>
      <c r="B99" s="60" t="s">
        <v>340</v>
      </c>
      <c r="C99" s="60" t="s">
        <v>341</v>
      </c>
      <c r="D99" s="60" t="s">
        <v>342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10</v>
      </c>
      <c r="K99" s="66">
        <f>11730</f>
        <v>11730</v>
      </c>
      <c r="L99" s="67" t="s">
        <v>814</v>
      </c>
      <c r="M99" s="66">
        <f>13000</f>
        <v>13000</v>
      </c>
      <c r="N99" s="67" t="s">
        <v>95</v>
      </c>
      <c r="O99" s="66">
        <f>11720</f>
        <v>11720</v>
      </c>
      <c r="P99" s="67" t="s">
        <v>814</v>
      </c>
      <c r="Q99" s="66">
        <f>12930</f>
        <v>12930</v>
      </c>
      <c r="R99" s="67" t="s">
        <v>51</v>
      </c>
      <c r="S99" s="68">
        <f>12223.5</f>
        <v>12223.5</v>
      </c>
      <c r="T99" s="65">
        <f>1975830</f>
        <v>1975830</v>
      </c>
      <c r="U99" s="65">
        <f>50940</f>
        <v>50940</v>
      </c>
      <c r="V99" s="65">
        <f>24362682990</f>
        <v>24362682990</v>
      </c>
      <c r="W99" s="65">
        <f>636357790</f>
        <v>636357790</v>
      </c>
      <c r="X99" s="69">
        <f>20</f>
        <v>20</v>
      </c>
    </row>
    <row r="100" spans="1:24">
      <c r="A100" s="60" t="s">
        <v>864</v>
      </c>
      <c r="B100" s="60" t="s">
        <v>343</v>
      </c>
      <c r="C100" s="60" t="s">
        <v>344</v>
      </c>
      <c r="D100" s="60" t="s">
        <v>345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</v>
      </c>
      <c r="K100" s="66">
        <f>27420</f>
        <v>27420</v>
      </c>
      <c r="L100" s="67" t="s">
        <v>814</v>
      </c>
      <c r="M100" s="66">
        <f>29780</f>
        <v>29780</v>
      </c>
      <c r="N100" s="67" t="s">
        <v>95</v>
      </c>
      <c r="O100" s="66">
        <f>27330</f>
        <v>27330</v>
      </c>
      <c r="P100" s="67" t="s">
        <v>814</v>
      </c>
      <c r="Q100" s="66">
        <f>29460</f>
        <v>29460</v>
      </c>
      <c r="R100" s="67" t="s">
        <v>51</v>
      </c>
      <c r="S100" s="68">
        <f>28576.5</f>
        <v>28576.5</v>
      </c>
      <c r="T100" s="65">
        <f>251962</f>
        <v>251962</v>
      </c>
      <c r="U100" s="65">
        <f>1</f>
        <v>1</v>
      </c>
      <c r="V100" s="65">
        <f>7233159795</f>
        <v>7233159795</v>
      </c>
      <c r="W100" s="65">
        <f>28305</f>
        <v>28305</v>
      </c>
      <c r="X100" s="69">
        <f>20</f>
        <v>20</v>
      </c>
    </row>
    <row r="101" spans="1:24">
      <c r="A101" s="60" t="s">
        <v>864</v>
      </c>
      <c r="B101" s="60" t="s">
        <v>346</v>
      </c>
      <c r="C101" s="60" t="s">
        <v>347</v>
      </c>
      <c r="D101" s="60" t="s">
        <v>348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3760</f>
        <v>3760</v>
      </c>
      <c r="L101" s="67" t="s">
        <v>814</v>
      </c>
      <c r="M101" s="66">
        <f>4085</f>
        <v>4085</v>
      </c>
      <c r="N101" s="67" t="s">
        <v>95</v>
      </c>
      <c r="O101" s="66">
        <f>3755</f>
        <v>3755</v>
      </c>
      <c r="P101" s="67" t="s">
        <v>814</v>
      </c>
      <c r="Q101" s="66">
        <f>4045</f>
        <v>4045</v>
      </c>
      <c r="R101" s="67" t="s">
        <v>51</v>
      </c>
      <c r="S101" s="68">
        <f>3902.25</f>
        <v>3902.25</v>
      </c>
      <c r="T101" s="65">
        <f>1114220</f>
        <v>1114220</v>
      </c>
      <c r="U101" s="65">
        <f>10820</f>
        <v>10820</v>
      </c>
      <c r="V101" s="65">
        <f>4373711591</f>
        <v>4373711591</v>
      </c>
      <c r="W101" s="65">
        <f>41522841</f>
        <v>41522841</v>
      </c>
      <c r="X101" s="69">
        <f>20</f>
        <v>20</v>
      </c>
    </row>
    <row r="102" spans="1:24">
      <c r="A102" s="60" t="s">
        <v>864</v>
      </c>
      <c r="B102" s="60" t="s">
        <v>349</v>
      </c>
      <c r="C102" s="60" t="s">
        <v>350</v>
      </c>
      <c r="D102" s="60" t="s">
        <v>351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2475</f>
        <v>2475</v>
      </c>
      <c r="L102" s="67" t="s">
        <v>814</v>
      </c>
      <c r="M102" s="66">
        <f>2673</f>
        <v>2673</v>
      </c>
      <c r="N102" s="67" t="s">
        <v>95</v>
      </c>
      <c r="O102" s="66">
        <f>2475</f>
        <v>2475</v>
      </c>
      <c r="P102" s="67" t="s">
        <v>814</v>
      </c>
      <c r="Q102" s="66">
        <f>2655</f>
        <v>2655</v>
      </c>
      <c r="R102" s="67" t="s">
        <v>51</v>
      </c>
      <c r="S102" s="68">
        <f>2568.7</f>
        <v>2568.6999999999998</v>
      </c>
      <c r="T102" s="65">
        <f>185080</f>
        <v>185080</v>
      </c>
      <c r="U102" s="65">
        <f>19000</f>
        <v>19000</v>
      </c>
      <c r="V102" s="65">
        <f>476637310</f>
        <v>476637310</v>
      </c>
      <c r="W102" s="65">
        <f>50082100</f>
        <v>50082100</v>
      </c>
      <c r="X102" s="69">
        <f>20</f>
        <v>20</v>
      </c>
    </row>
    <row r="103" spans="1:24">
      <c r="A103" s="60" t="s">
        <v>864</v>
      </c>
      <c r="B103" s="60" t="s">
        <v>352</v>
      </c>
      <c r="C103" s="60" t="s">
        <v>353</v>
      </c>
      <c r="D103" s="60" t="s">
        <v>354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10</v>
      </c>
      <c r="K103" s="66">
        <f>4425</f>
        <v>4425</v>
      </c>
      <c r="L103" s="67" t="s">
        <v>814</v>
      </c>
      <c r="M103" s="66">
        <f>4760</f>
        <v>4760</v>
      </c>
      <c r="N103" s="67" t="s">
        <v>816</v>
      </c>
      <c r="O103" s="66">
        <f>4365</f>
        <v>4365</v>
      </c>
      <c r="P103" s="67" t="s">
        <v>814</v>
      </c>
      <c r="Q103" s="66">
        <f>4655</f>
        <v>4655</v>
      </c>
      <c r="R103" s="67" t="s">
        <v>51</v>
      </c>
      <c r="S103" s="68">
        <f>4621.75</f>
        <v>4621.75</v>
      </c>
      <c r="T103" s="65">
        <f>27880</f>
        <v>27880</v>
      </c>
      <c r="U103" s="65">
        <f>90</f>
        <v>90</v>
      </c>
      <c r="V103" s="65">
        <f>128968500</f>
        <v>128968500</v>
      </c>
      <c r="W103" s="65">
        <f>408150</f>
        <v>408150</v>
      </c>
      <c r="X103" s="69">
        <f>20</f>
        <v>20</v>
      </c>
    </row>
    <row r="104" spans="1:24">
      <c r="A104" s="60" t="s">
        <v>864</v>
      </c>
      <c r="B104" s="60" t="s">
        <v>355</v>
      </c>
      <c r="C104" s="60" t="s">
        <v>356</v>
      </c>
      <c r="D104" s="60" t="s">
        <v>357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f>9680</f>
        <v>9680</v>
      </c>
      <c r="L104" s="67" t="s">
        <v>814</v>
      </c>
      <c r="M104" s="66">
        <f>9770</f>
        <v>9770</v>
      </c>
      <c r="N104" s="67" t="s">
        <v>814</v>
      </c>
      <c r="O104" s="66">
        <f>8060</f>
        <v>8060</v>
      </c>
      <c r="P104" s="67" t="s">
        <v>819</v>
      </c>
      <c r="Q104" s="66">
        <f>8620</f>
        <v>8620</v>
      </c>
      <c r="R104" s="67" t="s">
        <v>51</v>
      </c>
      <c r="S104" s="68">
        <f>8715</f>
        <v>8715</v>
      </c>
      <c r="T104" s="65">
        <f>3932099</f>
        <v>3932099</v>
      </c>
      <c r="U104" s="65">
        <f>632</f>
        <v>632</v>
      </c>
      <c r="V104" s="65">
        <f>34766316718</f>
        <v>34766316718</v>
      </c>
      <c r="W104" s="65">
        <f>5589288</f>
        <v>5589288</v>
      </c>
      <c r="X104" s="69">
        <f>20</f>
        <v>20</v>
      </c>
    </row>
    <row r="105" spans="1:24">
      <c r="A105" s="60" t="s">
        <v>864</v>
      </c>
      <c r="B105" s="60" t="s">
        <v>358</v>
      </c>
      <c r="C105" s="60" t="s">
        <v>359</v>
      </c>
      <c r="D105" s="60" t="s">
        <v>360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2168</f>
        <v>2168</v>
      </c>
      <c r="L105" s="67" t="s">
        <v>814</v>
      </c>
      <c r="M105" s="66">
        <f>2329</f>
        <v>2329</v>
      </c>
      <c r="N105" s="67" t="s">
        <v>95</v>
      </c>
      <c r="O105" s="66">
        <f>2168</f>
        <v>2168</v>
      </c>
      <c r="P105" s="67" t="s">
        <v>814</v>
      </c>
      <c r="Q105" s="66">
        <f>2312</f>
        <v>2312</v>
      </c>
      <c r="R105" s="67" t="s">
        <v>51</v>
      </c>
      <c r="S105" s="68">
        <f>2240.6</f>
        <v>2240.6</v>
      </c>
      <c r="T105" s="65">
        <f>75610</f>
        <v>75610</v>
      </c>
      <c r="U105" s="65">
        <f>180</f>
        <v>180</v>
      </c>
      <c r="V105" s="65">
        <f>170603100</f>
        <v>170603100</v>
      </c>
      <c r="W105" s="65">
        <f>398900</f>
        <v>398900</v>
      </c>
      <c r="X105" s="69">
        <f>20</f>
        <v>20</v>
      </c>
    </row>
    <row r="106" spans="1:24">
      <c r="A106" s="60" t="s">
        <v>864</v>
      </c>
      <c r="B106" s="60" t="s">
        <v>361</v>
      </c>
      <c r="C106" s="60" t="s">
        <v>362</v>
      </c>
      <c r="D106" s="60" t="s">
        <v>363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10</v>
      </c>
      <c r="K106" s="66">
        <f>1231</f>
        <v>1231</v>
      </c>
      <c r="L106" s="67" t="s">
        <v>814</v>
      </c>
      <c r="M106" s="66">
        <f>1378</f>
        <v>1378</v>
      </c>
      <c r="N106" s="67" t="s">
        <v>51</v>
      </c>
      <c r="O106" s="66">
        <f>1224</f>
        <v>1224</v>
      </c>
      <c r="P106" s="67" t="s">
        <v>814</v>
      </c>
      <c r="Q106" s="66">
        <f>1378</f>
        <v>1378</v>
      </c>
      <c r="R106" s="67" t="s">
        <v>51</v>
      </c>
      <c r="S106" s="68">
        <f>1290.65</f>
        <v>1290.6500000000001</v>
      </c>
      <c r="T106" s="65">
        <f>202610</f>
        <v>202610</v>
      </c>
      <c r="U106" s="65">
        <f>22010</f>
        <v>22010</v>
      </c>
      <c r="V106" s="65">
        <f>261680610</f>
        <v>261680610</v>
      </c>
      <c r="W106" s="65">
        <f>28534660</f>
        <v>28534660</v>
      </c>
      <c r="X106" s="69">
        <f>20</f>
        <v>20</v>
      </c>
    </row>
    <row r="107" spans="1:24">
      <c r="A107" s="60" t="s">
        <v>864</v>
      </c>
      <c r="B107" s="60" t="s">
        <v>364</v>
      </c>
      <c r="C107" s="60" t="s">
        <v>365</v>
      </c>
      <c r="D107" s="60" t="s">
        <v>366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34500</f>
        <v>34500</v>
      </c>
      <c r="L107" s="67" t="s">
        <v>814</v>
      </c>
      <c r="M107" s="66">
        <f>37500</f>
        <v>37500</v>
      </c>
      <c r="N107" s="67" t="s">
        <v>95</v>
      </c>
      <c r="O107" s="66">
        <f>34500</f>
        <v>34500</v>
      </c>
      <c r="P107" s="67" t="s">
        <v>814</v>
      </c>
      <c r="Q107" s="66">
        <f>37200</f>
        <v>37200</v>
      </c>
      <c r="R107" s="67" t="s">
        <v>51</v>
      </c>
      <c r="S107" s="68">
        <f>35860</f>
        <v>35860</v>
      </c>
      <c r="T107" s="65">
        <f>143015</f>
        <v>143015</v>
      </c>
      <c r="U107" s="65" t="str">
        <f>"－"</f>
        <v>－</v>
      </c>
      <c r="V107" s="65">
        <f>5152657300</f>
        <v>5152657300</v>
      </c>
      <c r="W107" s="65" t="str">
        <f>"－"</f>
        <v>－</v>
      </c>
      <c r="X107" s="69">
        <f>20</f>
        <v>20</v>
      </c>
    </row>
    <row r="108" spans="1:24">
      <c r="A108" s="60" t="s">
        <v>864</v>
      </c>
      <c r="B108" s="60" t="s">
        <v>367</v>
      </c>
      <c r="C108" s="60" t="s">
        <v>368</v>
      </c>
      <c r="D108" s="60" t="s">
        <v>369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2785</f>
        <v>2785</v>
      </c>
      <c r="L108" s="67" t="s">
        <v>814</v>
      </c>
      <c r="M108" s="66">
        <f>2891</f>
        <v>2891</v>
      </c>
      <c r="N108" s="67" t="s">
        <v>48</v>
      </c>
      <c r="O108" s="66">
        <f>2638</f>
        <v>2638</v>
      </c>
      <c r="P108" s="67" t="s">
        <v>175</v>
      </c>
      <c r="Q108" s="66">
        <f>2731</f>
        <v>2731</v>
      </c>
      <c r="R108" s="67" t="s">
        <v>51</v>
      </c>
      <c r="S108" s="68">
        <f>2739</f>
        <v>2739</v>
      </c>
      <c r="T108" s="65">
        <f>14862</f>
        <v>14862</v>
      </c>
      <c r="U108" s="65">
        <f>5</f>
        <v>5</v>
      </c>
      <c r="V108" s="65">
        <f>40670776</f>
        <v>40670776</v>
      </c>
      <c r="W108" s="65">
        <f>13685</f>
        <v>13685</v>
      </c>
      <c r="X108" s="69">
        <f>20</f>
        <v>20</v>
      </c>
    </row>
    <row r="109" spans="1:24">
      <c r="A109" s="60" t="s">
        <v>864</v>
      </c>
      <c r="B109" s="60" t="s">
        <v>370</v>
      </c>
      <c r="C109" s="60" t="s">
        <v>371</v>
      </c>
      <c r="D109" s="60" t="s">
        <v>372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4085</f>
        <v>4085</v>
      </c>
      <c r="L109" s="67" t="s">
        <v>814</v>
      </c>
      <c r="M109" s="66">
        <f>4085</f>
        <v>4085</v>
      </c>
      <c r="N109" s="67" t="s">
        <v>814</v>
      </c>
      <c r="O109" s="66">
        <f>3805</f>
        <v>3805</v>
      </c>
      <c r="P109" s="67" t="s">
        <v>51</v>
      </c>
      <c r="Q109" s="66">
        <f>3815</f>
        <v>3815</v>
      </c>
      <c r="R109" s="67" t="s">
        <v>51</v>
      </c>
      <c r="S109" s="68">
        <f>3891.25</f>
        <v>3891.25</v>
      </c>
      <c r="T109" s="65">
        <f>3290</f>
        <v>3290</v>
      </c>
      <c r="U109" s="65" t="str">
        <f>"－"</f>
        <v>－</v>
      </c>
      <c r="V109" s="65">
        <f>12818870</f>
        <v>12818870</v>
      </c>
      <c r="W109" s="65" t="str">
        <f>"－"</f>
        <v>－</v>
      </c>
      <c r="X109" s="69">
        <f>20</f>
        <v>20</v>
      </c>
    </row>
    <row r="110" spans="1:24">
      <c r="A110" s="60" t="s">
        <v>864</v>
      </c>
      <c r="B110" s="60" t="s">
        <v>373</v>
      </c>
      <c r="C110" s="60" t="s">
        <v>374</v>
      </c>
      <c r="D110" s="60" t="s">
        <v>375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2500</f>
        <v>2500</v>
      </c>
      <c r="L110" s="67" t="s">
        <v>814</v>
      </c>
      <c r="M110" s="66">
        <f>2860</f>
        <v>2860</v>
      </c>
      <c r="N110" s="67" t="s">
        <v>175</v>
      </c>
      <c r="O110" s="66">
        <f>2489</f>
        <v>2489</v>
      </c>
      <c r="P110" s="67" t="s">
        <v>814</v>
      </c>
      <c r="Q110" s="66">
        <f>2741</f>
        <v>2741</v>
      </c>
      <c r="R110" s="67" t="s">
        <v>51</v>
      </c>
      <c r="S110" s="68">
        <f>2701</f>
        <v>2701</v>
      </c>
      <c r="T110" s="65">
        <f>226027</f>
        <v>226027</v>
      </c>
      <c r="U110" s="65">
        <f>50</f>
        <v>50</v>
      </c>
      <c r="V110" s="65">
        <f>615835101</f>
        <v>615835101</v>
      </c>
      <c r="W110" s="65">
        <f>138004</f>
        <v>138004</v>
      </c>
      <c r="X110" s="69">
        <f>20</f>
        <v>20</v>
      </c>
    </row>
    <row r="111" spans="1:24">
      <c r="A111" s="60" t="s">
        <v>864</v>
      </c>
      <c r="B111" s="60" t="s">
        <v>376</v>
      </c>
      <c r="C111" s="60" t="s">
        <v>845</v>
      </c>
      <c r="D111" s="60" t="s">
        <v>378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f>44050</f>
        <v>44050</v>
      </c>
      <c r="L111" s="67" t="s">
        <v>814</v>
      </c>
      <c r="M111" s="66">
        <f>45600</f>
        <v>45600</v>
      </c>
      <c r="N111" s="67" t="s">
        <v>814</v>
      </c>
      <c r="O111" s="66">
        <f>43800</f>
        <v>43800</v>
      </c>
      <c r="P111" s="67" t="s">
        <v>822</v>
      </c>
      <c r="Q111" s="66">
        <f>44150</f>
        <v>44150</v>
      </c>
      <c r="R111" s="67" t="s">
        <v>51</v>
      </c>
      <c r="S111" s="68">
        <f>44117.5</f>
        <v>44117.5</v>
      </c>
      <c r="T111" s="65">
        <f>16606</f>
        <v>16606</v>
      </c>
      <c r="U111" s="65">
        <f>1821</f>
        <v>1821</v>
      </c>
      <c r="V111" s="65">
        <f>736665080</f>
        <v>736665080</v>
      </c>
      <c r="W111" s="65">
        <f>81007380</f>
        <v>81007380</v>
      </c>
      <c r="X111" s="69">
        <f>20</f>
        <v>20</v>
      </c>
    </row>
    <row r="112" spans="1:24">
      <c r="A112" s="60" t="s">
        <v>864</v>
      </c>
      <c r="B112" s="60" t="s">
        <v>379</v>
      </c>
      <c r="C112" s="60" t="s">
        <v>380</v>
      </c>
      <c r="D112" s="60" t="s">
        <v>381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f>1118</f>
        <v>1118</v>
      </c>
      <c r="L112" s="67" t="s">
        <v>814</v>
      </c>
      <c r="M112" s="66">
        <f>1196</f>
        <v>1196</v>
      </c>
      <c r="N112" s="67" t="s">
        <v>816</v>
      </c>
      <c r="O112" s="66">
        <f>1118</f>
        <v>1118</v>
      </c>
      <c r="P112" s="67" t="s">
        <v>814</v>
      </c>
      <c r="Q112" s="66">
        <f>1133</f>
        <v>1133</v>
      </c>
      <c r="R112" s="67" t="s">
        <v>95</v>
      </c>
      <c r="S112" s="68">
        <f>1131.8</f>
        <v>1131.8</v>
      </c>
      <c r="T112" s="65">
        <f>160</f>
        <v>160</v>
      </c>
      <c r="U112" s="65" t="str">
        <f>"－"</f>
        <v>－</v>
      </c>
      <c r="V112" s="65">
        <f>182150</f>
        <v>182150</v>
      </c>
      <c r="W112" s="65" t="str">
        <f>"－"</f>
        <v>－</v>
      </c>
      <c r="X112" s="69">
        <f>5</f>
        <v>5</v>
      </c>
    </row>
    <row r="113" spans="1:24">
      <c r="A113" s="60" t="s">
        <v>864</v>
      </c>
      <c r="B113" s="60" t="s">
        <v>382</v>
      </c>
      <c r="C113" s="60" t="s">
        <v>383</v>
      </c>
      <c r="D113" s="60" t="s">
        <v>384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14240</f>
        <v>14240</v>
      </c>
      <c r="L113" s="67" t="s">
        <v>814</v>
      </c>
      <c r="M113" s="66">
        <f>16670</f>
        <v>16670</v>
      </c>
      <c r="N113" s="67" t="s">
        <v>95</v>
      </c>
      <c r="O113" s="66">
        <f>14160</f>
        <v>14160</v>
      </c>
      <c r="P113" s="67" t="s">
        <v>814</v>
      </c>
      <c r="Q113" s="66">
        <f>16250</f>
        <v>16250</v>
      </c>
      <c r="R113" s="67" t="s">
        <v>51</v>
      </c>
      <c r="S113" s="68">
        <f>15839</f>
        <v>15839</v>
      </c>
      <c r="T113" s="65">
        <f>2838340</f>
        <v>2838340</v>
      </c>
      <c r="U113" s="65">
        <f>29010</f>
        <v>29010</v>
      </c>
      <c r="V113" s="65">
        <f>45059349389</f>
        <v>45059349389</v>
      </c>
      <c r="W113" s="65">
        <f>474092589</f>
        <v>474092589</v>
      </c>
      <c r="X113" s="69">
        <f>20</f>
        <v>20</v>
      </c>
    </row>
    <row r="114" spans="1:24">
      <c r="A114" s="60" t="s">
        <v>864</v>
      </c>
      <c r="B114" s="60" t="s">
        <v>385</v>
      </c>
      <c r="C114" s="60" t="s">
        <v>386</v>
      </c>
      <c r="D114" s="60" t="s">
        <v>387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f>3030</f>
        <v>3030</v>
      </c>
      <c r="L114" s="67" t="s">
        <v>814</v>
      </c>
      <c r="M114" s="66">
        <f>3035</f>
        <v>3035</v>
      </c>
      <c r="N114" s="67" t="s">
        <v>814</v>
      </c>
      <c r="O114" s="66">
        <f>2789</f>
        <v>2789</v>
      </c>
      <c r="P114" s="67" t="s">
        <v>95</v>
      </c>
      <c r="Q114" s="66">
        <f>2825</f>
        <v>2825</v>
      </c>
      <c r="R114" s="67" t="s">
        <v>51</v>
      </c>
      <c r="S114" s="68">
        <f>2864.85</f>
        <v>2864.85</v>
      </c>
      <c r="T114" s="65">
        <f>564330</f>
        <v>564330</v>
      </c>
      <c r="U114" s="65" t="str">
        <f>"－"</f>
        <v>－</v>
      </c>
      <c r="V114" s="65">
        <f>1614067830</f>
        <v>1614067830</v>
      </c>
      <c r="W114" s="65" t="str">
        <f>"－"</f>
        <v>－</v>
      </c>
      <c r="X114" s="69">
        <f>20</f>
        <v>20</v>
      </c>
    </row>
    <row r="115" spans="1:24">
      <c r="A115" s="60" t="s">
        <v>864</v>
      </c>
      <c r="B115" s="60" t="s">
        <v>388</v>
      </c>
      <c r="C115" s="60" t="s">
        <v>389</v>
      </c>
      <c r="D115" s="60" t="s">
        <v>390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18420</f>
        <v>18420</v>
      </c>
      <c r="L115" s="67" t="s">
        <v>814</v>
      </c>
      <c r="M115" s="66">
        <f>20890</f>
        <v>20890</v>
      </c>
      <c r="N115" s="67" t="s">
        <v>816</v>
      </c>
      <c r="O115" s="66">
        <f>18320</f>
        <v>18320</v>
      </c>
      <c r="P115" s="67" t="s">
        <v>814</v>
      </c>
      <c r="Q115" s="66">
        <f>20410</f>
        <v>20410</v>
      </c>
      <c r="R115" s="67" t="s">
        <v>51</v>
      </c>
      <c r="S115" s="68">
        <f>19973.5</f>
        <v>19973.5</v>
      </c>
      <c r="T115" s="65">
        <f>127903122</f>
        <v>127903122</v>
      </c>
      <c r="U115" s="65">
        <f>246856</f>
        <v>246856</v>
      </c>
      <c r="V115" s="65">
        <f>2557781668951</f>
        <v>2557781668951</v>
      </c>
      <c r="W115" s="65">
        <f>4992719821</f>
        <v>4992719821</v>
      </c>
      <c r="X115" s="69">
        <f>20</f>
        <v>20</v>
      </c>
    </row>
    <row r="116" spans="1:24">
      <c r="A116" s="60" t="s">
        <v>864</v>
      </c>
      <c r="B116" s="60" t="s">
        <v>391</v>
      </c>
      <c r="C116" s="60" t="s">
        <v>392</v>
      </c>
      <c r="D116" s="60" t="s">
        <v>393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</v>
      </c>
      <c r="K116" s="66">
        <f>1401</f>
        <v>1401</v>
      </c>
      <c r="L116" s="67" t="s">
        <v>814</v>
      </c>
      <c r="M116" s="66">
        <f>1404</f>
        <v>1404</v>
      </c>
      <c r="N116" s="67" t="s">
        <v>814</v>
      </c>
      <c r="O116" s="66">
        <f>1310</f>
        <v>1310</v>
      </c>
      <c r="P116" s="67" t="s">
        <v>816</v>
      </c>
      <c r="Q116" s="66">
        <f>1324</f>
        <v>1324</v>
      </c>
      <c r="R116" s="67" t="s">
        <v>51</v>
      </c>
      <c r="S116" s="68">
        <f>1341.55</f>
        <v>1341.55</v>
      </c>
      <c r="T116" s="65">
        <f>14865481</f>
        <v>14865481</v>
      </c>
      <c r="U116" s="65">
        <f>2644112</f>
        <v>2644112</v>
      </c>
      <c r="V116" s="65">
        <f>19998575769</f>
        <v>19998575769</v>
      </c>
      <c r="W116" s="65">
        <f>3497996930</f>
        <v>3497996930</v>
      </c>
      <c r="X116" s="69">
        <f>20</f>
        <v>20</v>
      </c>
    </row>
    <row r="117" spans="1:24">
      <c r="A117" s="60" t="s">
        <v>864</v>
      </c>
      <c r="B117" s="60" t="s">
        <v>394</v>
      </c>
      <c r="C117" s="60" t="s">
        <v>395</v>
      </c>
      <c r="D117" s="60" t="s">
        <v>396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9710</f>
        <v>9710</v>
      </c>
      <c r="L117" s="67" t="s">
        <v>814</v>
      </c>
      <c r="M117" s="66">
        <f>10630</f>
        <v>10630</v>
      </c>
      <c r="N117" s="67" t="s">
        <v>79</v>
      </c>
      <c r="O117" s="66">
        <f>9510</f>
        <v>9510</v>
      </c>
      <c r="P117" s="67" t="s">
        <v>100</v>
      </c>
      <c r="Q117" s="66">
        <f>10170</f>
        <v>10170</v>
      </c>
      <c r="R117" s="67" t="s">
        <v>51</v>
      </c>
      <c r="S117" s="68">
        <f>10096.5</f>
        <v>10096.5</v>
      </c>
      <c r="T117" s="65">
        <f>11050</f>
        <v>11050</v>
      </c>
      <c r="U117" s="65">
        <f>20</f>
        <v>20</v>
      </c>
      <c r="V117" s="65">
        <f>112093800</f>
        <v>112093800</v>
      </c>
      <c r="W117" s="65">
        <f>193400</f>
        <v>193400</v>
      </c>
      <c r="X117" s="69">
        <f>20</f>
        <v>20</v>
      </c>
    </row>
    <row r="118" spans="1:24">
      <c r="A118" s="60" t="s">
        <v>864</v>
      </c>
      <c r="B118" s="60" t="s">
        <v>397</v>
      </c>
      <c r="C118" s="60" t="s">
        <v>398</v>
      </c>
      <c r="D118" s="60" t="s">
        <v>399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f>7290</f>
        <v>7290</v>
      </c>
      <c r="L118" s="67" t="s">
        <v>814</v>
      </c>
      <c r="M118" s="66">
        <f>7340</f>
        <v>7340</v>
      </c>
      <c r="N118" s="67" t="s">
        <v>100</v>
      </c>
      <c r="O118" s="66">
        <f>7000</f>
        <v>7000</v>
      </c>
      <c r="P118" s="67" t="s">
        <v>819</v>
      </c>
      <c r="Q118" s="66">
        <f>7120</f>
        <v>7120</v>
      </c>
      <c r="R118" s="67" t="s">
        <v>51</v>
      </c>
      <c r="S118" s="68">
        <f>7187.5</f>
        <v>7187.5</v>
      </c>
      <c r="T118" s="65">
        <f>5500</f>
        <v>5500</v>
      </c>
      <c r="U118" s="65" t="str">
        <f>"－"</f>
        <v>－</v>
      </c>
      <c r="V118" s="65">
        <f>39641200</f>
        <v>39641200</v>
      </c>
      <c r="W118" s="65" t="str">
        <f>"－"</f>
        <v>－</v>
      </c>
      <c r="X118" s="69">
        <f>20</f>
        <v>20</v>
      </c>
    </row>
    <row r="119" spans="1:24">
      <c r="A119" s="60" t="s">
        <v>864</v>
      </c>
      <c r="B119" s="60" t="s">
        <v>400</v>
      </c>
      <c r="C119" s="60" t="s">
        <v>401</v>
      </c>
      <c r="D119" s="60" t="s">
        <v>402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1450</f>
        <v>1450</v>
      </c>
      <c r="L119" s="67" t="s">
        <v>815</v>
      </c>
      <c r="M119" s="66">
        <f>1500</f>
        <v>1500</v>
      </c>
      <c r="N119" s="67" t="s">
        <v>816</v>
      </c>
      <c r="O119" s="66">
        <f>1450</f>
        <v>1450</v>
      </c>
      <c r="P119" s="67" t="s">
        <v>815</v>
      </c>
      <c r="Q119" s="66">
        <f>1491</f>
        <v>1491</v>
      </c>
      <c r="R119" s="67" t="s">
        <v>51</v>
      </c>
      <c r="S119" s="68">
        <f>1482.4</f>
        <v>1482.4</v>
      </c>
      <c r="T119" s="65">
        <f>150</f>
        <v>150</v>
      </c>
      <c r="U119" s="65" t="str">
        <f>"－"</f>
        <v>－</v>
      </c>
      <c r="V119" s="65">
        <f>224030</f>
        <v>224030</v>
      </c>
      <c r="W119" s="65" t="str">
        <f>"－"</f>
        <v>－</v>
      </c>
      <c r="X119" s="69">
        <f>5</f>
        <v>5</v>
      </c>
    </row>
    <row r="120" spans="1:24">
      <c r="A120" s="60" t="s">
        <v>864</v>
      </c>
      <c r="B120" s="60" t="s">
        <v>403</v>
      </c>
      <c r="C120" s="60" t="s">
        <v>404</v>
      </c>
      <c r="D120" s="60" t="s">
        <v>405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f>670</f>
        <v>670</v>
      </c>
      <c r="L120" s="67" t="s">
        <v>814</v>
      </c>
      <c r="M120" s="66">
        <f>730</f>
        <v>730</v>
      </c>
      <c r="N120" s="67" t="s">
        <v>822</v>
      </c>
      <c r="O120" s="66">
        <f>650</f>
        <v>650</v>
      </c>
      <c r="P120" s="67" t="s">
        <v>814</v>
      </c>
      <c r="Q120" s="66">
        <f>724</f>
        <v>724</v>
      </c>
      <c r="R120" s="67" t="s">
        <v>51</v>
      </c>
      <c r="S120" s="68">
        <f>696.15</f>
        <v>696.15</v>
      </c>
      <c r="T120" s="65">
        <f>9810</f>
        <v>9810</v>
      </c>
      <c r="U120" s="65" t="str">
        <f>"－"</f>
        <v>－</v>
      </c>
      <c r="V120" s="65">
        <f>6775510</f>
        <v>6775510</v>
      </c>
      <c r="W120" s="65" t="str">
        <f>"－"</f>
        <v>－</v>
      </c>
      <c r="X120" s="69">
        <f>20</f>
        <v>20</v>
      </c>
    </row>
    <row r="121" spans="1:24">
      <c r="A121" s="60" t="s">
        <v>864</v>
      </c>
      <c r="B121" s="60" t="s">
        <v>406</v>
      </c>
      <c r="C121" s="60" t="s">
        <v>407</v>
      </c>
      <c r="D121" s="60" t="s">
        <v>408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10</v>
      </c>
      <c r="K121" s="66">
        <f>645</f>
        <v>645</v>
      </c>
      <c r="L121" s="67" t="s">
        <v>814</v>
      </c>
      <c r="M121" s="66">
        <f>849</f>
        <v>849</v>
      </c>
      <c r="N121" s="67" t="s">
        <v>822</v>
      </c>
      <c r="O121" s="66">
        <f>641</f>
        <v>641</v>
      </c>
      <c r="P121" s="67" t="s">
        <v>814</v>
      </c>
      <c r="Q121" s="66">
        <f>690</f>
        <v>690</v>
      </c>
      <c r="R121" s="67" t="s">
        <v>51</v>
      </c>
      <c r="S121" s="68">
        <f>684</f>
        <v>684</v>
      </c>
      <c r="T121" s="65">
        <f>15510</f>
        <v>15510</v>
      </c>
      <c r="U121" s="65" t="str">
        <f>"－"</f>
        <v>－</v>
      </c>
      <c r="V121" s="65">
        <f>10858340</f>
        <v>10858340</v>
      </c>
      <c r="W121" s="65" t="str">
        <f>"－"</f>
        <v>－</v>
      </c>
      <c r="X121" s="69">
        <f>17</f>
        <v>17</v>
      </c>
    </row>
    <row r="122" spans="1:24">
      <c r="A122" s="60" t="s">
        <v>864</v>
      </c>
      <c r="B122" s="60" t="s">
        <v>409</v>
      </c>
      <c r="C122" s="60" t="s">
        <v>410</v>
      </c>
      <c r="D122" s="60" t="s">
        <v>411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</v>
      </c>
      <c r="K122" s="66">
        <f>17070</f>
        <v>17070</v>
      </c>
      <c r="L122" s="67" t="s">
        <v>814</v>
      </c>
      <c r="M122" s="66">
        <f>18980</f>
        <v>18980</v>
      </c>
      <c r="N122" s="67" t="s">
        <v>95</v>
      </c>
      <c r="O122" s="66">
        <f>17010</f>
        <v>17010</v>
      </c>
      <c r="P122" s="67" t="s">
        <v>814</v>
      </c>
      <c r="Q122" s="66">
        <f>18750</f>
        <v>18750</v>
      </c>
      <c r="R122" s="67" t="s">
        <v>51</v>
      </c>
      <c r="S122" s="68">
        <f>18302.5</f>
        <v>18302.5</v>
      </c>
      <c r="T122" s="65">
        <f>47858</f>
        <v>47858</v>
      </c>
      <c r="U122" s="65">
        <f>2</f>
        <v>2</v>
      </c>
      <c r="V122" s="65">
        <f>876217780</f>
        <v>876217780</v>
      </c>
      <c r="W122" s="65">
        <f>37500</f>
        <v>37500</v>
      </c>
      <c r="X122" s="69">
        <f>20</f>
        <v>20</v>
      </c>
    </row>
    <row r="123" spans="1:24">
      <c r="A123" s="60" t="s">
        <v>864</v>
      </c>
      <c r="B123" s="60" t="s">
        <v>412</v>
      </c>
      <c r="C123" s="60" t="s">
        <v>413</v>
      </c>
      <c r="D123" s="60" t="s">
        <v>414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f>1749</f>
        <v>1749</v>
      </c>
      <c r="L123" s="67" t="s">
        <v>814</v>
      </c>
      <c r="M123" s="66">
        <f>1865</f>
        <v>1865</v>
      </c>
      <c r="N123" s="67" t="s">
        <v>816</v>
      </c>
      <c r="O123" s="66">
        <f>1748</f>
        <v>1748</v>
      </c>
      <c r="P123" s="67" t="s">
        <v>814</v>
      </c>
      <c r="Q123" s="66">
        <f>1839</f>
        <v>1839</v>
      </c>
      <c r="R123" s="67" t="s">
        <v>51</v>
      </c>
      <c r="S123" s="68">
        <f>1823.35</f>
        <v>1823.35</v>
      </c>
      <c r="T123" s="65">
        <f>36537</f>
        <v>36537</v>
      </c>
      <c r="U123" s="65" t="str">
        <f>"－"</f>
        <v>－</v>
      </c>
      <c r="V123" s="65">
        <f>66992152</f>
        <v>66992152</v>
      </c>
      <c r="W123" s="65" t="str">
        <f>"－"</f>
        <v>－</v>
      </c>
      <c r="X123" s="69">
        <f>20</f>
        <v>20</v>
      </c>
    </row>
    <row r="124" spans="1:24">
      <c r="A124" s="60" t="s">
        <v>864</v>
      </c>
      <c r="B124" s="60" t="s">
        <v>415</v>
      </c>
      <c r="C124" s="60" t="s">
        <v>416</v>
      </c>
      <c r="D124" s="60" t="s">
        <v>417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f>19610</f>
        <v>19610</v>
      </c>
      <c r="L124" s="67" t="s">
        <v>814</v>
      </c>
      <c r="M124" s="66">
        <f>22250</f>
        <v>22250</v>
      </c>
      <c r="N124" s="67" t="s">
        <v>816</v>
      </c>
      <c r="O124" s="66">
        <f>19510</f>
        <v>19510</v>
      </c>
      <c r="P124" s="67" t="s">
        <v>814</v>
      </c>
      <c r="Q124" s="66">
        <f>21760</f>
        <v>21760</v>
      </c>
      <c r="R124" s="67" t="s">
        <v>51</v>
      </c>
      <c r="S124" s="68">
        <f>21280.5</f>
        <v>21280.5</v>
      </c>
      <c r="T124" s="65">
        <f>9563020</f>
        <v>9563020</v>
      </c>
      <c r="U124" s="65">
        <f>12430</f>
        <v>12430</v>
      </c>
      <c r="V124" s="65">
        <f>203330424637</f>
        <v>203330424637</v>
      </c>
      <c r="W124" s="65">
        <f>266158637</f>
        <v>266158637</v>
      </c>
      <c r="X124" s="69">
        <f>20</f>
        <v>20</v>
      </c>
    </row>
    <row r="125" spans="1:24">
      <c r="A125" s="60" t="s">
        <v>864</v>
      </c>
      <c r="B125" s="60" t="s">
        <v>418</v>
      </c>
      <c r="C125" s="60" t="s">
        <v>419</v>
      </c>
      <c r="D125" s="60" t="s">
        <v>420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3735</f>
        <v>3735</v>
      </c>
      <c r="L125" s="67" t="s">
        <v>814</v>
      </c>
      <c r="M125" s="66">
        <f>3740</f>
        <v>3740</v>
      </c>
      <c r="N125" s="67" t="s">
        <v>814</v>
      </c>
      <c r="O125" s="66">
        <f>3495</f>
        <v>3495</v>
      </c>
      <c r="P125" s="67" t="s">
        <v>816</v>
      </c>
      <c r="Q125" s="66">
        <f>3530</f>
        <v>3530</v>
      </c>
      <c r="R125" s="67" t="s">
        <v>51</v>
      </c>
      <c r="S125" s="68">
        <f>3575.75</f>
        <v>3575.75</v>
      </c>
      <c r="T125" s="65">
        <f>1310240</f>
        <v>1310240</v>
      </c>
      <c r="U125" s="65">
        <f>28080</f>
        <v>28080</v>
      </c>
      <c r="V125" s="65">
        <f>4716922863</f>
        <v>4716922863</v>
      </c>
      <c r="W125" s="65">
        <f>98371113</f>
        <v>98371113</v>
      </c>
      <c r="X125" s="69">
        <f>20</f>
        <v>20</v>
      </c>
    </row>
    <row r="126" spans="1:24">
      <c r="A126" s="60" t="s">
        <v>864</v>
      </c>
      <c r="B126" s="60" t="s">
        <v>421</v>
      </c>
      <c r="C126" s="60" t="s">
        <v>422</v>
      </c>
      <c r="D126" s="60" t="s">
        <v>423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f>650</f>
        <v>650</v>
      </c>
      <c r="L126" s="67" t="s">
        <v>817</v>
      </c>
      <c r="M126" s="66">
        <f>725</f>
        <v>725</v>
      </c>
      <c r="N126" s="67" t="s">
        <v>820</v>
      </c>
      <c r="O126" s="66">
        <f>650</f>
        <v>650</v>
      </c>
      <c r="P126" s="67" t="s">
        <v>817</v>
      </c>
      <c r="Q126" s="66">
        <f>695</f>
        <v>695</v>
      </c>
      <c r="R126" s="67" t="s">
        <v>49</v>
      </c>
      <c r="S126" s="68">
        <f>698.8</f>
        <v>698.8</v>
      </c>
      <c r="T126" s="65">
        <f>3190</f>
        <v>3190</v>
      </c>
      <c r="U126" s="65" t="str">
        <f>"－"</f>
        <v>－</v>
      </c>
      <c r="V126" s="65">
        <f>2209130</f>
        <v>2209130</v>
      </c>
      <c r="W126" s="65" t="str">
        <f>"－"</f>
        <v>－</v>
      </c>
      <c r="X126" s="69">
        <f>10</f>
        <v>10</v>
      </c>
    </row>
    <row r="127" spans="1:24">
      <c r="A127" s="60" t="s">
        <v>864</v>
      </c>
      <c r="B127" s="60" t="s">
        <v>424</v>
      </c>
      <c r="C127" s="60" t="s">
        <v>425</v>
      </c>
      <c r="D127" s="60" t="s">
        <v>841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f>1205</f>
        <v>1205</v>
      </c>
      <c r="L127" s="67" t="s">
        <v>814</v>
      </c>
      <c r="M127" s="66">
        <f>1292</f>
        <v>1292</v>
      </c>
      <c r="N127" s="67" t="s">
        <v>816</v>
      </c>
      <c r="O127" s="66">
        <f>1198</f>
        <v>1198</v>
      </c>
      <c r="P127" s="67" t="s">
        <v>814</v>
      </c>
      <c r="Q127" s="66">
        <f>1266</f>
        <v>1266</v>
      </c>
      <c r="R127" s="67" t="s">
        <v>51</v>
      </c>
      <c r="S127" s="68">
        <f>1261.88</f>
        <v>1261.8800000000001</v>
      </c>
      <c r="T127" s="65">
        <f>6200</f>
        <v>6200</v>
      </c>
      <c r="U127" s="65" t="str">
        <f>"－"</f>
        <v>－</v>
      </c>
      <c r="V127" s="65">
        <f>7858650</f>
        <v>7858650</v>
      </c>
      <c r="W127" s="65" t="str">
        <f>"－"</f>
        <v>－</v>
      </c>
      <c r="X127" s="69">
        <f>17</f>
        <v>17</v>
      </c>
    </row>
    <row r="128" spans="1:24">
      <c r="A128" s="60" t="s">
        <v>864</v>
      </c>
      <c r="B128" s="60" t="s">
        <v>427</v>
      </c>
      <c r="C128" s="60" t="s">
        <v>428</v>
      </c>
      <c r="D128" s="60" t="s">
        <v>429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f>1404</f>
        <v>1404</v>
      </c>
      <c r="L128" s="67" t="s">
        <v>818</v>
      </c>
      <c r="M128" s="66">
        <f>1440</f>
        <v>1440</v>
      </c>
      <c r="N128" s="67" t="s">
        <v>822</v>
      </c>
      <c r="O128" s="66">
        <f>1375</f>
        <v>1375</v>
      </c>
      <c r="P128" s="67" t="s">
        <v>815</v>
      </c>
      <c r="Q128" s="66">
        <f>1401</f>
        <v>1401</v>
      </c>
      <c r="R128" s="67" t="s">
        <v>95</v>
      </c>
      <c r="S128" s="68">
        <f>1410.42</f>
        <v>1410.42</v>
      </c>
      <c r="T128" s="65">
        <f>91</f>
        <v>91</v>
      </c>
      <c r="U128" s="65" t="str">
        <f>"－"</f>
        <v>－</v>
      </c>
      <c r="V128" s="65">
        <f>128056</f>
        <v>128056</v>
      </c>
      <c r="W128" s="65" t="str">
        <f>"－"</f>
        <v>－</v>
      </c>
      <c r="X128" s="69">
        <f>12</f>
        <v>12</v>
      </c>
    </row>
    <row r="129" spans="1:24">
      <c r="A129" s="60" t="s">
        <v>864</v>
      </c>
      <c r="B129" s="60" t="s">
        <v>430</v>
      </c>
      <c r="C129" s="60" t="s">
        <v>431</v>
      </c>
      <c r="D129" s="60" t="s">
        <v>432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13760</f>
        <v>13760</v>
      </c>
      <c r="L129" s="67" t="s">
        <v>814</v>
      </c>
      <c r="M129" s="66">
        <f>14810</f>
        <v>14810</v>
      </c>
      <c r="N129" s="67" t="s">
        <v>95</v>
      </c>
      <c r="O129" s="66">
        <f>13650</f>
        <v>13650</v>
      </c>
      <c r="P129" s="67" t="s">
        <v>814</v>
      </c>
      <c r="Q129" s="66">
        <f>14610</f>
        <v>14610</v>
      </c>
      <c r="R129" s="67" t="s">
        <v>51</v>
      </c>
      <c r="S129" s="68">
        <f>14416.5</f>
        <v>14416.5</v>
      </c>
      <c r="T129" s="65">
        <f>148326</f>
        <v>148326</v>
      </c>
      <c r="U129" s="65">
        <f>79</f>
        <v>79</v>
      </c>
      <c r="V129" s="65">
        <f>2168031220</f>
        <v>2168031220</v>
      </c>
      <c r="W129" s="65">
        <f>1114020</f>
        <v>1114020</v>
      </c>
      <c r="X129" s="69">
        <f>20</f>
        <v>20</v>
      </c>
    </row>
    <row r="130" spans="1:24">
      <c r="A130" s="60" t="s">
        <v>864</v>
      </c>
      <c r="B130" s="60" t="s">
        <v>433</v>
      </c>
      <c r="C130" s="60" t="s">
        <v>434</v>
      </c>
      <c r="D130" s="60" t="s">
        <v>435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</v>
      </c>
      <c r="K130" s="66">
        <f>1246</f>
        <v>1246</v>
      </c>
      <c r="L130" s="67" t="s">
        <v>814</v>
      </c>
      <c r="M130" s="66">
        <f>1350</f>
        <v>1350</v>
      </c>
      <c r="N130" s="67" t="s">
        <v>51</v>
      </c>
      <c r="O130" s="66">
        <f>1242</f>
        <v>1242</v>
      </c>
      <c r="P130" s="67" t="s">
        <v>814</v>
      </c>
      <c r="Q130" s="66">
        <f>1333</f>
        <v>1333</v>
      </c>
      <c r="R130" s="67" t="s">
        <v>51</v>
      </c>
      <c r="S130" s="68">
        <f>1314.75</f>
        <v>1314.75</v>
      </c>
      <c r="T130" s="65">
        <f>403418</f>
        <v>403418</v>
      </c>
      <c r="U130" s="65" t="str">
        <f>"－"</f>
        <v>－</v>
      </c>
      <c r="V130" s="65">
        <f>536242314</f>
        <v>536242314</v>
      </c>
      <c r="W130" s="65" t="str">
        <f>"－"</f>
        <v>－</v>
      </c>
      <c r="X130" s="69">
        <f>20</f>
        <v>20</v>
      </c>
    </row>
    <row r="131" spans="1:24">
      <c r="A131" s="60" t="s">
        <v>864</v>
      </c>
      <c r="B131" s="60" t="s">
        <v>436</v>
      </c>
      <c r="C131" s="60" t="s">
        <v>437</v>
      </c>
      <c r="D131" s="60" t="s">
        <v>438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f>13930</f>
        <v>13930</v>
      </c>
      <c r="L131" s="67" t="s">
        <v>814</v>
      </c>
      <c r="M131" s="66">
        <f>15090</f>
        <v>15090</v>
      </c>
      <c r="N131" s="67" t="s">
        <v>95</v>
      </c>
      <c r="O131" s="66">
        <f>13910</f>
        <v>13910</v>
      </c>
      <c r="P131" s="67" t="s">
        <v>814</v>
      </c>
      <c r="Q131" s="66">
        <f>14920</f>
        <v>14920</v>
      </c>
      <c r="R131" s="67" t="s">
        <v>51</v>
      </c>
      <c r="S131" s="68">
        <f>14673.5</f>
        <v>14673.5</v>
      </c>
      <c r="T131" s="65">
        <f>26532</f>
        <v>26532</v>
      </c>
      <c r="U131" s="65">
        <f>7057</f>
        <v>7057</v>
      </c>
      <c r="V131" s="65">
        <f>394151970</f>
        <v>394151970</v>
      </c>
      <c r="W131" s="65">
        <f>105323070</f>
        <v>105323070</v>
      </c>
      <c r="X131" s="69">
        <f>20</f>
        <v>20</v>
      </c>
    </row>
    <row r="132" spans="1:24">
      <c r="A132" s="60" t="s">
        <v>864</v>
      </c>
      <c r="B132" s="60" t="s">
        <v>439</v>
      </c>
      <c r="C132" s="60" t="s">
        <v>440</v>
      </c>
      <c r="D132" s="60" t="s">
        <v>441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f>1693</f>
        <v>1693</v>
      </c>
      <c r="L132" s="67" t="s">
        <v>814</v>
      </c>
      <c r="M132" s="66">
        <f>1800</f>
        <v>1800</v>
      </c>
      <c r="N132" s="67" t="s">
        <v>51</v>
      </c>
      <c r="O132" s="66">
        <f>1690</f>
        <v>1690</v>
      </c>
      <c r="P132" s="67" t="s">
        <v>814</v>
      </c>
      <c r="Q132" s="66">
        <f>1783</f>
        <v>1783</v>
      </c>
      <c r="R132" s="67" t="s">
        <v>51</v>
      </c>
      <c r="S132" s="68">
        <f>1730.4</f>
        <v>1730.4</v>
      </c>
      <c r="T132" s="65">
        <f>1463730</f>
        <v>1463730</v>
      </c>
      <c r="U132" s="65">
        <f>505000</f>
        <v>505000</v>
      </c>
      <c r="V132" s="65">
        <f>2533301310</f>
        <v>2533301310</v>
      </c>
      <c r="W132" s="65">
        <f>868968650</f>
        <v>868968650</v>
      </c>
      <c r="X132" s="69">
        <f>20</f>
        <v>20</v>
      </c>
    </row>
    <row r="133" spans="1:24">
      <c r="A133" s="60" t="s">
        <v>864</v>
      </c>
      <c r="B133" s="60" t="s">
        <v>442</v>
      </c>
      <c r="C133" s="60" t="s">
        <v>443</v>
      </c>
      <c r="D133" s="60" t="s">
        <v>444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10</v>
      </c>
      <c r="K133" s="66">
        <f>1363</f>
        <v>1363</v>
      </c>
      <c r="L133" s="67" t="s">
        <v>818</v>
      </c>
      <c r="M133" s="66">
        <f>1435</f>
        <v>1435</v>
      </c>
      <c r="N133" s="67" t="s">
        <v>51</v>
      </c>
      <c r="O133" s="66">
        <f>1363</f>
        <v>1363</v>
      </c>
      <c r="P133" s="67" t="s">
        <v>818</v>
      </c>
      <c r="Q133" s="66">
        <f>1435</f>
        <v>1435</v>
      </c>
      <c r="R133" s="67" t="s">
        <v>51</v>
      </c>
      <c r="S133" s="68">
        <f>1405</f>
        <v>1405</v>
      </c>
      <c r="T133" s="65">
        <f>450</f>
        <v>450</v>
      </c>
      <c r="U133" s="65" t="str">
        <f>"－"</f>
        <v>－</v>
      </c>
      <c r="V133" s="65">
        <f>629730</f>
        <v>629730</v>
      </c>
      <c r="W133" s="65" t="str">
        <f>"－"</f>
        <v>－</v>
      </c>
      <c r="X133" s="69">
        <f>8</f>
        <v>8</v>
      </c>
    </row>
    <row r="134" spans="1:24">
      <c r="A134" s="60" t="s">
        <v>864</v>
      </c>
      <c r="B134" s="60" t="s">
        <v>445</v>
      </c>
      <c r="C134" s="60" t="s">
        <v>446</v>
      </c>
      <c r="D134" s="60" t="s">
        <v>447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10</v>
      </c>
      <c r="K134" s="66">
        <f>1704</f>
        <v>1704</v>
      </c>
      <c r="L134" s="67" t="s">
        <v>814</v>
      </c>
      <c r="M134" s="66">
        <f>1818</f>
        <v>1818</v>
      </c>
      <c r="N134" s="67" t="s">
        <v>51</v>
      </c>
      <c r="O134" s="66">
        <f>1703</f>
        <v>1703</v>
      </c>
      <c r="P134" s="67" t="s">
        <v>814</v>
      </c>
      <c r="Q134" s="66">
        <f>1800</f>
        <v>1800</v>
      </c>
      <c r="R134" s="67" t="s">
        <v>51</v>
      </c>
      <c r="S134" s="68">
        <f>1748.65</f>
        <v>1748.65</v>
      </c>
      <c r="T134" s="65">
        <f>1228780</f>
        <v>1228780</v>
      </c>
      <c r="U134" s="65">
        <f>484870</f>
        <v>484870</v>
      </c>
      <c r="V134" s="65">
        <f>2128943756</f>
        <v>2128943756</v>
      </c>
      <c r="W134" s="65">
        <f>841344846</f>
        <v>841344846</v>
      </c>
      <c r="X134" s="69">
        <f>20</f>
        <v>20</v>
      </c>
    </row>
    <row r="135" spans="1:24">
      <c r="A135" s="60" t="s">
        <v>864</v>
      </c>
      <c r="B135" s="60" t="s">
        <v>448</v>
      </c>
      <c r="C135" s="60" t="s">
        <v>449</v>
      </c>
      <c r="D135" s="60" t="s">
        <v>450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</v>
      </c>
      <c r="K135" s="66">
        <f>15700</f>
        <v>15700</v>
      </c>
      <c r="L135" s="67" t="s">
        <v>834</v>
      </c>
      <c r="M135" s="66">
        <f>16100</f>
        <v>16100</v>
      </c>
      <c r="N135" s="67" t="s">
        <v>820</v>
      </c>
      <c r="O135" s="66">
        <f>15700</f>
        <v>15700</v>
      </c>
      <c r="P135" s="67" t="s">
        <v>834</v>
      </c>
      <c r="Q135" s="66">
        <f>16100</f>
        <v>16100</v>
      </c>
      <c r="R135" s="67" t="s">
        <v>820</v>
      </c>
      <c r="S135" s="68">
        <f>15900</f>
        <v>15900</v>
      </c>
      <c r="T135" s="65">
        <f>2</f>
        <v>2</v>
      </c>
      <c r="U135" s="65" t="str">
        <f>"－"</f>
        <v>－</v>
      </c>
      <c r="V135" s="65">
        <f>31800</f>
        <v>31800</v>
      </c>
      <c r="W135" s="65" t="str">
        <f>"－"</f>
        <v>－</v>
      </c>
      <c r="X135" s="69">
        <f>2</f>
        <v>2</v>
      </c>
    </row>
    <row r="136" spans="1:24">
      <c r="A136" s="60" t="s">
        <v>864</v>
      </c>
      <c r="B136" s="60" t="s">
        <v>451</v>
      </c>
      <c r="C136" s="60" t="s">
        <v>452</v>
      </c>
      <c r="D136" s="60" t="s">
        <v>453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13870</f>
        <v>13870</v>
      </c>
      <c r="L136" s="67" t="s">
        <v>814</v>
      </c>
      <c r="M136" s="66">
        <f>14950</f>
        <v>14950</v>
      </c>
      <c r="N136" s="67" t="s">
        <v>51</v>
      </c>
      <c r="O136" s="66">
        <f>13830</f>
        <v>13830</v>
      </c>
      <c r="P136" s="67" t="s">
        <v>818</v>
      </c>
      <c r="Q136" s="66">
        <f>14800</f>
        <v>14800</v>
      </c>
      <c r="R136" s="67" t="s">
        <v>51</v>
      </c>
      <c r="S136" s="68">
        <f>14538</f>
        <v>14538</v>
      </c>
      <c r="T136" s="65">
        <f>3094</f>
        <v>3094</v>
      </c>
      <c r="U136" s="65" t="str">
        <f>"－"</f>
        <v>－</v>
      </c>
      <c r="V136" s="65">
        <f>45742140</f>
        <v>45742140</v>
      </c>
      <c r="W136" s="65" t="str">
        <f>"－"</f>
        <v>－</v>
      </c>
      <c r="X136" s="69">
        <f>20</f>
        <v>20</v>
      </c>
    </row>
    <row r="137" spans="1:24">
      <c r="A137" s="60" t="s">
        <v>864</v>
      </c>
      <c r="B137" s="60" t="s">
        <v>457</v>
      </c>
      <c r="C137" s="60" t="s">
        <v>458</v>
      </c>
      <c r="D137" s="60" t="s">
        <v>459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100</v>
      </c>
      <c r="K137" s="66">
        <f>111</f>
        <v>111</v>
      </c>
      <c r="L137" s="67" t="s">
        <v>814</v>
      </c>
      <c r="M137" s="66">
        <f>127</f>
        <v>127</v>
      </c>
      <c r="N137" s="67" t="s">
        <v>815</v>
      </c>
      <c r="O137" s="66">
        <f>111</f>
        <v>111</v>
      </c>
      <c r="P137" s="67" t="s">
        <v>814</v>
      </c>
      <c r="Q137" s="66">
        <f>123</f>
        <v>123</v>
      </c>
      <c r="R137" s="67" t="s">
        <v>51</v>
      </c>
      <c r="S137" s="68">
        <f>119.25</f>
        <v>119.25</v>
      </c>
      <c r="T137" s="65">
        <f>63198900</f>
        <v>63198900</v>
      </c>
      <c r="U137" s="65">
        <f>250700</f>
        <v>250700</v>
      </c>
      <c r="V137" s="65">
        <f>7657046650</f>
        <v>7657046650</v>
      </c>
      <c r="W137" s="65">
        <f>30882150</f>
        <v>30882150</v>
      </c>
      <c r="X137" s="69">
        <f>20</f>
        <v>20</v>
      </c>
    </row>
    <row r="138" spans="1:24">
      <c r="A138" s="60" t="s">
        <v>864</v>
      </c>
      <c r="B138" s="60" t="s">
        <v>460</v>
      </c>
      <c r="C138" s="60" t="s">
        <v>461</v>
      </c>
      <c r="D138" s="60" t="s">
        <v>462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</v>
      </c>
      <c r="K138" s="66">
        <f>25270</f>
        <v>25270</v>
      </c>
      <c r="L138" s="67" t="s">
        <v>814</v>
      </c>
      <c r="M138" s="66">
        <f>26640</f>
        <v>26640</v>
      </c>
      <c r="N138" s="67" t="s">
        <v>816</v>
      </c>
      <c r="O138" s="66">
        <f>25270</f>
        <v>25270</v>
      </c>
      <c r="P138" s="67" t="s">
        <v>814</v>
      </c>
      <c r="Q138" s="66">
        <f>26550</f>
        <v>26550</v>
      </c>
      <c r="R138" s="67" t="s">
        <v>51</v>
      </c>
      <c r="S138" s="68">
        <f>26283.16</f>
        <v>26283.16</v>
      </c>
      <c r="T138" s="65">
        <f>474</f>
        <v>474</v>
      </c>
      <c r="U138" s="65" t="str">
        <f>"－"</f>
        <v>－</v>
      </c>
      <c r="V138" s="65">
        <f>12431410</f>
        <v>12431410</v>
      </c>
      <c r="W138" s="65" t="str">
        <f>"－"</f>
        <v>－</v>
      </c>
      <c r="X138" s="69">
        <f>19</f>
        <v>19</v>
      </c>
    </row>
    <row r="139" spans="1:24">
      <c r="A139" s="60" t="s">
        <v>864</v>
      </c>
      <c r="B139" s="60" t="s">
        <v>463</v>
      </c>
      <c r="C139" s="60" t="s">
        <v>464</v>
      </c>
      <c r="D139" s="60" t="s">
        <v>465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7580</f>
        <v>7580</v>
      </c>
      <c r="L139" s="67" t="s">
        <v>814</v>
      </c>
      <c r="M139" s="66">
        <f>8620</f>
        <v>8620</v>
      </c>
      <c r="N139" s="67" t="s">
        <v>820</v>
      </c>
      <c r="O139" s="66">
        <f>7580</f>
        <v>7580</v>
      </c>
      <c r="P139" s="67" t="s">
        <v>814</v>
      </c>
      <c r="Q139" s="66">
        <f>8410</f>
        <v>8410</v>
      </c>
      <c r="R139" s="67" t="s">
        <v>51</v>
      </c>
      <c r="S139" s="68">
        <f>8244</f>
        <v>8244</v>
      </c>
      <c r="T139" s="65">
        <f>10634</f>
        <v>10634</v>
      </c>
      <c r="U139" s="65" t="str">
        <f>"－"</f>
        <v>－</v>
      </c>
      <c r="V139" s="65">
        <f>87146960</f>
        <v>87146960</v>
      </c>
      <c r="W139" s="65" t="str">
        <f>"－"</f>
        <v>－</v>
      </c>
      <c r="X139" s="69">
        <f>20</f>
        <v>20</v>
      </c>
    </row>
    <row r="140" spans="1:24">
      <c r="A140" s="60" t="s">
        <v>864</v>
      </c>
      <c r="B140" s="60" t="s">
        <v>466</v>
      </c>
      <c r="C140" s="60" t="s">
        <v>467</v>
      </c>
      <c r="D140" s="60" t="s">
        <v>468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17010</f>
        <v>17010</v>
      </c>
      <c r="L140" s="67" t="s">
        <v>814</v>
      </c>
      <c r="M140" s="66">
        <f>18760</f>
        <v>18760</v>
      </c>
      <c r="N140" s="67" t="s">
        <v>51</v>
      </c>
      <c r="O140" s="66">
        <f>17010</f>
        <v>17010</v>
      </c>
      <c r="P140" s="67" t="s">
        <v>814</v>
      </c>
      <c r="Q140" s="66">
        <f>18550</f>
        <v>18550</v>
      </c>
      <c r="R140" s="67" t="s">
        <v>51</v>
      </c>
      <c r="S140" s="68">
        <f>18088.5</f>
        <v>18088.5</v>
      </c>
      <c r="T140" s="65">
        <f>2590</f>
        <v>2590</v>
      </c>
      <c r="U140" s="65">
        <f>1</f>
        <v>1</v>
      </c>
      <c r="V140" s="65">
        <f>47449660</f>
        <v>47449660</v>
      </c>
      <c r="W140" s="65">
        <f>18210</f>
        <v>18210</v>
      </c>
      <c r="X140" s="69">
        <f>20</f>
        <v>20</v>
      </c>
    </row>
    <row r="141" spans="1:24">
      <c r="A141" s="60" t="s">
        <v>864</v>
      </c>
      <c r="B141" s="60" t="s">
        <v>469</v>
      </c>
      <c r="C141" s="60" t="s">
        <v>470</v>
      </c>
      <c r="D141" s="60" t="s">
        <v>471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21880</f>
        <v>21880</v>
      </c>
      <c r="L141" s="67" t="s">
        <v>818</v>
      </c>
      <c r="M141" s="66">
        <f>23100</f>
        <v>23100</v>
      </c>
      <c r="N141" s="67" t="s">
        <v>51</v>
      </c>
      <c r="O141" s="66">
        <f>21850</f>
        <v>21850</v>
      </c>
      <c r="P141" s="67" t="s">
        <v>100</v>
      </c>
      <c r="Q141" s="66">
        <f>23100</f>
        <v>23100</v>
      </c>
      <c r="R141" s="67" t="s">
        <v>51</v>
      </c>
      <c r="S141" s="68">
        <f>22560.53</f>
        <v>22560.53</v>
      </c>
      <c r="T141" s="65">
        <f>191</f>
        <v>191</v>
      </c>
      <c r="U141" s="65" t="str">
        <f>"－"</f>
        <v>－</v>
      </c>
      <c r="V141" s="65">
        <f>4311770</f>
        <v>4311770</v>
      </c>
      <c r="W141" s="65" t="str">
        <f>"－"</f>
        <v>－</v>
      </c>
      <c r="X141" s="69">
        <f>19</f>
        <v>19</v>
      </c>
    </row>
    <row r="142" spans="1:24">
      <c r="A142" s="60" t="s">
        <v>864</v>
      </c>
      <c r="B142" s="60" t="s">
        <v>472</v>
      </c>
      <c r="C142" s="60" t="s">
        <v>473</v>
      </c>
      <c r="D142" s="60" t="s">
        <v>474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24210</f>
        <v>24210</v>
      </c>
      <c r="L142" s="67" t="s">
        <v>814</v>
      </c>
      <c r="M142" s="66">
        <f>25650</f>
        <v>25650</v>
      </c>
      <c r="N142" s="67" t="s">
        <v>175</v>
      </c>
      <c r="O142" s="66">
        <f>24010</f>
        <v>24010</v>
      </c>
      <c r="P142" s="67" t="s">
        <v>100</v>
      </c>
      <c r="Q142" s="66">
        <f>24670</f>
        <v>24670</v>
      </c>
      <c r="R142" s="67" t="s">
        <v>51</v>
      </c>
      <c r="S142" s="68">
        <f>24925.5</f>
        <v>24925.5</v>
      </c>
      <c r="T142" s="65">
        <f>3329</f>
        <v>3329</v>
      </c>
      <c r="U142" s="65">
        <f>1</f>
        <v>1</v>
      </c>
      <c r="V142" s="65">
        <f>83224830</f>
        <v>83224830</v>
      </c>
      <c r="W142" s="65">
        <f>25250</f>
        <v>25250</v>
      </c>
      <c r="X142" s="69">
        <f>20</f>
        <v>20</v>
      </c>
    </row>
    <row r="143" spans="1:24">
      <c r="A143" s="60" t="s">
        <v>864</v>
      </c>
      <c r="B143" s="60" t="s">
        <v>475</v>
      </c>
      <c r="C143" s="60" t="s">
        <v>476</v>
      </c>
      <c r="D143" s="60" t="s">
        <v>477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16070</f>
        <v>16070</v>
      </c>
      <c r="L143" s="67" t="s">
        <v>814</v>
      </c>
      <c r="M143" s="66">
        <f>18080</f>
        <v>18080</v>
      </c>
      <c r="N143" s="67" t="s">
        <v>820</v>
      </c>
      <c r="O143" s="66">
        <f>15800</f>
        <v>15800</v>
      </c>
      <c r="P143" s="67" t="s">
        <v>814</v>
      </c>
      <c r="Q143" s="66">
        <f>17670</f>
        <v>17670</v>
      </c>
      <c r="R143" s="67" t="s">
        <v>51</v>
      </c>
      <c r="S143" s="68">
        <f>17301.58</f>
        <v>17301.580000000002</v>
      </c>
      <c r="T143" s="65">
        <f>3018</f>
        <v>3018</v>
      </c>
      <c r="U143" s="65" t="str">
        <f t="shared" ref="U143:U151" si="6">"－"</f>
        <v>－</v>
      </c>
      <c r="V143" s="65">
        <f>51968750</f>
        <v>51968750</v>
      </c>
      <c r="W143" s="65" t="str">
        <f t="shared" ref="W143:W151" si="7">"－"</f>
        <v>－</v>
      </c>
      <c r="X143" s="69">
        <f>19</f>
        <v>19</v>
      </c>
    </row>
    <row r="144" spans="1:24">
      <c r="A144" s="60" t="s">
        <v>864</v>
      </c>
      <c r="B144" s="60" t="s">
        <v>478</v>
      </c>
      <c r="C144" s="60" t="s">
        <v>479</v>
      </c>
      <c r="D144" s="60" t="s">
        <v>480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10020</f>
        <v>10020</v>
      </c>
      <c r="L144" s="67" t="s">
        <v>814</v>
      </c>
      <c r="M144" s="66">
        <f>11320</f>
        <v>11320</v>
      </c>
      <c r="N144" s="67" t="s">
        <v>820</v>
      </c>
      <c r="O144" s="66">
        <f>10020</f>
        <v>10020</v>
      </c>
      <c r="P144" s="67" t="s">
        <v>814</v>
      </c>
      <c r="Q144" s="66">
        <f>11030</f>
        <v>11030</v>
      </c>
      <c r="R144" s="67" t="s">
        <v>51</v>
      </c>
      <c r="S144" s="68">
        <f>10890.5</f>
        <v>10890.5</v>
      </c>
      <c r="T144" s="65">
        <f>7373</f>
        <v>7373</v>
      </c>
      <c r="U144" s="65" t="str">
        <f t="shared" si="6"/>
        <v>－</v>
      </c>
      <c r="V144" s="65">
        <f>80604990</f>
        <v>80604990</v>
      </c>
      <c r="W144" s="65" t="str">
        <f t="shared" si="7"/>
        <v>－</v>
      </c>
      <c r="X144" s="69">
        <f>20</f>
        <v>20</v>
      </c>
    </row>
    <row r="145" spans="1:24">
      <c r="A145" s="60" t="s">
        <v>864</v>
      </c>
      <c r="B145" s="60" t="s">
        <v>481</v>
      </c>
      <c r="C145" s="60" t="s">
        <v>482</v>
      </c>
      <c r="D145" s="60" t="s">
        <v>483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30800</f>
        <v>30800</v>
      </c>
      <c r="L145" s="67" t="s">
        <v>814</v>
      </c>
      <c r="M145" s="66">
        <f>33650</f>
        <v>33650</v>
      </c>
      <c r="N145" s="67" t="s">
        <v>51</v>
      </c>
      <c r="O145" s="66">
        <f>30800</f>
        <v>30800</v>
      </c>
      <c r="P145" s="67" t="s">
        <v>814</v>
      </c>
      <c r="Q145" s="66">
        <f>33650</f>
        <v>33650</v>
      </c>
      <c r="R145" s="67" t="s">
        <v>51</v>
      </c>
      <c r="S145" s="68">
        <f>32353.33</f>
        <v>32353.33</v>
      </c>
      <c r="T145" s="65">
        <f>110</f>
        <v>110</v>
      </c>
      <c r="U145" s="65" t="str">
        <f t="shared" si="6"/>
        <v>－</v>
      </c>
      <c r="V145" s="65">
        <f>3600800</f>
        <v>3600800</v>
      </c>
      <c r="W145" s="65" t="str">
        <f t="shared" si="7"/>
        <v>－</v>
      </c>
      <c r="X145" s="69">
        <f>15</f>
        <v>15</v>
      </c>
    </row>
    <row r="146" spans="1:24">
      <c r="A146" s="60" t="s">
        <v>864</v>
      </c>
      <c r="B146" s="60" t="s">
        <v>484</v>
      </c>
      <c r="C146" s="60" t="s">
        <v>485</v>
      </c>
      <c r="D146" s="60" t="s">
        <v>486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20130</f>
        <v>20130</v>
      </c>
      <c r="L146" s="67" t="s">
        <v>814</v>
      </c>
      <c r="M146" s="66">
        <f>21550</f>
        <v>21550</v>
      </c>
      <c r="N146" s="67" t="s">
        <v>90</v>
      </c>
      <c r="O146" s="66">
        <f>20130</f>
        <v>20130</v>
      </c>
      <c r="P146" s="67" t="s">
        <v>814</v>
      </c>
      <c r="Q146" s="66">
        <f>20920</f>
        <v>20920</v>
      </c>
      <c r="R146" s="67" t="s">
        <v>51</v>
      </c>
      <c r="S146" s="68">
        <f>20871</f>
        <v>20871</v>
      </c>
      <c r="T146" s="65">
        <f>1475</f>
        <v>1475</v>
      </c>
      <c r="U146" s="65" t="str">
        <f t="shared" si="6"/>
        <v>－</v>
      </c>
      <c r="V146" s="65">
        <f>30833280</f>
        <v>30833280</v>
      </c>
      <c r="W146" s="65" t="str">
        <f t="shared" si="7"/>
        <v>－</v>
      </c>
      <c r="X146" s="69">
        <f>20</f>
        <v>20</v>
      </c>
    </row>
    <row r="147" spans="1:24">
      <c r="A147" s="60" t="s">
        <v>864</v>
      </c>
      <c r="B147" s="60" t="s">
        <v>487</v>
      </c>
      <c r="C147" s="60" t="s">
        <v>488</v>
      </c>
      <c r="D147" s="60" t="s">
        <v>489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24000</f>
        <v>24000</v>
      </c>
      <c r="L147" s="67" t="s">
        <v>814</v>
      </c>
      <c r="M147" s="66">
        <f>25800</f>
        <v>25800</v>
      </c>
      <c r="N147" s="67" t="s">
        <v>91</v>
      </c>
      <c r="O147" s="66">
        <f>23960</f>
        <v>23960</v>
      </c>
      <c r="P147" s="67" t="s">
        <v>814</v>
      </c>
      <c r="Q147" s="66">
        <f>25190</f>
        <v>25190</v>
      </c>
      <c r="R147" s="67" t="s">
        <v>51</v>
      </c>
      <c r="S147" s="68">
        <f>25036.5</f>
        <v>25036.5</v>
      </c>
      <c r="T147" s="65">
        <f>3529</f>
        <v>3529</v>
      </c>
      <c r="U147" s="65" t="str">
        <f t="shared" si="6"/>
        <v>－</v>
      </c>
      <c r="V147" s="65">
        <f>88564140</f>
        <v>88564140</v>
      </c>
      <c r="W147" s="65" t="str">
        <f t="shared" si="7"/>
        <v>－</v>
      </c>
      <c r="X147" s="69">
        <f>20</f>
        <v>20</v>
      </c>
    </row>
    <row r="148" spans="1:24">
      <c r="A148" s="60" t="s">
        <v>864</v>
      </c>
      <c r="B148" s="60" t="s">
        <v>490</v>
      </c>
      <c r="C148" s="60" t="s">
        <v>491</v>
      </c>
      <c r="D148" s="60" t="s">
        <v>492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5750</f>
        <v>5750</v>
      </c>
      <c r="L148" s="67" t="s">
        <v>814</v>
      </c>
      <c r="M148" s="66">
        <f>6110</f>
        <v>6110</v>
      </c>
      <c r="N148" s="67" t="s">
        <v>90</v>
      </c>
      <c r="O148" s="66">
        <f>5720</f>
        <v>5720</v>
      </c>
      <c r="P148" s="67" t="s">
        <v>817</v>
      </c>
      <c r="Q148" s="66">
        <f>6000</f>
        <v>6000</v>
      </c>
      <c r="R148" s="67" t="s">
        <v>51</v>
      </c>
      <c r="S148" s="68">
        <f>5947.89</f>
        <v>5947.89</v>
      </c>
      <c r="T148" s="65">
        <f>6192</f>
        <v>6192</v>
      </c>
      <c r="U148" s="65" t="str">
        <f t="shared" si="6"/>
        <v>－</v>
      </c>
      <c r="V148" s="65">
        <f>36905250</f>
        <v>36905250</v>
      </c>
      <c r="W148" s="65" t="str">
        <f t="shared" si="7"/>
        <v>－</v>
      </c>
      <c r="X148" s="69">
        <f>19</f>
        <v>19</v>
      </c>
    </row>
    <row r="149" spans="1:24">
      <c r="A149" s="60" t="s">
        <v>864</v>
      </c>
      <c r="B149" s="60" t="s">
        <v>493</v>
      </c>
      <c r="C149" s="60" t="s">
        <v>494</v>
      </c>
      <c r="D149" s="60" t="s">
        <v>495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11950</f>
        <v>11950</v>
      </c>
      <c r="L149" s="67" t="s">
        <v>814</v>
      </c>
      <c r="M149" s="66">
        <f>14070</f>
        <v>14070</v>
      </c>
      <c r="N149" s="67" t="s">
        <v>51</v>
      </c>
      <c r="O149" s="66">
        <f>11820</f>
        <v>11820</v>
      </c>
      <c r="P149" s="67" t="s">
        <v>814</v>
      </c>
      <c r="Q149" s="66">
        <f>13900</f>
        <v>13900</v>
      </c>
      <c r="R149" s="67" t="s">
        <v>51</v>
      </c>
      <c r="S149" s="68">
        <f>13215.5</f>
        <v>13215.5</v>
      </c>
      <c r="T149" s="65">
        <f>13944</f>
        <v>13944</v>
      </c>
      <c r="U149" s="65" t="str">
        <f t="shared" si="6"/>
        <v>－</v>
      </c>
      <c r="V149" s="65">
        <f>184703040</f>
        <v>184703040</v>
      </c>
      <c r="W149" s="65" t="str">
        <f t="shared" si="7"/>
        <v>－</v>
      </c>
      <c r="X149" s="69">
        <f>20</f>
        <v>20</v>
      </c>
    </row>
    <row r="150" spans="1:24">
      <c r="A150" s="60" t="s">
        <v>864</v>
      </c>
      <c r="B150" s="60" t="s">
        <v>496</v>
      </c>
      <c r="C150" s="60" t="s">
        <v>497</v>
      </c>
      <c r="D150" s="60" t="s">
        <v>498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28810</f>
        <v>28810</v>
      </c>
      <c r="L150" s="67" t="s">
        <v>818</v>
      </c>
      <c r="M150" s="66">
        <f>32450</f>
        <v>32450</v>
      </c>
      <c r="N150" s="67" t="s">
        <v>51</v>
      </c>
      <c r="O150" s="66">
        <f>28810</f>
        <v>28810</v>
      </c>
      <c r="P150" s="67" t="s">
        <v>818</v>
      </c>
      <c r="Q150" s="66">
        <f>32000</f>
        <v>32000</v>
      </c>
      <c r="R150" s="67" t="s">
        <v>51</v>
      </c>
      <c r="S150" s="68">
        <f>30271.76</f>
        <v>30271.759999999998</v>
      </c>
      <c r="T150" s="65">
        <f>1513</f>
        <v>1513</v>
      </c>
      <c r="U150" s="65" t="str">
        <f t="shared" si="6"/>
        <v>－</v>
      </c>
      <c r="V150" s="65">
        <f>48185820</f>
        <v>48185820</v>
      </c>
      <c r="W150" s="65" t="str">
        <f t="shared" si="7"/>
        <v>－</v>
      </c>
      <c r="X150" s="69">
        <f>17</f>
        <v>17</v>
      </c>
    </row>
    <row r="151" spans="1:24">
      <c r="A151" s="60" t="s">
        <v>864</v>
      </c>
      <c r="B151" s="60" t="s">
        <v>499</v>
      </c>
      <c r="C151" s="60" t="s">
        <v>500</v>
      </c>
      <c r="D151" s="60" t="s">
        <v>501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20100</f>
        <v>20100</v>
      </c>
      <c r="L151" s="67" t="s">
        <v>818</v>
      </c>
      <c r="M151" s="66">
        <f>21180</f>
        <v>21180</v>
      </c>
      <c r="N151" s="67" t="s">
        <v>816</v>
      </c>
      <c r="O151" s="66">
        <f>20100</f>
        <v>20100</v>
      </c>
      <c r="P151" s="67" t="s">
        <v>818</v>
      </c>
      <c r="Q151" s="66">
        <f>20980</f>
        <v>20980</v>
      </c>
      <c r="R151" s="67" t="s">
        <v>51</v>
      </c>
      <c r="S151" s="68">
        <f>20721.11</f>
        <v>20721.11</v>
      </c>
      <c r="T151" s="65">
        <f>43</f>
        <v>43</v>
      </c>
      <c r="U151" s="65" t="str">
        <f t="shared" si="6"/>
        <v>－</v>
      </c>
      <c r="V151" s="65">
        <f>892590</f>
        <v>892590</v>
      </c>
      <c r="W151" s="65" t="str">
        <f t="shared" si="7"/>
        <v>－</v>
      </c>
      <c r="X151" s="69">
        <f>9</f>
        <v>9</v>
      </c>
    </row>
    <row r="152" spans="1:24">
      <c r="A152" s="60" t="s">
        <v>864</v>
      </c>
      <c r="B152" s="60" t="s">
        <v>502</v>
      </c>
      <c r="C152" s="60" t="s">
        <v>503</v>
      </c>
      <c r="D152" s="60" t="s">
        <v>504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5800</f>
        <v>5800</v>
      </c>
      <c r="L152" s="67" t="s">
        <v>814</v>
      </c>
      <c r="M152" s="66">
        <f>6470</f>
        <v>6470</v>
      </c>
      <c r="N152" s="67" t="s">
        <v>95</v>
      </c>
      <c r="O152" s="66">
        <f>5780</f>
        <v>5780</v>
      </c>
      <c r="P152" s="67" t="s">
        <v>814</v>
      </c>
      <c r="Q152" s="66">
        <f>6370</f>
        <v>6370</v>
      </c>
      <c r="R152" s="67" t="s">
        <v>51</v>
      </c>
      <c r="S152" s="68">
        <f>6185</f>
        <v>6185</v>
      </c>
      <c r="T152" s="65">
        <f>55783</f>
        <v>55783</v>
      </c>
      <c r="U152" s="65">
        <f>166</f>
        <v>166</v>
      </c>
      <c r="V152" s="65">
        <f>347181670</f>
        <v>347181670</v>
      </c>
      <c r="W152" s="65">
        <f>1023140</f>
        <v>1023140</v>
      </c>
      <c r="X152" s="69">
        <f>20</f>
        <v>20</v>
      </c>
    </row>
    <row r="153" spans="1:24">
      <c r="A153" s="60" t="s">
        <v>864</v>
      </c>
      <c r="B153" s="60" t="s">
        <v>505</v>
      </c>
      <c r="C153" s="60" t="s">
        <v>506</v>
      </c>
      <c r="D153" s="60" t="s">
        <v>507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f>9800</f>
        <v>9800</v>
      </c>
      <c r="L153" s="67" t="s">
        <v>814</v>
      </c>
      <c r="M153" s="66">
        <f>11500</f>
        <v>11500</v>
      </c>
      <c r="N153" s="67" t="s">
        <v>815</v>
      </c>
      <c r="O153" s="66">
        <f>9800</f>
        <v>9800</v>
      </c>
      <c r="P153" s="67" t="s">
        <v>814</v>
      </c>
      <c r="Q153" s="66">
        <f>10960</f>
        <v>10960</v>
      </c>
      <c r="R153" s="67" t="s">
        <v>51</v>
      </c>
      <c r="S153" s="68">
        <f>10616</f>
        <v>10616</v>
      </c>
      <c r="T153" s="65">
        <f>7029</f>
        <v>7029</v>
      </c>
      <c r="U153" s="65" t="str">
        <f t="shared" ref="U153:U158" si="8">"－"</f>
        <v>－</v>
      </c>
      <c r="V153" s="65">
        <f>75590510</f>
        <v>75590510</v>
      </c>
      <c r="W153" s="65" t="str">
        <f t="shared" ref="W153:W158" si="9">"－"</f>
        <v>－</v>
      </c>
      <c r="X153" s="69">
        <f>20</f>
        <v>20</v>
      </c>
    </row>
    <row r="154" spans="1:24">
      <c r="A154" s="60" t="s">
        <v>864</v>
      </c>
      <c r="B154" s="60" t="s">
        <v>508</v>
      </c>
      <c r="C154" s="60" t="s">
        <v>509</v>
      </c>
      <c r="D154" s="60" t="s">
        <v>510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f>21110</f>
        <v>21110</v>
      </c>
      <c r="L154" s="67" t="s">
        <v>814</v>
      </c>
      <c r="M154" s="66">
        <f>24350</f>
        <v>24350</v>
      </c>
      <c r="N154" s="67" t="s">
        <v>51</v>
      </c>
      <c r="O154" s="66">
        <f>21110</f>
        <v>21110</v>
      </c>
      <c r="P154" s="67" t="s">
        <v>814</v>
      </c>
      <c r="Q154" s="66">
        <f>24240</f>
        <v>24240</v>
      </c>
      <c r="R154" s="67" t="s">
        <v>51</v>
      </c>
      <c r="S154" s="68">
        <f>23231</f>
        <v>23231</v>
      </c>
      <c r="T154" s="65">
        <f>1998</f>
        <v>1998</v>
      </c>
      <c r="U154" s="65" t="str">
        <f t="shared" si="8"/>
        <v>－</v>
      </c>
      <c r="V154" s="65">
        <f>47368550</f>
        <v>47368550</v>
      </c>
      <c r="W154" s="65" t="str">
        <f t="shared" si="9"/>
        <v>－</v>
      </c>
      <c r="X154" s="69">
        <f>20</f>
        <v>20</v>
      </c>
    </row>
    <row r="155" spans="1:24">
      <c r="A155" s="60" t="s">
        <v>864</v>
      </c>
      <c r="B155" s="60" t="s">
        <v>511</v>
      </c>
      <c r="C155" s="60" t="s">
        <v>512</v>
      </c>
      <c r="D155" s="60" t="s">
        <v>513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10</v>
      </c>
      <c r="K155" s="66">
        <f>790</f>
        <v>790</v>
      </c>
      <c r="L155" s="67" t="s">
        <v>814</v>
      </c>
      <c r="M155" s="66">
        <f>865</f>
        <v>865</v>
      </c>
      <c r="N155" s="67" t="s">
        <v>51</v>
      </c>
      <c r="O155" s="66">
        <f>788</f>
        <v>788</v>
      </c>
      <c r="P155" s="67" t="s">
        <v>814</v>
      </c>
      <c r="Q155" s="66">
        <f>855</f>
        <v>855</v>
      </c>
      <c r="R155" s="67" t="s">
        <v>51</v>
      </c>
      <c r="S155" s="68">
        <f>837.9</f>
        <v>837.9</v>
      </c>
      <c r="T155" s="65">
        <f>173240</f>
        <v>173240</v>
      </c>
      <c r="U155" s="65" t="str">
        <f t="shared" si="8"/>
        <v>－</v>
      </c>
      <c r="V155" s="65">
        <f>144049330</f>
        <v>144049330</v>
      </c>
      <c r="W155" s="65" t="str">
        <f t="shared" si="9"/>
        <v>－</v>
      </c>
      <c r="X155" s="69">
        <f>20</f>
        <v>20</v>
      </c>
    </row>
    <row r="156" spans="1:24">
      <c r="A156" s="60" t="s">
        <v>864</v>
      </c>
      <c r="B156" s="60" t="s">
        <v>514</v>
      </c>
      <c r="C156" s="60" t="s">
        <v>515</v>
      </c>
      <c r="D156" s="60" t="s">
        <v>516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1902</f>
        <v>1902</v>
      </c>
      <c r="L156" s="67" t="s">
        <v>814</v>
      </c>
      <c r="M156" s="66">
        <f>2045</f>
        <v>2045</v>
      </c>
      <c r="N156" s="67" t="s">
        <v>95</v>
      </c>
      <c r="O156" s="66">
        <f>1902</f>
        <v>1902</v>
      </c>
      <c r="P156" s="67" t="s">
        <v>814</v>
      </c>
      <c r="Q156" s="66">
        <f>2036</f>
        <v>2036</v>
      </c>
      <c r="R156" s="67" t="s">
        <v>51</v>
      </c>
      <c r="S156" s="68">
        <f>2005.18</f>
        <v>2005.18</v>
      </c>
      <c r="T156" s="65">
        <f>2510</f>
        <v>2510</v>
      </c>
      <c r="U156" s="65" t="str">
        <f t="shared" si="8"/>
        <v>－</v>
      </c>
      <c r="V156" s="65">
        <f>4928650</f>
        <v>4928650</v>
      </c>
      <c r="W156" s="65" t="str">
        <f t="shared" si="9"/>
        <v>－</v>
      </c>
      <c r="X156" s="69">
        <f>11</f>
        <v>11</v>
      </c>
    </row>
    <row r="157" spans="1:24">
      <c r="A157" s="60" t="s">
        <v>864</v>
      </c>
      <c r="B157" s="60" t="s">
        <v>517</v>
      </c>
      <c r="C157" s="60" t="s">
        <v>518</v>
      </c>
      <c r="D157" s="60" t="s">
        <v>519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10</v>
      </c>
      <c r="K157" s="66">
        <f>1913</f>
        <v>1913</v>
      </c>
      <c r="L157" s="67" t="s">
        <v>814</v>
      </c>
      <c r="M157" s="66">
        <f>2067</f>
        <v>2067</v>
      </c>
      <c r="N157" s="67" t="s">
        <v>816</v>
      </c>
      <c r="O157" s="66">
        <f>1913</f>
        <v>1913</v>
      </c>
      <c r="P157" s="67" t="s">
        <v>814</v>
      </c>
      <c r="Q157" s="66">
        <f>2024</f>
        <v>2024</v>
      </c>
      <c r="R157" s="67" t="s">
        <v>95</v>
      </c>
      <c r="S157" s="68">
        <f>2022.19</f>
        <v>2022.19</v>
      </c>
      <c r="T157" s="65">
        <f>34290</f>
        <v>34290</v>
      </c>
      <c r="U157" s="65" t="str">
        <f t="shared" si="8"/>
        <v>－</v>
      </c>
      <c r="V157" s="65">
        <f>68373400</f>
        <v>68373400</v>
      </c>
      <c r="W157" s="65" t="str">
        <f t="shared" si="9"/>
        <v>－</v>
      </c>
      <c r="X157" s="69">
        <f>16</f>
        <v>16</v>
      </c>
    </row>
    <row r="158" spans="1:24">
      <c r="A158" s="60" t="s">
        <v>864</v>
      </c>
      <c r="B158" s="60" t="s">
        <v>520</v>
      </c>
      <c r="C158" s="60" t="s">
        <v>521</v>
      </c>
      <c r="D158" s="60" t="s">
        <v>522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10</v>
      </c>
      <c r="K158" s="66">
        <f>1155</f>
        <v>1155</v>
      </c>
      <c r="L158" s="67" t="s">
        <v>818</v>
      </c>
      <c r="M158" s="66">
        <f>1218</f>
        <v>1218</v>
      </c>
      <c r="N158" s="67" t="s">
        <v>51</v>
      </c>
      <c r="O158" s="66">
        <f>1154</f>
        <v>1154</v>
      </c>
      <c r="P158" s="67" t="s">
        <v>48</v>
      </c>
      <c r="Q158" s="66">
        <f>1218</f>
        <v>1218</v>
      </c>
      <c r="R158" s="67" t="s">
        <v>51</v>
      </c>
      <c r="S158" s="68">
        <f>1196.38</f>
        <v>1196.3800000000001</v>
      </c>
      <c r="T158" s="65">
        <f>840</f>
        <v>840</v>
      </c>
      <c r="U158" s="65" t="str">
        <f t="shared" si="8"/>
        <v>－</v>
      </c>
      <c r="V158" s="65">
        <f>1010750</f>
        <v>1010750</v>
      </c>
      <c r="W158" s="65" t="str">
        <f t="shared" si="9"/>
        <v>－</v>
      </c>
      <c r="X158" s="69">
        <f>13</f>
        <v>13</v>
      </c>
    </row>
    <row r="159" spans="1:24">
      <c r="A159" s="60" t="s">
        <v>864</v>
      </c>
      <c r="B159" s="60" t="s">
        <v>523</v>
      </c>
      <c r="C159" s="60" t="s">
        <v>524</v>
      </c>
      <c r="D159" s="60" t="s">
        <v>525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</v>
      </c>
      <c r="K159" s="66">
        <f>2484</f>
        <v>2484</v>
      </c>
      <c r="L159" s="67" t="s">
        <v>814</v>
      </c>
      <c r="M159" s="66">
        <f>2680</f>
        <v>2680</v>
      </c>
      <c r="N159" s="67" t="s">
        <v>95</v>
      </c>
      <c r="O159" s="66">
        <f>2481</f>
        <v>2481</v>
      </c>
      <c r="P159" s="67" t="s">
        <v>814</v>
      </c>
      <c r="Q159" s="66">
        <f>2655</f>
        <v>2655</v>
      </c>
      <c r="R159" s="67" t="s">
        <v>51</v>
      </c>
      <c r="S159" s="68">
        <f>2563.5</f>
        <v>2563.5</v>
      </c>
      <c r="T159" s="65">
        <f>2350744</f>
        <v>2350744</v>
      </c>
      <c r="U159" s="65">
        <f>428048</f>
        <v>428048</v>
      </c>
      <c r="V159" s="65">
        <f>6015922586</f>
        <v>6015922586</v>
      </c>
      <c r="W159" s="65">
        <f>1103261407</f>
        <v>1103261407</v>
      </c>
      <c r="X159" s="69">
        <f>20</f>
        <v>20</v>
      </c>
    </row>
    <row r="160" spans="1:24">
      <c r="A160" s="60" t="s">
        <v>864</v>
      </c>
      <c r="B160" s="60" t="s">
        <v>526</v>
      </c>
      <c r="C160" s="60" t="s">
        <v>527</v>
      </c>
      <c r="D160" s="60" t="s">
        <v>528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2697</f>
        <v>2697</v>
      </c>
      <c r="L160" s="67" t="s">
        <v>814</v>
      </c>
      <c r="M160" s="66">
        <f>2709</f>
        <v>2709</v>
      </c>
      <c r="N160" s="67" t="s">
        <v>814</v>
      </c>
      <c r="O160" s="66">
        <f>2655</f>
        <v>2655</v>
      </c>
      <c r="P160" s="67" t="s">
        <v>51</v>
      </c>
      <c r="Q160" s="66">
        <f>2663</f>
        <v>2663</v>
      </c>
      <c r="R160" s="67" t="s">
        <v>51</v>
      </c>
      <c r="S160" s="68">
        <f>2685.85</f>
        <v>2685.85</v>
      </c>
      <c r="T160" s="65">
        <f>112981</f>
        <v>112981</v>
      </c>
      <c r="U160" s="65" t="str">
        <f>"－"</f>
        <v>－</v>
      </c>
      <c r="V160" s="65">
        <f>301661443</f>
        <v>301661443</v>
      </c>
      <c r="W160" s="65" t="str">
        <f>"－"</f>
        <v>－</v>
      </c>
      <c r="X160" s="69">
        <f>20</f>
        <v>20</v>
      </c>
    </row>
    <row r="161" spans="1:24">
      <c r="A161" s="60" t="s">
        <v>864</v>
      </c>
      <c r="B161" s="60" t="s">
        <v>529</v>
      </c>
      <c r="C161" s="60" t="s">
        <v>530</v>
      </c>
      <c r="D161" s="60" t="s">
        <v>531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2226</f>
        <v>2226</v>
      </c>
      <c r="L161" s="67" t="s">
        <v>814</v>
      </c>
      <c r="M161" s="66">
        <f>2390</f>
        <v>2390</v>
      </c>
      <c r="N161" s="67" t="s">
        <v>95</v>
      </c>
      <c r="O161" s="66">
        <f>2226</f>
        <v>2226</v>
      </c>
      <c r="P161" s="67" t="s">
        <v>814</v>
      </c>
      <c r="Q161" s="66">
        <f>2367</f>
        <v>2367</v>
      </c>
      <c r="R161" s="67" t="s">
        <v>51</v>
      </c>
      <c r="S161" s="68">
        <f>2300.25</f>
        <v>2300.25</v>
      </c>
      <c r="T161" s="65">
        <f>505889</f>
        <v>505889</v>
      </c>
      <c r="U161" s="65">
        <f>451000</f>
        <v>451000</v>
      </c>
      <c r="V161" s="65">
        <f>1165252228</f>
        <v>1165252228</v>
      </c>
      <c r="W161" s="65">
        <f>1039374600</f>
        <v>1039374600</v>
      </c>
      <c r="X161" s="69">
        <f>20</f>
        <v>20</v>
      </c>
    </row>
    <row r="162" spans="1:24">
      <c r="A162" s="60" t="s">
        <v>864</v>
      </c>
      <c r="B162" s="60" t="s">
        <v>532</v>
      </c>
      <c r="C162" s="60" t="s">
        <v>533</v>
      </c>
      <c r="D162" s="60" t="s">
        <v>534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1850</f>
        <v>1850</v>
      </c>
      <c r="L162" s="67" t="s">
        <v>814</v>
      </c>
      <c r="M162" s="66">
        <f>1929</f>
        <v>1929</v>
      </c>
      <c r="N162" s="67" t="s">
        <v>95</v>
      </c>
      <c r="O162" s="66">
        <f>1836</f>
        <v>1836</v>
      </c>
      <c r="P162" s="67" t="s">
        <v>100</v>
      </c>
      <c r="Q162" s="66">
        <f>1913</f>
        <v>1913</v>
      </c>
      <c r="R162" s="67" t="s">
        <v>51</v>
      </c>
      <c r="S162" s="68">
        <f>1879.35</f>
        <v>1879.35</v>
      </c>
      <c r="T162" s="65">
        <f>61647</f>
        <v>61647</v>
      </c>
      <c r="U162" s="65">
        <f>41</f>
        <v>41</v>
      </c>
      <c r="V162" s="65">
        <f>115694950</f>
        <v>115694950</v>
      </c>
      <c r="W162" s="65">
        <f>77110</f>
        <v>77110</v>
      </c>
      <c r="X162" s="69">
        <f>20</f>
        <v>20</v>
      </c>
    </row>
    <row r="163" spans="1:24">
      <c r="A163" s="60" t="s">
        <v>864</v>
      </c>
      <c r="B163" s="60" t="s">
        <v>535</v>
      </c>
      <c r="C163" s="60" t="s">
        <v>536</v>
      </c>
      <c r="D163" s="60" t="s">
        <v>537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1786</f>
        <v>1786</v>
      </c>
      <c r="L163" s="67" t="s">
        <v>814</v>
      </c>
      <c r="M163" s="66">
        <f>1839</f>
        <v>1839</v>
      </c>
      <c r="N163" s="67" t="s">
        <v>95</v>
      </c>
      <c r="O163" s="66">
        <f>1744</f>
        <v>1744</v>
      </c>
      <c r="P163" s="67" t="s">
        <v>49</v>
      </c>
      <c r="Q163" s="66">
        <f>1812</f>
        <v>1812</v>
      </c>
      <c r="R163" s="67" t="s">
        <v>51</v>
      </c>
      <c r="S163" s="68">
        <f>1792.6</f>
        <v>1792.6</v>
      </c>
      <c r="T163" s="65">
        <f>213411</f>
        <v>213411</v>
      </c>
      <c r="U163" s="65" t="str">
        <f>"－"</f>
        <v>－</v>
      </c>
      <c r="V163" s="65">
        <f>382786600</f>
        <v>382786600</v>
      </c>
      <c r="W163" s="65" t="str">
        <f>"－"</f>
        <v>－</v>
      </c>
      <c r="X163" s="69">
        <f>20</f>
        <v>20</v>
      </c>
    </row>
    <row r="164" spans="1:24">
      <c r="A164" s="60" t="s">
        <v>864</v>
      </c>
      <c r="B164" s="60" t="s">
        <v>538</v>
      </c>
      <c r="C164" s="60" t="s">
        <v>539</v>
      </c>
      <c r="D164" s="60" t="s">
        <v>540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8920</f>
        <v>8920</v>
      </c>
      <c r="L164" s="67" t="s">
        <v>814</v>
      </c>
      <c r="M164" s="66">
        <f>9510</f>
        <v>9510</v>
      </c>
      <c r="N164" s="67" t="s">
        <v>51</v>
      </c>
      <c r="O164" s="66">
        <f>8910</f>
        <v>8910</v>
      </c>
      <c r="P164" s="67" t="s">
        <v>814</v>
      </c>
      <c r="Q164" s="66">
        <f>9470</f>
        <v>9470</v>
      </c>
      <c r="R164" s="67" t="s">
        <v>51</v>
      </c>
      <c r="S164" s="68">
        <f>9161.5</f>
        <v>9161.5</v>
      </c>
      <c r="T164" s="65">
        <f>18028</f>
        <v>18028</v>
      </c>
      <c r="U164" s="65">
        <f>34</f>
        <v>34</v>
      </c>
      <c r="V164" s="65">
        <f>164667530</f>
        <v>164667530</v>
      </c>
      <c r="W164" s="65">
        <f>312360</f>
        <v>312360</v>
      </c>
      <c r="X164" s="69">
        <f>20</f>
        <v>20</v>
      </c>
    </row>
    <row r="165" spans="1:24">
      <c r="A165" s="60" t="s">
        <v>864</v>
      </c>
      <c r="B165" s="60" t="s">
        <v>541</v>
      </c>
      <c r="C165" s="60" t="s">
        <v>542</v>
      </c>
      <c r="D165" s="60" t="s">
        <v>543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100</v>
      </c>
      <c r="K165" s="66">
        <f>110</f>
        <v>110</v>
      </c>
      <c r="L165" s="67" t="s">
        <v>814</v>
      </c>
      <c r="M165" s="66">
        <f>115</f>
        <v>115</v>
      </c>
      <c r="N165" s="67" t="s">
        <v>51</v>
      </c>
      <c r="O165" s="66">
        <f>110</f>
        <v>110</v>
      </c>
      <c r="P165" s="67" t="s">
        <v>814</v>
      </c>
      <c r="Q165" s="66">
        <f>113</f>
        <v>113</v>
      </c>
      <c r="R165" s="67" t="s">
        <v>51</v>
      </c>
      <c r="S165" s="68">
        <f>112.81</f>
        <v>112.81</v>
      </c>
      <c r="T165" s="65">
        <f>14900</f>
        <v>14900</v>
      </c>
      <c r="U165" s="65" t="str">
        <f>"－"</f>
        <v>－</v>
      </c>
      <c r="V165" s="65">
        <f>1680200</f>
        <v>1680200</v>
      </c>
      <c r="W165" s="65" t="str">
        <f>"－"</f>
        <v>－</v>
      </c>
      <c r="X165" s="69">
        <f>16</f>
        <v>16</v>
      </c>
    </row>
    <row r="166" spans="1:24">
      <c r="A166" s="60" t="s">
        <v>864</v>
      </c>
      <c r="B166" s="60" t="s">
        <v>544</v>
      </c>
      <c r="C166" s="60" t="s">
        <v>545</v>
      </c>
      <c r="D166" s="60" t="s">
        <v>546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</v>
      </c>
      <c r="K166" s="66">
        <f>854</f>
        <v>854</v>
      </c>
      <c r="L166" s="67" t="s">
        <v>814</v>
      </c>
      <c r="M166" s="66">
        <f>920</f>
        <v>920</v>
      </c>
      <c r="N166" s="67" t="s">
        <v>821</v>
      </c>
      <c r="O166" s="66">
        <f>849</f>
        <v>849</v>
      </c>
      <c r="P166" s="67" t="s">
        <v>814</v>
      </c>
      <c r="Q166" s="66">
        <f>906</f>
        <v>906</v>
      </c>
      <c r="R166" s="67" t="s">
        <v>51</v>
      </c>
      <c r="S166" s="68">
        <f>897.75</f>
        <v>897.75</v>
      </c>
      <c r="T166" s="65">
        <f>41916079</f>
        <v>41916079</v>
      </c>
      <c r="U166" s="65">
        <f>46348</f>
        <v>46348</v>
      </c>
      <c r="V166" s="65">
        <f>37626073214</f>
        <v>37626073214</v>
      </c>
      <c r="W166" s="65">
        <f>41434465</f>
        <v>41434465</v>
      </c>
      <c r="X166" s="69">
        <f>20</f>
        <v>20</v>
      </c>
    </row>
    <row r="167" spans="1:24">
      <c r="A167" s="60" t="s">
        <v>864</v>
      </c>
      <c r="B167" s="60" t="s">
        <v>737</v>
      </c>
      <c r="C167" s="60" t="s">
        <v>738</v>
      </c>
      <c r="D167" s="60" t="s">
        <v>739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f>21000</f>
        <v>21000</v>
      </c>
      <c r="L167" s="67" t="s">
        <v>814</v>
      </c>
      <c r="M167" s="66">
        <f>21680</f>
        <v>21680</v>
      </c>
      <c r="N167" s="67" t="s">
        <v>814</v>
      </c>
      <c r="O167" s="66">
        <f>18410</f>
        <v>18410</v>
      </c>
      <c r="P167" s="67" t="s">
        <v>815</v>
      </c>
      <c r="Q167" s="66">
        <f>19740</f>
        <v>19740</v>
      </c>
      <c r="R167" s="67" t="s">
        <v>51</v>
      </c>
      <c r="S167" s="68">
        <f>19833</f>
        <v>19833</v>
      </c>
      <c r="T167" s="65">
        <f>18783</f>
        <v>18783</v>
      </c>
      <c r="U167" s="65" t="str">
        <f>"－"</f>
        <v>－</v>
      </c>
      <c r="V167" s="65">
        <f>375158230</f>
        <v>375158230</v>
      </c>
      <c r="W167" s="65" t="str">
        <f>"－"</f>
        <v>－</v>
      </c>
      <c r="X167" s="69">
        <f>20</f>
        <v>20</v>
      </c>
    </row>
    <row r="168" spans="1:24">
      <c r="A168" s="60" t="s">
        <v>864</v>
      </c>
      <c r="B168" s="60" t="s">
        <v>740</v>
      </c>
      <c r="C168" s="60" t="s">
        <v>741</v>
      </c>
      <c r="D168" s="60" t="s">
        <v>742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10</v>
      </c>
      <c r="K168" s="66">
        <f>2420</f>
        <v>2420</v>
      </c>
      <c r="L168" s="67" t="s">
        <v>814</v>
      </c>
      <c r="M168" s="66">
        <f>2965</f>
        <v>2965</v>
      </c>
      <c r="N168" s="67" t="s">
        <v>100</v>
      </c>
      <c r="O168" s="66">
        <f>2366</f>
        <v>2366</v>
      </c>
      <c r="P168" s="67" t="s">
        <v>815</v>
      </c>
      <c r="Q168" s="66">
        <f>2749</f>
        <v>2749</v>
      </c>
      <c r="R168" s="67" t="s">
        <v>51</v>
      </c>
      <c r="S168" s="68">
        <f>2650.95</f>
        <v>2650.95</v>
      </c>
      <c r="T168" s="65">
        <f>129520</f>
        <v>129520</v>
      </c>
      <c r="U168" s="65" t="str">
        <f>"－"</f>
        <v>－</v>
      </c>
      <c r="V168" s="65">
        <f>345305870</f>
        <v>345305870</v>
      </c>
      <c r="W168" s="65" t="str">
        <f>"－"</f>
        <v>－</v>
      </c>
      <c r="X168" s="69">
        <f>20</f>
        <v>20</v>
      </c>
    </row>
    <row r="169" spans="1:24">
      <c r="A169" s="60" t="s">
        <v>864</v>
      </c>
      <c r="B169" s="60" t="s">
        <v>743</v>
      </c>
      <c r="C169" s="60" t="s">
        <v>744</v>
      </c>
      <c r="D169" s="60" t="s">
        <v>745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</v>
      </c>
      <c r="K169" s="66">
        <f>9490</f>
        <v>9490</v>
      </c>
      <c r="L169" s="67" t="s">
        <v>814</v>
      </c>
      <c r="M169" s="66">
        <f>10340</f>
        <v>10340</v>
      </c>
      <c r="N169" s="67" t="s">
        <v>100</v>
      </c>
      <c r="O169" s="66">
        <f>9010</f>
        <v>9010</v>
      </c>
      <c r="P169" s="67" t="s">
        <v>815</v>
      </c>
      <c r="Q169" s="66">
        <f>9430</f>
        <v>9430</v>
      </c>
      <c r="R169" s="67" t="s">
        <v>51</v>
      </c>
      <c r="S169" s="68">
        <f>9471</f>
        <v>9471</v>
      </c>
      <c r="T169" s="65">
        <f>13696</f>
        <v>13696</v>
      </c>
      <c r="U169" s="65" t="str">
        <f>"－"</f>
        <v>－</v>
      </c>
      <c r="V169" s="65">
        <f>130576130</f>
        <v>130576130</v>
      </c>
      <c r="W169" s="65" t="str">
        <f>"－"</f>
        <v>－</v>
      </c>
      <c r="X169" s="69">
        <f>20</f>
        <v>20</v>
      </c>
    </row>
    <row r="170" spans="1:24">
      <c r="A170" s="60" t="s">
        <v>864</v>
      </c>
      <c r="B170" s="60" t="s">
        <v>746</v>
      </c>
      <c r="C170" s="60" t="s">
        <v>747</v>
      </c>
      <c r="D170" s="60" t="s">
        <v>748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</v>
      </c>
      <c r="K170" s="66">
        <f>22840</f>
        <v>22840</v>
      </c>
      <c r="L170" s="67" t="s">
        <v>814</v>
      </c>
      <c r="M170" s="66">
        <f>24740</f>
        <v>24740</v>
      </c>
      <c r="N170" s="67" t="s">
        <v>834</v>
      </c>
      <c r="O170" s="66">
        <f>20950</f>
        <v>20950</v>
      </c>
      <c r="P170" s="67" t="s">
        <v>814</v>
      </c>
      <c r="Q170" s="66">
        <f>23490</f>
        <v>23490</v>
      </c>
      <c r="R170" s="67" t="s">
        <v>95</v>
      </c>
      <c r="S170" s="68">
        <f>23292.94</f>
        <v>23292.94</v>
      </c>
      <c r="T170" s="65">
        <f>520</f>
        <v>520</v>
      </c>
      <c r="U170" s="65" t="str">
        <f>"－"</f>
        <v>－</v>
      </c>
      <c r="V170" s="65">
        <f>12131190</f>
        <v>12131190</v>
      </c>
      <c r="W170" s="65" t="str">
        <f>"－"</f>
        <v>－</v>
      </c>
      <c r="X170" s="69">
        <f>17</f>
        <v>17</v>
      </c>
    </row>
    <row r="171" spans="1:24">
      <c r="A171" s="60" t="s">
        <v>864</v>
      </c>
      <c r="B171" s="60" t="s">
        <v>749</v>
      </c>
      <c r="C171" s="60" t="s">
        <v>750</v>
      </c>
      <c r="D171" s="60" t="s">
        <v>751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</v>
      </c>
      <c r="K171" s="66">
        <f>15770</f>
        <v>15770</v>
      </c>
      <c r="L171" s="67" t="s">
        <v>814</v>
      </c>
      <c r="M171" s="66">
        <f>18310</f>
        <v>18310</v>
      </c>
      <c r="N171" s="67" t="s">
        <v>91</v>
      </c>
      <c r="O171" s="66">
        <f>15770</f>
        <v>15770</v>
      </c>
      <c r="P171" s="67" t="s">
        <v>814</v>
      </c>
      <c r="Q171" s="66">
        <f>16370</f>
        <v>16370</v>
      </c>
      <c r="R171" s="67" t="s">
        <v>95</v>
      </c>
      <c r="S171" s="68">
        <f>16364</f>
        <v>16364</v>
      </c>
      <c r="T171" s="65">
        <f>7</f>
        <v>7</v>
      </c>
      <c r="U171" s="65" t="str">
        <f>"－"</f>
        <v>－</v>
      </c>
      <c r="V171" s="65">
        <f>117640</f>
        <v>117640</v>
      </c>
      <c r="W171" s="65" t="str">
        <f>"－"</f>
        <v>－</v>
      </c>
      <c r="X171" s="69">
        <f>5</f>
        <v>5</v>
      </c>
    </row>
    <row r="172" spans="1:24">
      <c r="A172" s="60" t="s">
        <v>864</v>
      </c>
      <c r="B172" s="60" t="s">
        <v>547</v>
      </c>
      <c r="C172" s="60" t="s">
        <v>548</v>
      </c>
      <c r="D172" s="60" t="s">
        <v>549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10</v>
      </c>
      <c r="K172" s="66">
        <f>51900</f>
        <v>51900</v>
      </c>
      <c r="L172" s="67" t="s">
        <v>814</v>
      </c>
      <c r="M172" s="66">
        <f>52200</f>
        <v>52200</v>
      </c>
      <c r="N172" s="67" t="s">
        <v>817</v>
      </c>
      <c r="O172" s="66">
        <f>51400</f>
        <v>51400</v>
      </c>
      <c r="P172" s="67" t="s">
        <v>51</v>
      </c>
      <c r="Q172" s="66">
        <f>51700</f>
        <v>51700</v>
      </c>
      <c r="R172" s="67" t="s">
        <v>51</v>
      </c>
      <c r="S172" s="68">
        <f>51930</f>
        <v>51930</v>
      </c>
      <c r="T172" s="65">
        <f>30090</f>
        <v>30090</v>
      </c>
      <c r="U172" s="65">
        <f>22070</f>
        <v>22070</v>
      </c>
      <c r="V172" s="65">
        <f>1557292261</f>
        <v>1557292261</v>
      </c>
      <c r="W172" s="65">
        <f>1141716261</f>
        <v>1141716261</v>
      </c>
      <c r="X172" s="69">
        <f>20</f>
        <v>20</v>
      </c>
    </row>
    <row r="173" spans="1:24">
      <c r="A173" s="60" t="s">
        <v>864</v>
      </c>
      <c r="B173" s="60" t="s">
        <v>550</v>
      </c>
      <c r="C173" s="60" t="s">
        <v>551</v>
      </c>
      <c r="D173" s="60" t="s">
        <v>552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100</v>
      </c>
      <c r="K173" s="66">
        <f>139</f>
        <v>139</v>
      </c>
      <c r="L173" s="67" t="s">
        <v>814</v>
      </c>
      <c r="M173" s="66">
        <f>153</f>
        <v>153</v>
      </c>
      <c r="N173" s="67" t="s">
        <v>51</v>
      </c>
      <c r="O173" s="66">
        <f>138</f>
        <v>138</v>
      </c>
      <c r="P173" s="67" t="s">
        <v>814</v>
      </c>
      <c r="Q173" s="66">
        <f>150</f>
        <v>150</v>
      </c>
      <c r="R173" s="67" t="s">
        <v>51</v>
      </c>
      <c r="S173" s="68">
        <f>144.85</f>
        <v>144.85</v>
      </c>
      <c r="T173" s="65">
        <f>7009200</f>
        <v>7009200</v>
      </c>
      <c r="U173" s="65">
        <f>36000</f>
        <v>36000</v>
      </c>
      <c r="V173" s="65">
        <f>1016039300</f>
        <v>1016039300</v>
      </c>
      <c r="W173" s="65">
        <f>5221600</f>
        <v>5221600</v>
      </c>
      <c r="X173" s="69">
        <f>20</f>
        <v>20</v>
      </c>
    </row>
    <row r="174" spans="1:24">
      <c r="A174" s="60" t="s">
        <v>864</v>
      </c>
      <c r="B174" s="60" t="s">
        <v>553</v>
      </c>
      <c r="C174" s="60" t="s">
        <v>554</v>
      </c>
      <c r="D174" s="60" t="s">
        <v>555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</v>
      </c>
      <c r="K174" s="66">
        <f>24930</f>
        <v>24930</v>
      </c>
      <c r="L174" s="67" t="s">
        <v>814</v>
      </c>
      <c r="M174" s="66">
        <f>27420</f>
        <v>27420</v>
      </c>
      <c r="N174" s="67" t="s">
        <v>95</v>
      </c>
      <c r="O174" s="66">
        <f>24840</f>
        <v>24840</v>
      </c>
      <c r="P174" s="67" t="s">
        <v>814</v>
      </c>
      <c r="Q174" s="66">
        <f>27120</f>
        <v>27120</v>
      </c>
      <c r="R174" s="67" t="s">
        <v>51</v>
      </c>
      <c r="S174" s="68">
        <f>26260</f>
        <v>26260</v>
      </c>
      <c r="T174" s="65">
        <f>11130</f>
        <v>11130</v>
      </c>
      <c r="U174" s="65">
        <f>30</f>
        <v>30</v>
      </c>
      <c r="V174" s="65">
        <f>295197900</f>
        <v>295197900</v>
      </c>
      <c r="W174" s="65">
        <f>776600</f>
        <v>776600</v>
      </c>
      <c r="X174" s="69">
        <f>20</f>
        <v>20</v>
      </c>
    </row>
    <row r="175" spans="1:24">
      <c r="A175" s="60" t="s">
        <v>864</v>
      </c>
      <c r="B175" s="60" t="s">
        <v>556</v>
      </c>
      <c r="C175" s="60" t="s">
        <v>557</v>
      </c>
      <c r="D175" s="60" t="s">
        <v>558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2545</f>
        <v>2545</v>
      </c>
      <c r="L175" s="67" t="s">
        <v>814</v>
      </c>
      <c r="M175" s="66">
        <f>2755</f>
        <v>2755</v>
      </c>
      <c r="N175" s="67" t="s">
        <v>95</v>
      </c>
      <c r="O175" s="66">
        <f>2545</f>
        <v>2545</v>
      </c>
      <c r="P175" s="67" t="s">
        <v>814</v>
      </c>
      <c r="Q175" s="66">
        <f>2722</f>
        <v>2722</v>
      </c>
      <c r="R175" s="67" t="s">
        <v>51</v>
      </c>
      <c r="S175" s="68">
        <f>2644.3</f>
        <v>2644.3</v>
      </c>
      <c r="T175" s="65">
        <f>61530</f>
        <v>61530</v>
      </c>
      <c r="U175" s="65" t="str">
        <f>"－"</f>
        <v>－</v>
      </c>
      <c r="V175" s="65">
        <f>163421040</f>
        <v>163421040</v>
      </c>
      <c r="W175" s="65" t="str">
        <f>"－"</f>
        <v>－</v>
      </c>
      <c r="X175" s="69">
        <f>20</f>
        <v>20</v>
      </c>
    </row>
    <row r="176" spans="1:24">
      <c r="A176" s="60" t="s">
        <v>864</v>
      </c>
      <c r="B176" s="60" t="s">
        <v>559</v>
      </c>
      <c r="C176" s="60" t="s">
        <v>560</v>
      </c>
      <c r="D176" s="60" t="s">
        <v>561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1439</f>
        <v>1439</v>
      </c>
      <c r="L176" s="67" t="s">
        <v>814</v>
      </c>
      <c r="M176" s="66">
        <f>1512</f>
        <v>1512</v>
      </c>
      <c r="N176" s="67" t="s">
        <v>95</v>
      </c>
      <c r="O176" s="66">
        <f>1430</f>
        <v>1430</v>
      </c>
      <c r="P176" s="67" t="s">
        <v>814</v>
      </c>
      <c r="Q176" s="66">
        <f>1493</f>
        <v>1493</v>
      </c>
      <c r="R176" s="67" t="s">
        <v>51</v>
      </c>
      <c r="S176" s="68">
        <f>1472.95</f>
        <v>1472.95</v>
      </c>
      <c r="T176" s="65">
        <f>214080</f>
        <v>214080</v>
      </c>
      <c r="U176" s="65">
        <f>130</f>
        <v>130</v>
      </c>
      <c r="V176" s="65">
        <f>316139820</f>
        <v>316139820</v>
      </c>
      <c r="W176" s="65">
        <f>192440</f>
        <v>192440</v>
      </c>
      <c r="X176" s="69">
        <f>20</f>
        <v>20</v>
      </c>
    </row>
    <row r="177" spans="1:24">
      <c r="A177" s="60" t="s">
        <v>864</v>
      </c>
      <c r="B177" s="60" t="s">
        <v>562</v>
      </c>
      <c r="C177" s="60" t="s">
        <v>854</v>
      </c>
      <c r="D177" s="60" t="s">
        <v>855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100</v>
      </c>
      <c r="K177" s="66">
        <f>166</f>
        <v>166</v>
      </c>
      <c r="L177" s="67" t="s">
        <v>814</v>
      </c>
      <c r="M177" s="66">
        <f>189</f>
        <v>189</v>
      </c>
      <c r="N177" s="67" t="s">
        <v>100</v>
      </c>
      <c r="O177" s="66">
        <f>165</f>
        <v>165</v>
      </c>
      <c r="P177" s="67" t="s">
        <v>814</v>
      </c>
      <c r="Q177" s="66">
        <f>170</f>
        <v>170</v>
      </c>
      <c r="R177" s="67" t="s">
        <v>51</v>
      </c>
      <c r="S177" s="68">
        <f>171.7</f>
        <v>171.7</v>
      </c>
      <c r="T177" s="65">
        <f>605200</f>
        <v>605200</v>
      </c>
      <c r="U177" s="65">
        <f>1900</f>
        <v>1900</v>
      </c>
      <c r="V177" s="65">
        <f>105087600</f>
        <v>105087600</v>
      </c>
      <c r="W177" s="65">
        <f>322600</f>
        <v>322600</v>
      </c>
      <c r="X177" s="69">
        <f>20</f>
        <v>20</v>
      </c>
    </row>
    <row r="178" spans="1:24">
      <c r="A178" s="60" t="s">
        <v>864</v>
      </c>
      <c r="B178" s="60" t="s">
        <v>752</v>
      </c>
      <c r="C178" s="60" t="s">
        <v>753</v>
      </c>
      <c r="D178" s="60" t="s">
        <v>754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</v>
      </c>
      <c r="K178" s="66">
        <f>780</f>
        <v>780</v>
      </c>
      <c r="L178" s="67" t="s">
        <v>820</v>
      </c>
      <c r="M178" s="66">
        <f>780</f>
        <v>780</v>
      </c>
      <c r="N178" s="67" t="s">
        <v>820</v>
      </c>
      <c r="O178" s="66">
        <f>780</f>
        <v>780</v>
      </c>
      <c r="P178" s="67" t="s">
        <v>820</v>
      </c>
      <c r="Q178" s="66">
        <f>780</f>
        <v>780</v>
      </c>
      <c r="R178" s="67" t="s">
        <v>79</v>
      </c>
      <c r="S178" s="68">
        <f>780</f>
        <v>780</v>
      </c>
      <c r="T178" s="65">
        <f>60</f>
        <v>60</v>
      </c>
      <c r="U178" s="65" t="str">
        <f t="shared" ref="U178:U192" si="10">"－"</f>
        <v>－</v>
      </c>
      <c r="V178" s="65">
        <f>46800</f>
        <v>46800</v>
      </c>
      <c r="W178" s="65" t="str">
        <f t="shared" ref="W178:W192" si="11">"－"</f>
        <v>－</v>
      </c>
      <c r="X178" s="69">
        <f>3</f>
        <v>3</v>
      </c>
    </row>
    <row r="179" spans="1:24">
      <c r="A179" s="60" t="s">
        <v>864</v>
      </c>
      <c r="B179" s="60" t="s">
        <v>755</v>
      </c>
      <c r="C179" s="60" t="s">
        <v>756</v>
      </c>
      <c r="D179" s="60" t="s">
        <v>757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f>214</f>
        <v>214</v>
      </c>
      <c r="L179" s="67" t="s">
        <v>814</v>
      </c>
      <c r="M179" s="66">
        <f>242</f>
        <v>242</v>
      </c>
      <c r="N179" s="67" t="s">
        <v>175</v>
      </c>
      <c r="O179" s="66">
        <f>214</f>
        <v>214</v>
      </c>
      <c r="P179" s="67" t="s">
        <v>814</v>
      </c>
      <c r="Q179" s="66">
        <f>234</f>
        <v>234</v>
      </c>
      <c r="R179" s="67" t="s">
        <v>51</v>
      </c>
      <c r="S179" s="68">
        <f>226.11</f>
        <v>226.11</v>
      </c>
      <c r="T179" s="65">
        <f>8880</f>
        <v>8880</v>
      </c>
      <c r="U179" s="65" t="str">
        <f t="shared" si="10"/>
        <v>－</v>
      </c>
      <c r="V179" s="65">
        <f>2011230</f>
        <v>2011230</v>
      </c>
      <c r="W179" s="65" t="str">
        <f t="shared" si="11"/>
        <v>－</v>
      </c>
      <c r="X179" s="69">
        <f>19</f>
        <v>19</v>
      </c>
    </row>
    <row r="180" spans="1:24">
      <c r="A180" s="60" t="s">
        <v>864</v>
      </c>
      <c r="B180" s="60" t="s">
        <v>758</v>
      </c>
      <c r="C180" s="60" t="s">
        <v>759</v>
      </c>
      <c r="D180" s="60" t="s">
        <v>760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>
        <f>1169</f>
        <v>1169</v>
      </c>
      <c r="L180" s="67" t="s">
        <v>818</v>
      </c>
      <c r="M180" s="66">
        <f>1273</f>
        <v>1273</v>
      </c>
      <c r="N180" s="67" t="s">
        <v>815</v>
      </c>
      <c r="O180" s="66">
        <f>1169</f>
        <v>1169</v>
      </c>
      <c r="P180" s="67" t="s">
        <v>818</v>
      </c>
      <c r="Q180" s="66">
        <f>1233</f>
        <v>1233</v>
      </c>
      <c r="R180" s="67" t="s">
        <v>95</v>
      </c>
      <c r="S180" s="68">
        <f>1226.5</f>
        <v>1226.5</v>
      </c>
      <c r="T180" s="65">
        <f>70</f>
        <v>70</v>
      </c>
      <c r="U180" s="65" t="str">
        <f t="shared" si="10"/>
        <v>－</v>
      </c>
      <c r="V180" s="65">
        <f>85110</f>
        <v>85110</v>
      </c>
      <c r="W180" s="65" t="str">
        <f t="shared" si="11"/>
        <v>－</v>
      </c>
      <c r="X180" s="69">
        <f>4</f>
        <v>4</v>
      </c>
    </row>
    <row r="181" spans="1:24">
      <c r="A181" s="60" t="s">
        <v>864</v>
      </c>
      <c r="B181" s="60" t="s">
        <v>761</v>
      </c>
      <c r="C181" s="60" t="s">
        <v>762</v>
      </c>
      <c r="D181" s="60" t="s">
        <v>763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400</f>
        <v>400</v>
      </c>
      <c r="L181" s="67" t="s">
        <v>814</v>
      </c>
      <c r="M181" s="66">
        <f>424</f>
        <v>424</v>
      </c>
      <c r="N181" s="67" t="s">
        <v>51</v>
      </c>
      <c r="O181" s="66">
        <f>372</f>
        <v>372</v>
      </c>
      <c r="P181" s="67" t="s">
        <v>48</v>
      </c>
      <c r="Q181" s="66">
        <f>418</f>
        <v>418</v>
      </c>
      <c r="R181" s="67" t="s">
        <v>51</v>
      </c>
      <c r="S181" s="68">
        <f>392.95</f>
        <v>392.95</v>
      </c>
      <c r="T181" s="65">
        <f>38010</f>
        <v>38010</v>
      </c>
      <c r="U181" s="65" t="str">
        <f t="shared" si="10"/>
        <v>－</v>
      </c>
      <c r="V181" s="65">
        <f>15209180</f>
        <v>15209180</v>
      </c>
      <c r="W181" s="65" t="str">
        <f t="shared" si="11"/>
        <v>－</v>
      </c>
      <c r="X181" s="69">
        <f>20</f>
        <v>20</v>
      </c>
    </row>
    <row r="182" spans="1:24">
      <c r="A182" s="60" t="s">
        <v>864</v>
      </c>
      <c r="B182" s="60" t="s">
        <v>764</v>
      </c>
      <c r="C182" s="60" t="s">
        <v>765</v>
      </c>
      <c r="D182" s="60" t="s">
        <v>766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</v>
      </c>
      <c r="K182" s="66">
        <f>271</f>
        <v>271</v>
      </c>
      <c r="L182" s="67" t="s">
        <v>814</v>
      </c>
      <c r="M182" s="66">
        <f>300</f>
        <v>300</v>
      </c>
      <c r="N182" s="67" t="s">
        <v>95</v>
      </c>
      <c r="O182" s="66">
        <f>266</f>
        <v>266</v>
      </c>
      <c r="P182" s="67" t="s">
        <v>834</v>
      </c>
      <c r="Q182" s="66">
        <f>296</f>
        <v>296</v>
      </c>
      <c r="R182" s="67" t="s">
        <v>51</v>
      </c>
      <c r="S182" s="68">
        <f>276.45</f>
        <v>276.45</v>
      </c>
      <c r="T182" s="65">
        <f>1164380</f>
        <v>1164380</v>
      </c>
      <c r="U182" s="65" t="str">
        <f t="shared" si="10"/>
        <v>－</v>
      </c>
      <c r="V182" s="65">
        <f>323335450</f>
        <v>323335450</v>
      </c>
      <c r="W182" s="65" t="str">
        <f t="shared" si="11"/>
        <v>－</v>
      </c>
      <c r="X182" s="69">
        <f>20</f>
        <v>20</v>
      </c>
    </row>
    <row r="183" spans="1:24">
      <c r="A183" s="60" t="s">
        <v>864</v>
      </c>
      <c r="B183" s="60" t="s">
        <v>767</v>
      </c>
      <c r="C183" s="60" t="s">
        <v>768</v>
      </c>
      <c r="D183" s="60" t="s">
        <v>769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100</v>
      </c>
      <c r="K183" s="66">
        <f>2</f>
        <v>2</v>
      </c>
      <c r="L183" s="67" t="s">
        <v>814</v>
      </c>
      <c r="M183" s="66">
        <f>2</f>
        <v>2</v>
      </c>
      <c r="N183" s="67" t="s">
        <v>814</v>
      </c>
      <c r="O183" s="66">
        <f>1</f>
        <v>1</v>
      </c>
      <c r="P183" s="67" t="s">
        <v>814</v>
      </c>
      <c r="Q183" s="66">
        <f>2</f>
        <v>2</v>
      </c>
      <c r="R183" s="67" t="s">
        <v>51</v>
      </c>
      <c r="S183" s="68">
        <f>1.75</f>
        <v>1.75</v>
      </c>
      <c r="T183" s="65">
        <f>90132800</f>
        <v>90132800</v>
      </c>
      <c r="U183" s="65" t="str">
        <f t="shared" si="10"/>
        <v>－</v>
      </c>
      <c r="V183" s="65">
        <f>166204600</f>
        <v>166204600</v>
      </c>
      <c r="W183" s="65" t="str">
        <f t="shared" si="11"/>
        <v>－</v>
      </c>
      <c r="X183" s="69">
        <f>20</f>
        <v>20</v>
      </c>
    </row>
    <row r="184" spans="1:24">
      <c r="A184" s="60" t="s">
        <v>864</v>
      </c>
      <c r="B184" s="60" t="s">
        <v>770</v>
      </c>
      <c r="C184" s="60" t="s">
        <v>771</v>
      </c>
      <c r="D184" s="60" t="s">
        <v>772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</v>
      </c>
      <c r="K184" s="66">
        <f>400</f>
        <v>400</v>
      </c>
      <c r="L184" s="67" t="s">
        <v>814</v>
      </c>
      <c r="M184" s="66">
        <f>431</f>
        <v>431</v>
      </c>
      <c r="N184" s="67" t="s">
        <v>821</v>
      </c>
      <c r="O184" s="66">
        <f>398</f>
        <v>398</v>
      </c>
      <c r="P184" s="67" t="s">
        <v>814</v>
      </c>
      <c r="Q184" s="66">
        <f>426</f>
        <v>426</v>
      </c>
      <c r="R184" s="67" t="s">
        <v>51</v>
      </c>
      <c r="S184" s="68">
        <f>420.2</f>
        <v>420.2</v>
      </c>
      <c r="T184" s="65">
        <f>1344170</f>
        <v>1344170</v>
      </c>
      <c r="U184" s="65" t="str">
        <f t="shared" si="10"/>
        <v>－</v>
      </c>
      <c r="V184" s="65">
        <f>564270780</f>
        <v>564270780</v>
      </c>
      <c r="W184" s="65" t="str">
        <f t="shared" si="11"/>
        <v>－</v>
      </c>
      <c r="X184" s="69">
        <f>20</f>
        <v>20</v>
      </c>
    </row>
    <row r="185" spans="1:24">
      <c r="A185" s="60" t="s">
        <v>864</v>
      </c>
      <c r="B185" s="60" t="s">
        <v>773</v>
      </c>
      <c r="C185" s="60" t="s">
        <v>774</v>
      </c>
      <c r="D185" s="60" t="s">
        <v>775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</v>
      </c>
      <c r="K185" s="66">
        <f>1632</f>
        <v>1632</v>
      </c>
      <c r="L185" s="67" t="s">
        <v>814</v>
      </c>
      <c r="M185" s="66">
        <f>1794</f>
        <v>1794</v>
      </c>
      <c r="N185" s="67" t="s">
        <v>91</v>
      </c>
      <c r="O185" s="66">
        <f>1579</f>
        <v>1579</v>
      </c>
      <c r="P185" s="67" t="s">
        <v>818</v>
      </c>
      <c r="Q185" s="66">
        <f>1700</f>
        <v>1700</v>
      </c>
      <c r="R185" s="67" t="s">
        <v>51</v>
      </c>
      <c r="S185" s="68">
        <f>1683.37</f>
        <v>1683.37</v>
      </c>
      <c r="T185" s="65">
        <f>1761</f>
        <v>1761</v>
      </c>
      <c r="U185" s="65" t="str">
        <f t="shared" si="10"/>
        <v>－</v>
      </c>
      <c r="V185" s="65">
        <f>2986183</f>
        <v>2986183</v>
      </c>
      <c r="W185" s="65" t="str">
        <f t="shared" si="11"/>
        <v>－</v>
      </c>
      <c r="X185" s="69">
        <f>19</f>
        <v>19</v>
      </c>
    </row>
    <row r="186" spans="1:24">
      <c r="A186" s="60" t="s">
        <v>864</v>
      </c>
      <c r="B186" s="60" t="s">
        <v>776</v>
      </c>
      <c r="C186" s="60" t="s">
        <v>777</v>
      </c>
      <c r="D186" s="60" t="s">
        <v>778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100</v>
      </c>
      <c r="K186" s="66">
        <f>278</f>
        <v>278</v>
      </c>
      <c r="L186" s="67" t="s">
        <v>817</v>
      </c>
      <c r="M186" s="66">
        <f>280</f>
        <v>280</v>
      </c>
      <c r="N186" s="67" t="s">
        <v>150</v>
      </c>
      <c r="O186" s="66">
        <f>269</f>
        <v>269</v>
      </c>
      <c r="P186" s="67" t="s">
        <v>816</v>
      </c>
      <c r="Q186" s="66">
        <f>271</f>
        <v>271</v>
      </c>
      <c r="R186" s="67" t="s">
        <v>821</v>
      </c>
      <c r="S186" s="68">
        <f>276.4</f>
        <v>276.39999999999998</v>
      </c>
      <c r="T186" s="65">
        <f>600</f>
        <v>600</v>
      </c>
      <c r="U186" s="65" t="str">
        <f t="shared" si="10"/>
        <v>－</v>
      </c>
      <c r="V186" s="65">
        <f>165100</f>
        <v>165100</v>
      </c>
      <c r="W186" s="65" t="str">
        <f t="shared" si="11"/>
        <v>－</v>
      </c>
      <c r="X186" s="69">
        <f>5</f>
        <v>5</v>
      </c>
    </row>
    <row r="187" spans="1:24">
      <c r="A187" s="60" t="s">
        <v>864</v>
      </c>
      <c r="B187" s="60" t="s">
        <v>779</v>
      </c>
      <c r="C187" s="60" t="s">
        <v>780</v>
      </c>
      <c r="D187" s="60" t="s">
        <v>781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10</v>
      </c>
      <c r="K187" s="66">
        <f>2925</f>
        <v>2925</v>
      </c>
      <c r="L187" s="67" t="s">
        <v>814</v>
      </c>
      <c r="M187" s="66">
        <f>2925</f>
        <v>2925</v>
      </c>
      <c r="N187" s="67" t="s">
        <v>814</v>
      </c>
      <c r="O187" s="66">
        <f>2775</f>
        <v>2775</v>
      </c>
      <c r="P187" s="67" t="s">
        <v>820</v>
      </c>
      <c r="Q187" s="66">
        <f>2887</f>
        <v>2887</v>
      </c>
      <c r="R187" s="67" t="s">
        <v>95</v>
      </c>
      <c r="S187" s="68">
        <f>2852.12</f>
        <v>2852.12</v>
      </c>
      <c r="T187" s="65">
        <f>1810</f>
        <v>1810</v>
      </c>
      <c r="U187" s="65" t="str">
        <f t="shared" si="10"/>
        <v>－</v>
      </c>
      <c r="V187" s="65">
        <f>5173500</f>
        <v>5173500</v>
      </c>
      <c r="W187" s="65" t="str">
        <f t="shared" si="11"/>
        <v>－</v>
      </c>
      <c r="X187" s="69">
        <f>17</f>
        <v>17</v>
      </c>
    </row>
    <row r="188" spans="1:24">
      <c r="A188" s="60" t="s">
        <v>864</v>
      </c>
      <c r="B188" s="60" t="s">
        <v>782</v>
      </c>
      <c r="C188" s="60" t="s">
        <v>783</v>
      </c>
      <c r="D188" s="60" t="s">
        <v>784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</v>
      </c>
      <c r="K188" s="66">
        <f>1391</f>
        <v>1391</v>
      </c>
      <c r="L188" s="67" t="s">
        <v>818</v>
      </c>
      <c r="M188" s="66">
        <f>1540</f>
        <v>1540</v>
      </c>
      <c r="N188" s="67" t="s">
        <v>95</v>
      </c>
      <c r="O188" s="66">
        <f>1385</f>
        <v>1385</v>
      </c>
      <c r="P188" s="67" t="s">
        <v>818</v>
      </c>
      <c r="Q188" s="66">
        <f>1540</f>
        <v>1540</v>
      </c>
      <c r="R188" s="67" t="s">
        <v>95</v>
      </c>
      <c r="S188" s="68">
        <f>1454.86</f>
        <v>1454.86</v>
      </c>
      <c r="T188" s="65">
        <f>990</f>
        <v>990</v>
      </c>
      <c r="U188" s="65" t="str">
        <f t="shared" si="10"/>
        <v>－</v>
      </c>
      <c r="V188" s="65">
        <f>1439620</f>
        <v>1439620</v>
      </c>
      <c r="W188" s="65" t="str">
        <f t="shared" si="11"/>
        <v>－</v>
      </c>
      <c r="X188" s="69">
        <f>14</f>
        <v>14</v>
      </c>
    </row>
    <row r="189" spans="1:24">
      <c r="A189" s="60" t="s">
        <v>864</v>
      </c>
      <c r="B189" s="60" t="s">
        <v>785</v>
      </c>
      <c r="C189" s="60" t="s">
        <v>786</v>
      </c>
      <c r="D189" s="60" t="s">
        <v>787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100</v>
      </c>
      <c r="K189" s="66">
        <f>65</f>
        <v>65</v>
      </c>
      <c r="L189" s="67" t="s">
        <v>814</v>
      </c>
      <c r="M189" s="66">
        <f>68</f>
        <v>68</v>
      </c>
      <c r="N189" s="67" t="s">
        <v>95</v>
      </c>
      <c r="O189" s="66">
        <f>60</f>
        <v>60</v>
      </c>
      <c r="P189" s="67" t="s">
        <v>834</v>
      </c>
      <c r="Q189" s="66">
        <f>67</f>
        <v>67</v>
      </c>
      <c r="R189" s="67" t="s">
        <v>51</v>
      </c>
      <c r="S189" s="68">
        <f>64.05</f>
        <v>64.05</v>
      </c>
      <c r="T189" s="65">
        <f>6830000</f>
        <v>6830000</v>
      </c>
      <c r="U189" s="65" t="str">
        <f t="shared" si="10"/>
        <v>－</v>
      </c>
      <c r="V189" s="65">
        <f>437347900</f>
        <v>437347900</v>
      </c>
      <c r="W189" s="65" t="str">
        <f t="shared" si="11"/>
        <v>－</v>
      </c>
      <c r="X189" s="69">
        <f>20</f>
        <v>20</v>
      </c>
    </row>
    <row r="190" spans="1:24">
      <c r="A190" s="60" t="s">
        <v>864</v>
      </c>
      <c r="B190" s="60" t="s">
        <v>788</v>
      </c>
      <c r="C190" s="60" t="s">
        <v>789</v>
      </c>
      <c r="D190" s="60" t="s">
        <v>790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100</v>
      </c>
      <c r="K190" s="66">
        <f>62</f>
        <v>62</v>
      </c>
      <c r="L190" s="67" t="s">
        <v>814</v>
      </c>
      <c r="M190" s="66">
        <f>68</f>
        <v>68</v>
      </c>
      <c r="N190" s="67" t="s">
        <v>95</v>
      </c>
      <c r="O190" s="66">
        <f>60</f>
        <v>60</v>
      </c>
      <c r="P190" s="67" t="s">
        <v>817</v>
      </c>
      <c r="Q190" s="66">
        <f>67</f>
        <v>67</v>
      </c>
      <c r="R190" s="67" t="s">
        <v>51</v>
      </c>
      <c r="S190" s="68">
        <f>63.9</f>
        <v>63.9</v>
      </c>
      <c r="T190" s="65">
        <f>3846100</f>
        <v>3846100</v>
      </c>
      <c r="U190" s="65" t="str">
        <f t="shared" si="10"/>
        <v>－</v>
      </c>
      <c r="V190" s="65">
        <f>246080500</f>
        <v>246080500</v>
      </c>
      <c r="W190" s="65" t="str">
        <f t="shared" si="11"/>
        <v>－</v>
      </c>
      <c r="X190" s="69">
        <f>20</f>
        <v>20</v>
      </c>
    </row>
    <row r="191" spans="1:24">
      <c r="A191" s="60" t="s">
        <v>864</v>
      </c>
      <c r="B191" s="60" t="s">
        <v>791</v>
      </c>
      <c r="C191" s="60" t="s">
        <v>792</v>
      </c>
      <c r="D191" s="60" t="s">
        <v>793</v>
      </c>
      <c r="E191" s="61" t="s">
        <v>46</v>
      </c>
      <c r="F191" s="62" t="s">
        <v>46</v>
      </c>
      <c r="G191" s="63" t="s">
        <v>46</v>
      </c>
      <c r="H191" s="64"/>
      <c r="I191" s="64" t="s">
        <v>47</v>
      </c>
      <c r="J191" s="65">
        <v>10</v>
      </c>
      <c r="K191" s="66">
        <f>1700</f>
        <v>1700</v>
      </c>
      <c r="L191" s="67" t="s">
        <v>814</v>
      </c>
      <c r="M191" s="66">
        <f>1889</f>
        <v>1889</v>
      </c>
      <c r="N191" s="67" t="s">
        <v>48</v>
      </c>
      <c r="O191" s="66">
        <f>1690</f>
        <v>1690</v>
      </c>
      <c r="P191" s="67" t="s">
        <v>816</v>
      </c>
      <c r="Q191" s="66">
        <f>1797</f>
        <v>1797</v>
      </c>
      <c r="R191" s="67" t="s">
        <v>51</v>
      </c>
      <c r="S191" s="68">
        <f>1730.7</f>
        <v>1730.7</v>
      </c>
      <c r="T191" s="65">
        <f>46670</f>
        <v>46670</v>
      </c>
      <c r="U191" s="65" t="str">
        <f t="shared" si="10"/>
        <v>－</v>
      </c>
      <c r="V191" s="65">
        <f>80937970</f>
        <v>80937970</v>
      </c>
      <c r="W191" s="65" t="str">
        <f t="shared" si="11"/>
        <v>－</v>
      </c>
      <c r="X191" s="69">
        <f>20</f>
        <v>20</v>
      </c>
    </row>
    <row r="192" spans="1:24">
      <c r="A192" s="60" t="s">
        <v>864</v>
      </c>
      <c r="B192" s="60" t="s">
        <v>568</v>
      </c>
      <c r="C192" s="60" t="s">
        <v>569</v>
      </c>
      <c r="D192" s="60" t="s">
        <v>570</v>
      </c>
      <c r="E192" s="61" t="s">
        <v>46</v>
      </c>
      <c r="F192" s="62" t="s">
        <v>46</v>
      </c>
      <c r="G192" s="63" t="s">
        <v>46</v>
      </c>
      <c r="H192" s="64"/>
      <c r="I192" s="64" t="s">
        <v>47</v>
      </c>
      <c r="J192" s="65">
        <v>10</v>
      </c>
      <c r="K192" s="66">
        <f>1346</f>
        <v>1346</v>
      </c>
      <c r="L192" s="67" t="s">
        <v>814</v>
      </c>
      <c r="M192" s="66">
        <f>1460</f>
        <v>1460</v>
      </c>
      <c r="N192" s="67" t="s">
        <v>820</v>
      </c>
      <c r="O192" s="66">
        <f>1346</f>
        <v>1346</v>
      </c>
      <c r="P192" s="67" t="s">
        <v>814</v>
      </c>
      <c r="Q192" s="66">
        <f>1445</f>
        <v>1445</v>
      </c>
      <c r="R192" s="67" t="s">
        <v>51</v>
      </c>
      <c r="S192" s="68">
        <f>1420.15</f>
        <v>1420.15</v>
      </c>
      <c r="T192" s="65">
        <f>35560</f>
        <v>35560</v>
      </c>
      <c r="U192" s="65" t="str">
        <f t="shared" si="10"/>
        <v>－</v>
      </c>
      <c r="V192" s="65">
        <f>50788390</f>
        <v>50788390</v>
      </c>
      <c r="W192" s="65" t="str">
        <f t="shared" si="11"/>
        <v>－</v>
      </c>
      <c r="X192" s="69">
        <f>20</f>
        <v>20</v>
      </c>
    </row>
    <row r="193" spans="1:24">
      <c r="A193" s="60" t="s">
        <v>864</v>
      </c>
      <c r="B193" s="60" t="s">
        <v>571</v>
      </c>
      <c r="C193" s="60" t="s">
        <v>572</v>
      </c>
      <c r="D193" s="60" t="s">
        <v>573</v>
      </c>
      <c r="E193" s="61" t="s">
        <v>46</v>
      </c>
      <c r="F193" s="62" t="s">
        <v>46</v>
      </c>
      <c r="G193" s="63" t="s">
        <v>46</v>
      </c>
      <c r="H193" s="64"/>
      <c r="I193" s="64" t="s">
        <v>47</v>
      </c>
      <c r="J193" s="65">
        <v>10</v>
      </c>
      <c r="K193" s="66">
        <f>105</f>
        <v>105</v>
      </c>
      <c r="L193" s="67" t="s">
        <v>814</v>
      </c>
      <c r="M193" s="66">
        <f>114</f>
        <v>114</v>
      </c>
      <c r="N193" s="67" t="s">
        <v>821</v>
      </c>
      <c r="O193" s="66">
        <f>104</f>
        <v>104</v>
      </c>
      <c r="P193" s="67" t="s">
        <v>814</v>
      </c>
      <c r="Q193" s="66">
        <f>112</f>
        <v>112</v>
      </c>
      <c r="R193" s="67" t="s">
        <v>51</v>
      </c>
      <c r="S193" s="68">
        <f>110.4</f>
        <v>110.4</v>
      </c>
      <c r="T193" s="65">
        <f>181914520</f>
        <v>181914520</v>
      </c>
      <c r="U193" s="65">
        <f>377490</f>
        <v>377490</v>
      </c>
      <c r="V193" s="65">
        <f>20073072339</f>
        <v>20073072339</v>
      </c>
      <c r="W193" s="65">
        <f>41875029</f>
        <v>41875029</v>
      </c>
      <c r="X193" s="69">
        <f>20</f>
        <v>20</v>
      </c>
    </row>
    <row r="194" spans="1:24">
      <c r="A194" s="60" t="s">
        <v>864</v>
      </c>
      <c r="B194" s="60" t="s">
        <v>574</v>
      </c>
      <c r="C194" s="60" t="s">
        <v>575</v>
      </c>
      <c r="D194" s="60" t="s">
        <v>576</v>
      </c>
      <c r="E194" s="61" t="s">
        <v>46</v>
      </c>
      <c r="F194" s="62" t="s">
        <v>46</v>
      </c>
      <c r="G194" s="63" t="s">
        <v>46</v>
      </c>
      <c r="H194" s="64"/>
      <c r="I194" s="64" t="s">
        <v>577</v>
      </c>
      <c r="J194" s="65">
        <v>1</v>
      </c>
      <c r="K194" s="66">
        <f>8630</f>
        <v>8630</v>
      </c>
      <c r="L194" s="67" t="s">
        <v>814</v>
      </c>
      <c r="M194" s="66">
        <f>9580</f>
        <v>9580</v>
      </c>
      <c r="N194" s="67" t="s">
        <v>51</v>
      </c>
      <c r="O194" s="66">
        <f>8500</f>
        <v>8500</v>
      </c>
      <c r="P194" s="67" t="s">
        <v>100</v>
      </c>
      <c r="Q194" s="66">
        <f>9540</f>
        <v>9540</v>
      </c>
      <c r="R194" s="67" t="s">
        <v>51</v>
      </c>
      <c r="S194" s="68">
        <f>9141.5</f>
        <v>9141.5</v>
      </c>
      <c r="T194" s="65">
        <f>13388</f>
        <v>13388</v>
      </c>
      <c r="U194" s="65" t="str">
        <f>"－"</f>
        <v>－</v>
      </c>
      <c r="V194" s="65">
        <f>122289760</f>
        <v>122289760</v>
      </c>
      <c r="W194" s="65" t="str">
        <f>"－"</f>
        <v>－</v>
      </c>
      <c r="X194" s="69">
        <f>20</f>
        <v>20</v>
      </c>
    </row>
    <row r="195" spans="1:24">
      <c r="A195" s="60" t="s">
        <v>864</v>
      </c>
      <c r="B195" s="60" t="s">
        <v>578</v>
      </c>
      <c r="C195" s="60" t="s">
        <v>579</v>
      </c>
      <c r="D195" s="60" t="s">
        <v>580</v>
      </c>
      <c r="E195" s="61" t="s">
        <v>46</v>
      </c>
      <c r="F195" s="62" t="s">
        <v>46</v>
      </c>
      <c r="G195" s="63" t="s">
        <v>46</v>
      </c>
      <c r="H195" s="64"/>
      <c r="I195" s="64" t="s">
        <v>577</v>
      </c>
      <c r="J195" s="65">
        <v>1</v>
      </c>
      <c r="K195" s="66">
        <f>6280</f>
        <v>6280</v>
      </c>
      <c r="L195" s="67" t="s">
        <v>814</v>
      </c>
      <c r="M195" s="66">
        <f>6400</f>
        <v>6400</v>
      </c>
      <c r="N195" s="67" t="s">
        <v>834</v>
      </c>
      <c r="O195" s="66">
        <f>5860</f>
        <v>5860</v>
      </c>
      <c r="P195" s="67" t="s">
        <v>51</v>
      </c>
      <c r="Q195" s="66">
        <f>5930</f>
        <v>5930</v>
      </c>
      <c r="R195" s="67" t="s">
        <v>51</v>
      </c>
      <c r="S195" s="68">
        <f>6114.21</f>
        <v>6114.21</v>
      </c>
      <c r="T195" s="65">
        <f>2333</f>
        <v>2333</v>
      </c>
      <c r="U195" s="65" t="str">
        <f>"－"</f>
        <v>－</v>
      </c>
      <c r="V195" s="65">
        <f>14346300</f>
        <v>14346300</v>
      </c>
      <c r="W195" s="65" t="str">
        <f>"－"</f>
        <v>－</v>
      </c>
      <c r="X195" s="69">
        <f>19</f>
        <v>19</v>
      </c>
    </row>
    <row r="196" spans="1:24">
      <c r="A196" s="60" t="s">
        <v>864</v>
      </c>
      <c r="B196" s="60" t="s">
        <v>581</v>
      </c>
      <c r="C196" s="60" t="s">
        <v>582</v>
      </c>
      <c r="D196" s="60" t="s">
        <v>583</v>
      </c>
      <c r="E196" s="61" t="s">
        <v>46</v>
      </c>
      <c r="F196" s="62" t="s">
        <v>46</v>
      </c>
      <c r="G196" s="63" t="s">
        <v>46</v>
      </c>
      <c r="H196" s="64"/>
      <c r="I196" s="64" t="s">
        <v>577</v>
      </c>
      <c r="J196" s="65">
        <v>1</v>
      </c>
      <c r="K196" s="66">
        <f>9210</f>
        <v>9210</v>
      </c>
      <c r="L196" s="67" t="s">
        <v>818</v>
      </c>
      <c r="M196" s="66">
        <f>11320</f>
        <v>11320</v>
      </c>
      <c r="N196" s="67" t="s">
        <v>820</v>
      </c>
      <c r="O196" s="66">
        <f>9210</f>
        <v>9210</v>
      </c>
      <c r="P196" s="67" t="s">
        <v>818</v>
      </c>
      <c r="Q196" s="66">
        <f>10360</f>
        <v>10360</v>
      </c>
      <c r="R196" s="67" t="s">
        <v>95</v>
      </c>
      <c r="S196" s="68">
        <f>10216.11</f>
        <v>10216.11</v>
      </c>
      <c r="T196" s="65">
        <f>758</f>
        <v>758</v>
      </c>
      <c r="U196" s="65" t="str">
        <f>"－"</f>
        <v>－</v>
      </c>
      <c r="V196" s="65">
        <f>7825550</f>
        <v>7825550</v>
      </c>
      <c r="W196" s="65" t="str">
        <f>"－"</f>
        <v>－</v>
      </c>
      <c r="X196" s="69">
        <f>18</f>
        <v>18</v>
      </c>
    </row>
    <row r="197" spans="1:24">
      <c r="A197" s="60" t="s">
        <v>864</v>
      </c>
      <c r="B197" s="60" t="s">
        <v>584</v>
      </c>
      <c r="C197" s="60" t="s">
        <v>585</v>
      </c>
      <c r="D197" s="60" t="s">
        <v>586</v>
      </c>
      <c r="E197" s="61" t="s">
        <v>46</v>
      </c>
      <c r="F197" s="62" t="s">
        <v>46</v>
      </c>
      <c r="G197" s="63" t="s">
        <v>46</v>
      </c>
      <c r="H197" s="64"/>
      <c r="I197" s="64" t="s">
        <v>577</v>
      </c>
      <c r="J197" s="65">
        <v>1</v>
      </c>
      <c r="K197" s="66">
        <f>7950</f>
        <v>7950</v>
      </c>
      <c r="L197" s="67" t="s">
        <v>814</v>
      </c>
      <c r="M197" s="66">
        <f>8140</f>
        <v>8140</v>
      </c>
      <c r="N197" s="67" t="s">
        <v>818</v>
      </c>
      <c r="O197" s="66">
        <f>7320</f>
        <v>7320</v>
      </c>
      <c r="P197" s="67" t="s">
        <v>820</v>
      </c>
      <c r="Q197" s="66">
        <f>7880</f>
        <v>7880</v>
      </c>
      <c r="R197" s="67" t="s">
        <v>51</v>
      </c>
      <c r="S197" s="68">
        <f>7878.5</f>
        <v>7878.5</v>
      </c>
      <c r="T197" s="65">
        <f>9217</f>
        <v>9217</v>
      </c>
      <c r="U197" s="65">
        <f>28</f>
        <v>28</v>
      </c>
      <c r="V197" s="65">
        <f>71647590</f>
        <v>71647590</v>
      </c>
      <c r="W197" s="65">
        <f>220300</f>
        <v>220300</v>
      </c>
      <c r="X197" s="69">
        <f>20</f>
        <v>20</v>
      </c>
    </row>
    <row r="198" spans="1:24">
      <c r="A198" s="60" t="s">
        <v>864</v>
      </c>
      <c r="B198" s="60" t="s">
        <v>587</v>
      </c>
      <c r="C198" s="60" t="s">
        <v>588</v>
      </c>
      <c r="D198" s="60" t="s">
        <v>589</v>
      </c>
      <c r="E198" s="61" t="s">
        <v>46</v>
      </c>
      <c r="F198" s="62" t="s">
        <v>46</v>
      </c>
      <c r="G198" s="63" t="s">
        <v>46</v>
      </c>
      <c r="H198" s="64"/>
      <c r="I198" s="64" t="s">
        <v>577</v>
      </c>
      <c r="J198" s="65">
        <v>1</v>
      </c>
      <c r="K198" s="66">
        <f>690</f>
        <v>690</v>
      </c>
      <c r="L198" s="67" t="s">
        <v>814</v>
      </c>
      <c r="M198" s="66">
        <f>690</f>
        <v>690</v>
      </c>
      <c r="N198" s="67" t="s">
        <v>814</v>
      </c>
      <c r="O198" s="66">
        <f>513</f>
        <v>513</v>
      </c>
      <c r="P198" s="67" t="s">
        <v>816</v>
      </c>
      <c r="Q198" s="66">
        <f>545</f>
        <v>545</v>
      </c>
      <c r="R198" s="67" t="s">
        <v>51</v>
      </c>
      <c r="S198" s="68">
        <f>581.25</f>
        <v>581.25</v>
      </c>
      <c r="T198" s="65">
        <f>12673762</f>
        <v>12673762</v>
      </c>
      <c r="U198" s="65">
        <f>1651</f>
        <v>1651</v>
      </c>
      <c r="V198" s="65">
        <f>7409190960</f>
        <v>7409190960</v>
      </c>
      <c r="W198" s="65">
        <f>970897</f>
        <v>970897</v>
      </c>
      <c r="X198" s="69">
        <f>20</f>
        <v>20</v>
      </c>
    </row>
    <row r="199" spans="1:24">
      <c r="A199" s="60" t="s">
        <v>864</v>
      </c>
      <c r="B199" s="60" t="s">
        <v>590</v>
      </c>
      <c r="C199" s="60" t="s">
        <v>856</v>
      </c>
      <c r="D199" s="60" t="s">
        <v>857</v>
      </c>
      <c r="E199" s="61" t="s">
        <v>46</v>
      </c>
      <c r="F199" s="62" t="s">
        <v>46</v>
      </c>
      <c r="G199" s="63" t="s">
        <v>46</v>
      </c>
      <c r="H199" s="64"/>
      <c r="I199" s="64" t="s">
        <v>577</v>
      </c>
      <c r="J199" s="65">
        <v>1</v>
      </c>
      <c r="K199" s="66">
        <f>20500</f>
        <v>20500</v>
      </c>
      <c r="L199" s="67" t="s">
        <v>814</v>
      </c>
      <c r="M199" s="66">
        <f>22560</f>
        <v>22560</v>
      </c>
      <c r="N199" s="67" t="s">
        <v>100</v>
      </c>
      <c r="O199" s="66">
        <f>18390</f>
        <v>18390</v>
      </c>
      <c r="P199" s="67" t="s">
        <v>815</v>
      </c>
      <c r="Q199" s="66">
        <f>20020</f>
        <v>20020</v>
      </c>
      <c r="R199" s="67" t="s">
        <v>51</v>
      </c>
      <c r="S199" s="68">
        <f>20389.5</f>
        <v>20389.5</v>
      </c>
      <c r="T199" s="65">
        <f>188904</f>
        <v>188904</v>
      </c>
      <c r="U199" s="65">
        <f>112</f>
        <v>112</v>
      </c>
      <c r="V199" s="65">
        <f>3855228960</f>
        <v>3855228960</v>
      </c>
      <c r="W199" s="65">
        <f>2327410</f>
        <v>2327410</v>
      </c>
      <c r="X199" s="69">
        <f>20</f>
        <v>20</v>
      </c>
    </row>
    <row r="200" spans="1:24">
      <c r="A200" s="60" t="s">
        <v>864</v>
      </c>
      <c r="B200" s="60" t="s">
        <v>593</v>
      </c>
      <c r="C200" s="60" t="s">
        <v>858</v>
      </c>
      <c r="D200" s="60" t="s">
        <v>859</v>
      </c>
      <c r="E200" s="61" t="s">
        <v>46</v>
      </c>
      <c r="F200" s="62" t="s">
        <v>46</v>
      </c>
      <c r="G200" s="63" t="s">
        <v>46</v>
      </c>
      <c r="H200" s="64"/>
      <c r="I200" s="64" t="s">
        <v>577</v>
      </c>
      <c r="J200" s="65">
        <v>1</v>
      </c>
      <c r="K200" s="66">
        <f>5430</f>
        <v>5430</v>
      </c>
      <c r="L200" s="67" t="s">
        <v>814</v>
      </c>
      <c r="M200" s="66">
        <f>5700</f>
        <v>5700</v>
      </c>
      <c r="N200" s="67" t="s">
        <v>815</v>
      </c>
      <c r="O200" s="66">
        <f>5120</f>
        <v>5120</v>
      </c>
      <c r="P200" s="67" t="s">
        <v>100</v>
      </c>
      <c r="Q200" s="66">
        <f>5400</f>
        <v>5400</v>
      </c>
      <c r="R200" s="67" t="s">
        <v>51</v>
      </c>
      <c r="S200" s="68">
        <f>5404.5</f>
        <v>5404.5</v>
      </c>
      <c r="T200" s="65">
        <f>44562</f>
        <v>44562</v>
      </c>
      <c r="U200" s="65" t="str">
        <f>"－"</f>
        <v>－</v>
      </c>
      <c r="V200" s="65">
        <f>242436530</f>
        <v>242436530</v>
      </c>
      <c r="W200" s="65" t="str">
        <f>"－"</f>
        <v>－</v>
      </c>
      <c r="X200" s="69">
        <f>20</f>
        <v>20</v>
      </c>
    </row>
    <row r="201" spans="1:24">
      <c r="A201" s="60" t="s">
        <v>864</v>
      </c>
      <c r="B201" s="60" t="s">
        <v>596</v>
      </c>
      <c r="C201" s="60" t="s">
        <v>860</v>
      </c>
      <c r="D201" s="60" t="s">
        <v>861</v>
      </c>
      <c r="E201" s="61" t="s">
        <v>46</v>
      </c>
      <c r="F201" s="62" t="s">
        <v>46</v>
      </c>
      <c r="G201" s="63" t="s">
        <v>46</v>
      </c>
      <c r="H201" s="64"/>
      <c r="I201" s="64" t="s">
        <v>577</v>
      </c>
      <c r="J201" s="65">
        <v>1</v>
      </c>
      <c r="K201" s="66">
        <f>260</f>
        <v>260</v>
      </c>
      <c r="L201" s="67" t="s">
        <v>814</v>
      </c>
      <c r="M201" s="66">
        <f>293</f>
        <v>293</v>
      </c>
      <c r="N201" s="67" t="s">
        <v>821</v>
      </c>
      <c r="O201" s="66">
        <f>258</f>
        <v>258</v>
      </c>
      <c r="P201" s="67" t="s">
        <v>814</v>
      </c>
      <c r="Q201" s="66">
        <f>286</f>
        <v>286</v>
      </c>
      <c r="R201" s="67" t="s">
        <v>51</v>
      </c>
      <c r="S201" s="68">
        <f>282.2</f>
        <v>282.2</v>
      </c>
      <c r="T201" s="65">
        <f>122271445</f>
        <v>122271445</v>
      </c>
      <c r="U201" s="65">
        <f>1454</f>
        <v>1454</v>
      </c>
      <c r="V201" s="65">
        <f>34375359891</f>
        <v>34375359891</v>
      </c>
      <c r="W201" s="65">
        <f>424854</f>
        <v>424854</v>
      </c>
      <c r="X201" s="69">
        <f>20</f>
        <v>20</v>
      </c>
    </row>
    <row r="202" spans="1:24">
      <c r="A202" s="60" t="s">
        <v>864</v>
      </c>
      <c r="B202" s="60" t="s">
        <v>599</v>
      </c>
      <c r="C202" s="60" t="s">
        <v>862</v>
      </c>
      <c r="D202" s="60" t="s">
        <v>863</v>
      </c>
      <c r="E202" s="61" t="s">
        <v>46</v>
      </c>
      <c r="F202" s="62" t="s">
        <v>46</v>
      </c>
      <c r="G202" s="63" t="s">
        <v>46</v>
      </c>
      <c r="H202" s="64"/>
      <c r="I202" s="64" t="s">
        <v>577</v>
      </c>
      <c r="J202" s="65">
        <v>1</v>
      </c>
      <c r="K202" s="66">
        <f>6070</f>
        <v>6070</v>
      </c>
      <c r="L202" s="67" t="s">
        <v>814</v>
      </c>
      <c r="M202" s="66">
        <f>6110</f>
        <v>6110</v>
      </c>
      <c r="N202" s="67" t="s">
        <v>814</v>
      </c>
      <c r="O202" s="66">
        <f>5750</f>
        <v>5750</v>
      </c>
      <c r="P202" s="67" t="s">
        <v>90</v>
      </c>
      <c r="Q202" s="66">
        <f>5800</f>
        <v>5800</v>
      </c>
      <c r="R202" s="67" t="s">
        <v>51</v>
      </c>
      <c r="S202" s="68">
        <f>5862</f>
        <v>5862</v>
      </c>
      <c r="T202" s="65">
        <f>89789</f>
        <v>89789</v>
      </c>
      <c r="U202" s="65">
        <f>41</f>
        <v>41</v>
      </c>
      <c r="V202" s="65">
        <f>526352150</f>
        <v>526352150</v>
      </c>
      <c r="W202" s="65">
        <f>241410</f>
        <v>241410</v>
      </c>
      <c r="X202" s="69">
        <f>20</f>
        <v>20</v>
      </c>
    </row>
    <row r="203" spans="1:24">
      <c r="A203" s="60" t="s">
        <v>864</v>
      </c>
      <c r="B203" s="60" t="s">
        <v>602</v>
      </c>
      <c r="C203" s="60" t="s">
        <v>603</v>
      </c>
      <c r="D203" s="60" t="s">
        <v>604</v>
      </c>
      <c r="E203" s="61" t="s">
        <v>46</v>
      </c>
      <c r="F203" s="62" t="s">
        <v>46</v>
      </c>
      <c r="G203" s="63" t="s">
        <v>46</v>
      </c>
      <c r="H203" s="64"/>
      <c r="I203" s="64" t="s">
        <v>577</v>
      </c>
      <c r="J203" s="65">
        <v>1</v>
      </c>
      <c r="K203" s="66">
        <f>18580</f>
        <v>18580</v>
      </c>
      <c r="L203" s="67" t="s">
        <v>814</v>
      </c>
      <c r="M203" s="66">
        <f>22090</f>
        <v>22090</v>
      </c>
      <c r="N203" s="67" t="s">
        <v>51</v>
      </c>
      <c r="O203" s="66">
        <f>18420</f>
        <v>18420</v>
      </c>
      <c r="P203" s="67" t="s">
        <v>814</v>
      </c>
      <c r="Q203" s="66">
        <f>22060</f>
        <v>22060</v>
      </c>
      <c r="R203" s="67" t="s">
        <v>51</v>
      </c>
      <c r="S203" s="68">
        <f>20480</f>
        <v>20480</v>
      </c>
      <c r="T203" s="65">
        <f>328529</f>
        <v>328529</v>
      </c>
      <c r="U203" s="65">
        <f>248</f>
        <v>248</v>
      </c>
      <c r="V203" s="65">
        <f>6769102770</f>
        <v>6769102770</v>
      </c>
      <c r="W203" s="65">
        <f>4932800</f>
        <v>4932800</v>
      </c>
      <c r="X203" s="69">
        <f>20</f>
        <v>20</v>
      </c>
    </row>
    <row r="204" spans="1:24">
      <c r="A204" s="60" t="s">
        <v>864</v>
      </c>
      <c r="B204" s="60" t="s">
        <v>605</v>
      </c>
      <c r="C204" s="60" t="s">
        <v>606</v>
      </c>
      <c r="D204" s="60" t="s">
        <v>607</v>
      </c>
      <c r="E204" s="61" t="s">
        <v>46</v>
      </c>
      <c r="F204" s="62" t="s">
        <v>46</v>
      </c>
      <c r="G204" s="63" t="s">
        <v>46</v>
      </c>
      <c r="H204" s="64"/>
      <c r="I204" s="64" t="s">
        <v>577</v>
      </c>
      <c r="J204" s="65">
        <v>1</v>
      </c>
      <c r="K204" s="66">
        <f>4075</f>
        <v>4075</v>
      </c>
      <c r="L204" s="67" t="s">
        <v>814</v>
      </c>
      <c r="M204" s="66">
        <f>4090</f>
        <v>4090</v>
      </c>
      <c r="N204" s="67" t="s">
        <v>814</v>
      </c>
      <c r="O204" s="66">
        <f>3730</f>
        <v>3730</v>
      </c>
      <c r="P204" s="67" t="s">
        <v>51</v>
      </c>
      <c r="Q204" s="66">
        <f>3735</f>
        <v>3735</v>
      </c>
      <c r="R204" s="67" t="s">
        <v>51</v>
      </c>
      <c r="S204" s="68">
        <f>3889.5</f>
        <v>3889.5</v>
      </c>
      <c r="T204" s="65">
        <f>349380</f>
        <v>349380</v>
      </c>
      <c r="U204" s="65">
        <f>10055</f>
        <v>10055</v>
      </c>
      <c r="V204" s="65">
        <f>1357109400</f>
        <v>1357109400</v>
      </c>
      <c r="W204" s="65">
        <f>40434125</f>
        <v>40434125</v>
      </c>
      <c r="X204" s="69">
        <f>20</f>
        <v>20</v>
      </c>
    </row>
    <row r="205" spans="1:24">
      <c r="A205" s="60" t="s">
        <v>864</v>
      </c>
      <c r="B205" s="60" t="s">
        <v>608</v>
      </c>
      <c r="C205" s="60" t="s">
        <v>609</v>
      </c>
      <c r="D205" s="60" t="s">
        <v>610</v>
      </c>
      <c r="E205" s="61" t="s">
        <v>46</v>
      </c>
      <c r="F205" s="62" t="s">
        <v>46</v>
      </c>
      <c r="G205" s="63" t="s">
        <v>46</v>
      </c>
      <c r="H205" s="64"/>
      <c r="I205" s="64" t="s">
        <v>577</v>
      </c>
      <c r="J205" s="65">
        <v>1</v>
      </c>
      <c r="K205" s="66">
        <f>10410</f>
        <v>10410</v>
      </c>
      <c r="L205" s="67" t="s">
        <v>814</v>
      </c>
      <c r="M205" s="66">
        <f>12400</f>
        <v>12400</v>
      </c>
      <c r="N205" s="67" t="s">
        <v>816</v>
      </c>
      <c r="O205" s="66">
        <f>10370</f>
        <v>10370</v>
      </c>
      <c r="P205" s="67" t="s">
        <v>814</v>
      </c>
      <c r="Q205" s="66">
        <f>11900</f>
        <v>11900</v>
      </c>
      <c r="R205" s="67" t="s">
        <v>51</v>
      </c>
      <c r="S205" s="68">
        <f>11438.5</f>
        <v>11438.5</v>
      </c>
      <c r="T205" s="65">
        <f>157486</f>
        <v>157486</v>
      </c>
      <c r="U205" s="65">
        <f>2083</f>
        <v>2083</v>
      </c>
      <c r="V205" s="65">
        <f>1839083780</f>
        <v>1839083780</v>
      </c>
      <c r="W205" s="65">
        <f>25593140</f>
        <v>25593140</v>
      </c>
      <c r="X205" s="69">
        <f>20</f>
        <v>20</v>
      </c>
    </row>
    <row r="206" spans="1:24">
      <c r="A206" s="60" t="s">
        <v>864</v>
      </c>
      <c r="B206" s="60" t="s">
        <v>611</v>
      </c>
      <c r="C206" s="60" t="s">
        <v>612</v>
      </c>
      <c r="D206" s="60" t="s">
        <v>613</v>
      </c>
      <c r="E206" s="61" t="s">
        <v>46</v>
      </c>
      <c r="F206" s="62" t="s">
        <v>46</v>
      </c>
      <c r="G206" s="63" t="s">
        <v>46</v>
      </c>
      <c r="H206" s="64"/>
      <c r="I206" s="64" t="s">
        <v>577</v>
      </c>
      <c r="J206" s="65">
        <v>1</v>
      </c>
      <c r="K206" s="66">
        <f>10180</f>
        <v>10180</v>
      </c>
      <c r="L206" s="67" t="s">
        <v>814</v>
      </c>
      <c r="M206" s="66">
        <f>10450</f>
        <v>10450</v>
      </c>
      <c r="N206" s="67" t="s">
        <v>90</v>
      </c>
      <c r="O206" s="66">
        <f>9840</f>
        <v>9840</v>
      </c>
      <c r="P206" s="67" t="s">
        <v>818</v>
      </c>
      <c r="Q206" s="66">
        <f>10200</f>
        <v>10200</v>
      </c>
      <c r="R206" s="67" t="s">
        <v>51</v>
      </c>
      <c r="S206" s="68">
        <f>10212.35</f>
        <v>10212.35</v>
      </c>
      <c r="T206" s="65">
        <f>445</f>
        <v>445</v>
      </c>
      <c r="U206" s="65" t="str">
        <f>"－"</f>
        <v>－</v>
      </c>
      <c r="V206" s="65">
        <f>4531370</f>
        <v>4531370</v>
      </c>
      <c r="W206" s="65" t="str">
        <f>"－"</f>
        <v>－</v>
      </c>
      <c r="X206" s="69">
        <f>17</f>
        <v>17</v>
      </c>
    </row>
    <row r="207" spans="1:24">
      <c r="A207" s="60" t="s">
        <v>864</v>
      </c>
      <c r="B207" s="60" t="s">
        <v>614</v>
      </c>
      <c r="C207" s="60" t="s">
        <v>615</v>
      </c>
      <c r="D207" s="60" t="s">
        <v>616</v>
      </c>
      <c r="E207" s="61" t="s">
        <v>46</v>
      </c>
      <c r="F207" s="62" t="s">
        <v>46</v>
      </c>
      <c r="G207" s="63" t="s">
        <v>46</v>
      </c>
      <c r="H207" s="64"/>
      <c r="I207" s="64" t="s">
        <v>577</v>
      </c>
      <c r="J207" s="65">
        <v>1</v>
      </c>
      <c r="K207" s="66">
        <f>13750</f>
        <v>13750</v>
      </c>
      <c r="L207" s="67" t="s">
        <v>814</v>
      </c>
      <c r="M207" s="66">
        <f>14580</f>
        <v>14580</v>
      </c>
      <c r="N207" s="67" t="s">
        <v>820</v>
      </c>
      <c r="O207" s="66">
        <f>13730</f>
        <v>13730</v>
      </c>
      <c r="P207" s="67" t="s">
        <v>817</v>
      </c>
      <c r="Q207" s="66">
        <f>14350</f>
        <v>14350</v>
      </c>
      <c r="R207" s="67" t="s">
        <v>51</v>
      </c>
      <c r="S207" s="68">
        <f>14162.5</f>
        <v>14162.5</v>
      </c>
      <c r="T207" s="65">
        <f>20595</f>
        <v>20595</v>
      </c>
      <c r="U207" s="65" t="str">
        <f>"－"</f>
        <v>－</v>
      </c>
      <c r="V207" s="65">
        <f>292683640</f>
        <v>292683640</v>
      </c>
      <c r="W207" s="65" t="str">
        <f>"－"</f>
        <v>－</v>
      </c>
      <c r="X207" s="69">
        <f>20</f>
        <v>20</v>
      </c>
    </row>
    <row r="208" spans="1:24">
      <c r="A208" s="60" t="s">
        <v>864</v>
      </c>
      <c r="B208" s="60" t="s">
        <v>617</v>
      </c>
      <c r="C208" s="60" t="s">
        <v>618</v>
      </c>
      <c r="D208" s="60" t="s">
        <v>619</v>
      </c>
      <c r="E208" s="61" t="s">
        <v>46</v>
      </c>
      <c r="F208" s="62" t="s">
        <v>46</v>
      </c>
      <c r="G208" s="63" t="s">
        <v>46</v>
      </c>
      <c r="H208" s="64"/>
      <c r="I208" s="64" t="s">
        <v>577</v>
      </c>
      <c r="J208" s="65">
        <v>1</v>
      </c>
      <c r="K208" s="66">
        <f>11850</f>
        <v>11850</v>
      </c>
      <c r="L208" s="67" t="s">
        <v>814</v>
      </c>
      <c r="M208" s="66">
        <f>12320</f>
        <v>12320</v>
      </c>
      <c r="N208" s="67" t="s">
        <v>51</v>
      </c>
      <c r="O208" s="66">
        <f>11850</f>
        <v>11850</v>
      </c>
      <c r="P208" s="67" t="s">
        <v>814</v>
      </c>
      <c r="Q208" s="66">
        <f>12010</f>
        <v>12010</v>
      </c>
      <c r="R208" s="67" t="s">
        <v>51</v>
      </c>
      <c r="S208" s="68">
        <f>12086.25</f>
        <v>12086.25</v>
      </c>
      <c r="T208" s="65">
        <f>333</f>
        <v>333</v>
      </c>
      <c r="U208" s="65" t="str">
        <f>"－"</f>
        <v>－</v>
      </c>
      <c r="V208" s="65">
        <f>4037740</f>
        <v>4037740</v>
      </c>
      <c r="W208" s="65" t="str">
        <f>"－"</f>
        <v>－</v>
      </c>
      <c r="X208" s="69">
        <f>16</f>
        <v>16</v>
      </c>
    </row>
    <row r="209" spans="1:24">
      <c r="A209" s="60" t="s">
        <v>864</v>
      </c>
      <c r="B209" s="60" t="s">
        <v>620</v>
      </c>
      <c r="C209" s="60" t="s">
        <v>621</v>
      </c>
      <c r="D209" s="60" t="s">
        <v>622</v>
      </c>
      <c r="E209" s="61" t="s">
        <v>46</v>
      </c>
      <c r="F209" s="62" t="s">
        <v>46</v>
      </c>
      <c r="G209" s="63" t="s">
        <v>46</v>
      </c>
      <c r="H209" s="64"/>
      <c r="I209" s="64" t="s">
        <v>577</v>
      </c>
      <c r="J209" s="65">
        <v>1</v>
      </c>
      <c r="K209" s="66">
        <f>7040</f>
        <v>7040</v>
      </c>
      <c r="L209" s="67" t="s">
        <v>814</v>
      </c>
      <c r="M209" s="66">
        <f>8490</f>
        <v>8490</v>
      </c>
      <c r="N209" s="67" t="s">
        <v>51</v>
      </c>
      <c r="O209" s="66">
        <f>7040</f>
        <v>7040</v>
      </c>
      <c r="P209" s="67" t="s">
        <v>814</v>
      </c>
      <c r="Q209" s="66">
        <f>8260</f>
        <v>8260</v>
      </c>
      <c r="R209" s="67" t="s">
        <v>51</v>
      </c>
      <c r="S209" s="68">
        <f>7671.5</f>
        <v>7671.5</v>
      </c>
      <c r="T209" s="65">
        <f>56061</f>
        <v>56061</v>
      </c>
      <c r="U209" s="65">
        <f>148</f>
        <v>148</v>
      </c>
      <c r="V209" s="65">
        <f>434299460</f>
        <v>434299460</v>
      </c>
      <c r="W209" s="65">
        <f>1155460</f>
        <v>1155460</v>
      </c>
      <c r="X209" s="69">
        <f>20</f>
        <v>20</v>
      </c>
    </row>
    <row r="210" spans="1:24">
      <c r="A210" s="60" t="s">
        <v>864</v>
      </c>
      <c r="B210" s="60" t="s">
        <v>623</v>
      </c>
      <c r="C210" s="60" t="s">
        <v>624</v>
      </c>
      <c r="D210" s="60" t="s">
        <v>625</v>
      </c>
      <c r="E210" s="61" t="s">
        <v>46</v>
      </c>
      <c r="F210" s="62" t="s">
        <v>46</v>
      </c>
      <c r="G210" s="63" t="s">
        <v>46</v>
      </c>
      <c r="H210" s="64"/>
      <c r="I210" s="64" t="s">
        <v>577</v>
      </c>
      <c r="J210" s="65">
        <v>1</v>
      </c>
      <c r="K210" s="66">
        <f>5980</f>
        <v>5980</v>
      </c>
      <c r="L210" s="67" t="s">
        <v>814</v>
      </c>
      <c r="M210" s="66">
        <f>6080</f>
        <v>6080</v>
      </c>
      <c r="N210" s="67" t="s">
        <v>818</v>
      </c>
      <c r="O210" s="66">
        <f>5700</f>
        <v>5700</v>
      </c>
      <c r="P210" s="67" t="s">
        <v>819</v>
      </c>
      <c r="Q210" s="66">
        <f>5770</f>
        <v>5770</v>
      </c>
      <c r="R210" s="67" t="s">
        <v>51</v>
      </c>
      <c r="S210" s="68">
        <f>5865</f>
        <v>5865</v>
      </c>
      <c r="T210" s="65">
        <f>2149</f>
        <v>2149</v>
      </c>
      <c r="U210" s="65" t="str">
        <f t="shared" ref="U210:U218" si="12">"－"</f>
        <v>－</v>
      </c>
      <c r="V210" s="65">
        <f>12635420</f>
        <v>12635420</v>
      </c>
      <c r="W210" s="65" t="str">
        <f t="shared" ref="W210:W218" si="13">"－"</f>
        <v>－</v>
      </c>
      <c r="X210" s="69">
        <f>20</f>
        <v>20</v>
      </c>
    </row>
    <row r="211" spans="1:24">
      <c r="A211" s="60" t="s">
        <v>864</v>
      </c>
      <c r="B211" s="60" t="s">
        <v>626</v>
      </c>
      <c r="C211" s="60" t="s">
        <v>627</v>
      </c>
      <c r="D211" s="60" t="s">
        <v>628</v>
      </c>
      <c r="E211" s="61" t="s">
        <v>46</v>
      </c>
      <c r="F211" s="62" t="s">
        <v>46</v>
      </c>
      <c r="G211" s="63" t="s">
        <v>46</v>
      </c>
      <c r="H211" s="64"/>
      <c r="I211" s="64" t="s">
        <v>577</v>
      </c>
      <c r="J211" s="65">
        <v>1</v>
      </c>
      <c r="K211" s="66">
        <f>8060</f>
        <v>8060</v>
      </c>
      <c r="L211" s="67" t="s">
        <v>818</v>
      </c>
      <c r="M211" s="66">
        <f>8670</f>
        <v>8670</v>
      </c>
      <c r="N211" s="67" t="s">
        <v>95</v>
      </c>
      <c r="O211" s="66">
        <f>7910</f>
        <v>7910</v>
      </c>
      <c r="P211" s="67" t="s">
        <v>100</v>
      </c>
      <c r="Q211" s="66">
        <f>8520</f>
        <v>8520</v>
      </c>
      <c r="R211" s="67" t="s">
        <v>95</v>
      </c>
      <c r="S211" s="68">
        <f>8371.67</f>
        <v>8371.67</v>
      </c>
      <c r="T211" s="65">
        <f>3051</f>
        <v>3051</v>
      </c>
      <c r="U211" s="65" t="str">
        <f t="shared" si="12"/>
        <v>－</v>
      </c>
      <c r="V211" s="65">
        <f>25116160</f>
        <v>25116160</v>
      </c>
      <c r="W211" s="65" t="str">
        <f t="shared" si="13"/>
        <v>－</v>
      </c>
      <c r="X211" s="69">
        <f>12</f>
        <v>12</v>
      </c>
    </row>
    <row r="212" spans="1:24">
      <c r="A212" s="60" t="s">
        <v>864</v>
      </c>
      <c r="B212" s="60" t="s">
        <v>629</v>
      </c>
      <c r="C212" s="60" t="s">
        <v>630</v>
      </c>
      <c r="D212" s="60" t="s">
        <v>631</v>
      </c>
      <c r="E212" s="61" t="s">
        <v>46</v>
      </c>
      <c r="F212" s="62" t="s">
        <v>46</v>
      </c>
      <c r="G212" s="63" t="s">
        <v>46</v>
      </c>
      <c r="H212" s="64"/>
      <c r="I212" s="64" t="s">
        <v>577</v>
      </c>
      <c r="J212" s="65">
        <v>1</v>
      </c>
      <c r="K212" s="66">
        <f>9550</f>
        <v>9550</v>
      </c>
      <c r="L212" s="67" t="s">
        <v>48</v>
      </c>
      <c r="M212" s="66">
        <f>9870</f>
        <v>9870</v>
      </c>
      <c r="N212" s="67" t="s">
        <v>91</v>
      </c>
      <c r="O212" s="66">
        <f>9480</f>
        <v>9480</v>
      </c>
      <c r="P212" s="67" t="s">
        <v>834</v>
      </c>
      <c r="Q212" s="66">
        <f>9810</f>
        <v>9810</v>
      </c>
      <c r="R212" s="67" t="s">
        <v>95</v>
      </c>
      <c r="S212" s="68">
        <f>9637.5</f>
        <v>9637.5</v>
      </c>
      <c r="T212" s="65">
        <f>1110</f>
        <v>1110</v>
      </c>
      <c r="U212" s="65" t="str">
        <f t="shared" si="12"/>
        <v>－</v>
      </c>
      <c r="V212" s="65">
        <f>10762400</f>
        <v>10762400</v>
      </c>
      <c r="W212" s="65" t="str">
        <f t="shared" si="13"/>
        <v>－</v>
      </c>
      <c r="X212" s="69">
        <f>4</f>
        <v>4</v>
      </c>
    </row>
    <row r="213" spans="1:24">
      <c r="A213" s="60" t="s">
        <v>864</v>
      </c>
      <c r="B213" s="60" t="s">
        <v>632</v>
      </c>
      <c r="C213" s="60" t="s">
        <v>633</v>
      </c>
      <c r="D213" s="60" t="s">
        <v>634</v>
      </c>
      <c r="E213" s="61" t="s">
        <v>46</v>
      </c>
      <c r="F213" s="62" t="s">
        <v>46</v>
      </c>
      <c r="G213" s="63" t="s">
        <v>46</v>
      </c>
      <c r="H213" s="64"/>
      <c r="I213" s="64" t="s">
        <v>577</v>
      </c>
      <c r="J213" s="65">
        <v>1</v>
      </c>
      <c r="K213" s="66">
        <f>9310</f>
        <v>9310</v>
      </c>
      <c r="L213" s="67" t="s">
        <v>814</v>
      </c>
      <c r="M213" s="66">
        <f>10350</f>
        <v>10350</v>
      </c>
      <c r="N213" s="67" t="s">
        <v>79</v>
      </c>
      <c r="O213" s="66">
        <f>9310</f>
        <v>9310</v>
      </c>
      <c r="P213" s="67" t="s">
        <v>814</v>
      </c>
      <c r="Q213" s="66">
        <f>10350</f>
        <v>10350</v>
      </c>
      <c r="R213" s="67" t="s">
        <v>821</v>
      </c>
      <c r="S213" s="68">
        <f>10080</f>
        <v>10080</v>
      </c>
      <c r="T213" s="65">
        <f>1599</f>
        <v>1599</v>
      </c>
      <c r="U213" s="65" t="str">
        <f t="shared" si="12"/>
        <v>－</v>
      </c>
      <c r="V213" s="65">
        <f>16510020</f>
        <v>16510020</v>
      </c>
      <c r="W213" s="65" t="str">
        <f t="shared" si="13"/>
        <v>－</v>
      </c>
      <c r="X213" s="69">
        <f>6</f>
        <v>6</v>
      </c>
    </row>
    <row r="214" spans="1:24">
      <c r="A214" s="60" t="s">
        <v>864</v>
      </c>
      <c r="B214" s="60" t="s">
        <v>635</v>
      </c>
      <c r="C214" s="60" t="s">
        <v>636</v>
      </c>
      <c r="D214" s="60" t="s">
        <v>637</v>
      </c>
      <c r="E214" s="61" t="s">
        <v>46</v>
      </c>
      <c r="F214" s="62" t="s">
        <v>46</v>
      </c>
      <c r="G214" s="63" t="s">
        <v>46</v>
      </c>
      <c r="H214" s="64"/>
      <c r="I214" s="64" t="s">
        <v>577</v>
      </c>
      <c r="J214" s="65">
        <v>1</v>
      </c>
      <c r="K214" s="66">
        <f>10400</f>
        <v>10400</v>
      </c>
      <c r="L214" s="67" t="s">
        <v>814</v>
      </c>
      <c r="M214" s="66">
        <f>10990</f>
        <v>10990</v>
      </c>
      <c r="N214" s="67" t="s">
        <v>821</v>
      </c>
      <c r="O214" s="66">
        <f>10230</f>
        <v>10230</v>
      </c>
      <c r="P214" s="67" t="s">
        <v>815</v>
      </c>
      <c r="Q214" s="66">
        <f>10990</f>
        <v>10990</v>
      </c>
      <c r="R214" s="67" t="s">
        <v>51</v>
      </c>
      <c r="S214" s="68">
        <f>10709</f>
        <v>10709</v>
      </c>
      <c r="T214" s="65">
        <f>328</f>
        <v>328</v>
      </c>
      <c r="U214" s="65" t="str">
        <f t="shared" si="12"/>
        <v>－</v>
      </c>
      <c r="V214" s="65">
        <f>3549650</f>
        <v>3549650</v>
      </c>
      <c r="W214" s="65" t="str">
        <f t="shared" si="13"/>
        <v>－</v>
      </c>
      <c r="X214" s="69">
        <f>10</f>
        <v>10</v>
      </c>
    </row>
    <row r="215" spans="1:24">
      <c r="A215" s="60" t="s">
        <v>864</v>
      </c>
      <c r="B215" s="60" t="s">
        <v>638</v>
      </c>
      <c r="C215" s="60" t="s">
        <v>639</v>
      </c>
      <c r="D215" s="60" t="s">
        <v>640</v>
      </c>
      <c r="E215" s="61" t="s">
        <v>46</v>
      </c>
      <c r="F215" s="62" t="s">
        <v>46</v>
      </c>
      <c r="G215" s="63" t="s">
        <v>46</v>
      </c>
      <c r="H215" s="64"/>
      <c r="I215" s="64" t="s">
        <v>577</v>
      </c>
      <c r="J215" s="65">
        <v>1</v>
      </c>
      <c r="K215" s="66">
        <f>9090</f>
        <v>9090</v>
      </c>
      <c r="L215" s="67" t="s">
        <v>814</v>
      </c>
      <c r="M215" s="66">
        <f>9940</f>
        <v>9940</v>
      </c>
      <c r="N215" s="67" t="s">
        <v>820</v>
      </c>
      <c r="O215" s="66">
        <f>9090</f>
        <v>9090</v>
      </c>
      <c r="P215" s="67" t="s">
        <v>814</v>
      </c>
      <c r="Q215" s="66">
        <f>9900</f>
        <v>9900</v>
      </c>
      <c r="R215" s="67" t="s">
        <v>51</v>
      </c>
      <c r="S215" s="68">
        <f>9760</f>
        <v>9760</v>
      </c>
      <c r="T215" s="65">
        <f>1613</f>
        <v>1613</v>
      </c>
      <c r="U215" s="65" t="str">
        <f t="shared" si="12"/>
        <v>－</v>
      </c>
      <c r="V215" s="65">
        <f>15709560</f>
        <v>15709560</v>
      </c>
      <c r="W215" s="65" t="str">
        <f t="shared" si="13"/>
        <v>－</v>
      </c>
      <c r="X215" s="69">
        <f>17</f>
        <v>17</v>
      </c>
    </row>
    <row r="216" spans="1:24">
      <c r="A216" s="60" t="s">
        <v>864</v>
      </c>
      <c r="B216" s="60" t="s">
        <v>641</v>
      </c>
      <c r="C216" s="60" t="s">
        <v>642</v>
      </c>
      <c r="D216" s="60" t="s">
        <v>643</v>
      </c>
      <c r="E216" s="61" t="s">
        <v>46</v>
      </c>
      <c r="F216" s="62" t="s">
        <v>46</v>
      </c>
      <c r="G216" s="63" t="s">
        <v>46</v>
      </c>
      <c r="H216" s="64"/>
      <c r="I216" s="64" t="s">
        <v>577</v>
      </c>
      <c r="J216" s="65">
        <v>1</v>
      </c>
      <c r="K216" s="66">
        <f>9480</f>
        <v>9480</v>
      </c>
      <c r="L216" s="67" t="s">
        <v>818</v>
      </c>
      <c r="M216" s="66">
        <f>10010</f>
        <v>10010</v>
      </c>
      <c r="N216" s="67" t="s">
        <v>822</v>
      </c>
      <c r="O216" s="66">
        <f>9480</f>
        <v>9480</v>
      </c>
      <c r="P216" s="67" t="s">
        <v>818</v>
      </c>
      <c r="Q216" s="66">
        <f>9680</f>
        <v>9680</v>
      </c>
      <c r="R216" s="67" t="s">
        <v>51</v>
      </c>
      <c r="S216" s="68">
        <f>9687.14</f>
        <v>9687.14</v>
      </c>
      <c r="T216" s="65">
        <f>2173</f>
        <v>2173</v>
      </c>
      <c r="U216" s="65" t="str">
        <f t="shared" si="12"/>
        <v>－</v>
      </c>
      <c r="V216" s="65">
        <f>21099170</f>
        <v>21099170</v>
      </c>
      <c r="W216" s="65" t="str">
        <f t="shared" si="13"/>
        <v>－</v>
      </c>
      <c r="X216" s="69">
        <f>7</f>
        <v>7</v>
      </c>
    </row>
    <row r="217" spans="1:24">
      <c r="A217" s="60" t="s">
        <v>864</v>
      </c>
      <c r="B217" s="60" t="s">
        <v>644</v>
      </c>
      <c r="C217" s="60" t="s">
        <v>645</v>
      </c>
      <c r="D217" s="60" t="s">
        <v>646</v>
      </c>
      <c r="E217" s="61" t="s">
        <v>46</v>
      </c>
      <c r="F217" s="62" t="s">
        <v>46</v>
      </c>
      <c r="G217" s="63" t="s">
        <v>46</v>
      </c>
      <c r="H217" s="64"/>
      <c r="I217" s="64" t="s">
        <v>577</v>
      </c>
      <c r="J217" s="65">
        <v>1</v>
      </c>
      <c r="K217" s="66">
        <f>11110</f>
        <v>11110</v>
      </c>
      <c r="L217" s="67" t="s">
        <v>90</v>
      </c>
      <c r="M217" s="66">
        <f>11110</f>
        <v>11110</v>
      </c>
      <c r="N217" s="67" t="s">
        <v>90</v>
      </c>
      <c r="O217" s="66">
        <f>11060</f>
        <v>11060</v>
      </c>
      <c r="P217" s="67" t="s">
        <v>49</v>
      </c>
      <c r="Q217" s="66">
        <f>11060</f>
        <v>11060</v>
      </c>
      <c r="R217" s="67" t="s">
        <v>49</v>
      </c>
      <c r="S217" s="68">
        <f>11085</f>
        <v>11085</v>
      </c>
      <c r="T217" s="65">
        <f>300</f>
        <v>300</v>
      </c>
      <c r="U217" s="65" t="str">
        <f t="shared" si="12"/>
        <v>－</v>
      </c>
      <c r="V217" s="65">
        <f>3323000</f>
        <v>3323000</v>
      </c>
      <c r="W217" s="65" t="str">
        <f t="shared" si="13"/>
        <v>－</v>
      </c>
      <c r="X217" s="69">
        <f>2</f>
        <v>2</v>
      </c>
    </row>
    <row r="218" spans="1:24">
      <c r="A218" s="60" t="s">
        <v>864</v>
      </c>
      <c r="B218" s="60" t="s">
        <v>647</v>
      </c>
      <c r="C218" s="60" t="s">
        <v>648</v>
      </c>
      <c r="D218" s="60" t="s">
        <v>649</v>
      </c>
      <c r="E218" s="61" t="s">
        <v>46</v>
      </c>
      <c r="F218" s="62" t="s">
        <v>46</v>
      </c>
      <c r="G218" s="63" t="s">
        <v>46</v>
      </c>
      <c r="H218" s="64"/>
      <c r="I218" s="64" t="s">
        <v>47</v>
      </c>
      <c r="J218" s="65">
        <v>10</v>
      </c>
      <c r="K218" s="66">
        <f>1001</f>
        <v>1001</v>
      </c>
      <c r="L218" s="67" t="s">
        <v>814</v>
      </c>
      <c r="M218" s="66">
        <f>1003</f>
        <v>1003</v>
      </c>
      <c r="N218" s="67" t="s">
        <v>817</v>
      </c>
      <c r="O218" s="66">
        <f>995</f>
        <v>995</v>
      </c>
      <c r="P218" s="67" t="s">
        <v>95</v>
      </c>
      <c r="Q218" s="66">
        <f>996</f>
        <v>996</v>
      </c>
      <c r="R218" s="67" t="s">
        <v>51</v>
      </c>
      <c r="S218" s="68">
        <f>999.05</f>
        <v>999.05</v>
      </c>
      <c r="T218" s="65">
        <f>392860</f>
        <v>392860</v>
      </c>
      <c r="U218" s="65" t="str">
        <f t="shared" si="12"/>
        <v>－</v>
      </c>
      <c r="V218" s="65">
        <f>392359950</f>
        <v>392359950</v>
      </c>
      <c r="W218" s="65" t="str">
        <f t="shared" si="13"/>
        <v>－</v>
      </c>
      <c r="X218" s="69">
        <f>20</f>
        <v>20</v>
      </c>
    </row>
    <row r="219" spans="1:24">
      <c r="A219" s="60" t="s">
        <v>864</v>
      </c>
      <c r="B219" s="60" t="s">
        <v>650</v>
      </c>
      <c r="C219" s="60" t="s">
        <v>651</v>
      </c>
      <c r="D219" s="60" t="s">
        <v>652</v>
      </c>
      <c r="E219" s="61" t="s">
        <v>46</v>
      </c>
      <c r="F219" s="62" t="s">
        <v>46</v>
      </c>
      <c r="G219" s="63" t="s">
        <v>46</v>
      </c>
      <c r="H219" s="64"/>
      <c r="I219" s="64" t="s">
        <v>47</v>
      </c>
      <c r="J219" s="65">
        <v>10</v>
      </c>
      <c r="K219" s="66">
        <f>1018</f>
        <v>1018</v>
      </c>
      <c r="L219" s="67" t="s">
        <v>814</v>
      </c>
      <c r="M219" s="66">
        <f>1025</f>
        <v>1025</v>
      </c>
      <c r="N219" s="67" t="s">
        <v>820</v>
      </c>
      <c r="O219" s="66">
        <f>1010</f>
        <v>1010</v>
      </c>
      <c r="P219" s="67" t="s">
        <v>51</v>
      </c>
      <c r="Q219" s="66">
        <f>1012</f>
        <v>1012</v>
      </c>
      <c r="R219" s="67" t="s">
        <v>51</v>
      </c>
      <c r="S219" s="68">
        <f>1018.8</f>
        <v>1018.8</v>
      </c>
      <c r="T219" s="65">
        <f>729800</f>
        <v>729800</v>
      </c>
      <c r="U219" s="65">
        <f>302080</f>
        <v>302080</v>
      </c>
      <c r="V219" s="65">
        <f>743476010</f>
        <v>743476010</v>
      </c>
      <c r="W219" s="65">
        <f>307004600</f>
        <v>307004600</v>
      </c>
      <c r="X219" s="69">
        <f>20</f>
        <v>20</v>
      </c>
    </row>
    <row r="220" spans="1:24">
      <c r="A220" s="60" t="s">
        <v>864</v>
      </c>
      <c r="B220" s="60" t="s">
        <v>653</v>
      </c>
      <c r="C220" s="60" t="s">
        <v>654</v>
      </c>
      <c r="D220" s="60" t="s">
        <v>655</v>
      </c>
      <c r="E220" s="61" t="s">
        <v>46</v>
      </c>
      <c r="F220" s="62" t="s">
        <v>46</v>
      </c>
      <c r="G220" s="63" t="s">
        <v>46</v>
      </c>
      <c r="H220" s="64"/>
      <c r="I220" s="64" t="s">
        <v>47</v>
      </c>
      <c r="J220" s="65">
        <v>10</v>
      </c>
      <c r="K220" s="66">
        <f>1070</f>
        <v>1070</v>
      </c>
      <c r="L220" s="67" t="s">
        <v>814</v>
      </c>
      <c r="M220" s="66">
        <f>1072</f>
        <v>1072</v>
      </c>
      <c r="N220" s="67" t="s">
        <v>817</v>
      </c>
      <c r="O220" s="66">
        <f>1053</f>
        <v>1053</v>
      </c>
      <c r="P220" s="67" t="s">
        <v>95</v>
      </c>
      <c r="Q220" s="66">
        <f>1056</f>
        <v>1056</v>
      </c>
      <c r="R220" s="67" t="s">
        <v>51</v>
      </c>
      <c r="S220" s="68">
        <f>1063.3</f>
        <v>1063.3</v>
      </c>
      <c r="T220" s="65">
        <f>843800</f>
        <v>843800</v>
      </c>
      <c r="U220" s="65">
        <f>422050</f>
        <v>422050</v>
      </c>
      <c r="V220" s="65">
        <f>894136018</f>
        <v>894136018</v>
      </c>
      <c r="W220" s="65">
        <f>446972388</f>
        <v>446972388</v>
      </c>
      <c r="X220" s="69">
        <f>20</f>
        <v>20</v>
      </c>
    </row>
    <row r="221" spans="1:24">
      <c r="A221" s="60" t="s">
        <v>864</v>
      </c>
      <c r="B221" s="60" t="s">
        <v>656</v>
      </c>
      <c r="C221" s="60" t="s">
        <v>657</v>
      </c>
      <c r="D221" s="60" t="s">
        <v>658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f>1090</f>
        <v>1090</v>
      </c>
      <c r="L221" s="67" t="s">
        <v>814</v>
      </c>
      <c r="M221" s="66">
        <f>1180</f>
        <v>1180</v>
      </c>
      <c r="N221" s="67" t="s">
        <v>95</v>
      </c>
      <c r="O221" s="66">
        <f>1090</f>
        <v>1090</v>
      </c>
      <c r="P221" s="67" t="s">
        <v>814</v>
      </c>
      <c r="Q221" s="66">
        <f>1167</f>
        <v>1167</v>
      </c>
      <c r="R221" s="67" t="s">
        <v>51</v>
      </c>
      <c r="S221" s="68">
        <f>1133.35</f>
        <v>1133.3499999999999</v>
      </c>
      <c r="T221" s="65">
        <f>1201620</f>
        <v>1201620</v>
      </c>
      <c r="U221" s="65">
        <f>358850</f>
        <v>358850</v>
      </c>
      <c r="V221" s="65">
        <f>1362571641</f>
        <v>1362571641</v>
      </c>
      <c r="W221" s="65">
        <f>407345381</f>
        <v>407345381</v>
      </c>
      <c r="X221" s="69">
        <f>20</f>
        <v>20</v>
      </c>
    </row>
    <row r="222" spans="1:24">
      <c r="A222" s="60" t="s">
        <v>864</v>
      </c>
      <c r="B222" s="60" t="s">
        <v>659</v>
      </c>
      <c r="C222" s="60" t="s">
        <v>660</v>
      </c>
      <c r="D222" s="60" t="s">
        <v>661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1127</f>
        <v>1127</v>
      </c>
      <c r="L222" s="67" t="s">
        <v>814</v>
      </c>
      <c r="M222" s="66">
        <f>1214</f>
        <v>1214</v>
      </c>
      <c r="N222" s="67" t="s">
        <v>51</v>
      </c>
      <c r="O222" s="66">
        <f>1126</f>
        <v>1126</v>
      </c>
      <c r="P222" s="67" t="s">
        <v>814</v>
      </c>
      <c r="Q222" s="66">
        <f>1210</f>
        <v>1210</v>
      </c>
      <c r="R222" s="67" t="s">
        <v>51</v>
      </c>
      <c r="S222" s="68">
        <f>1169.5</f>
        <v>1169.5</v>
      </c>
      <c r="T222" s="65">
        <f>790470</f>
        <v>790470</v>
      </c>
      <c r="U222" s="65">
        <f>740000</f>
        <v>740000</v>
      </c>
      <c r="V222" s="65">
        <f>920570940</f>
        <v>920570940</v>
      </c>
      <c r="W222" s="65">
        <f>861306200</f>
        <v>861306200</v>
      </c>
      <c r="X222" s="69">
        <f>20</f>
        <v>20</v>
      </c>
    </row>
    <row r="223" spans="1:24">
      <c r="A223" s="60" t="s">
        <v>864</v>
      </c>
      <c r="B223" s="60" t="s">
        <v>662</v>
      </c>
      <c r="C223" s="60" t="s">
        <v>663</v>
      </c>
      <c r="D223" s="60" t="s">
        <v>664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852</f>
        <v>852</v>
      </c>
      <c r="L223" s="67" t="s">
        <v>814</v>
      </c>
      <c r="M223" s="66">
        <f>884</f>
        <v>884</v>
      </c>
      <c r="N223" s="67" t="s">
        <v>51</v>
      </c>
      <c r="O223" s="66">
        <f>837</f>
        <v>837</v>
      </c>
      <c r="P223" s="67" t="s">
        <v>818</v>
      </c>
      <c r="Q223" s="66">
        <f>875</f>
        <v>875</v>
      </c>
      <c r="R223" s="67" t="s">
        <v>51</v>
      </c>
      <c r="S223" s="68">
        <f>857.95</f>
        <v>857.95</v>
      </c>
      <c r="T223" s="65">
        <f>405990</f>
        <v>405990</v>
      </c>
      <c r="U223" s="65">
        <f>1780</f>
        <v>1780</v>
      </c>
      <c r="V223" s="65">
        <f>348721461</f>
        <v>348721461</v>
      </c>
      <c r="W223" s="65">
        <f>1526501</f>
        <v>1526501</v>
      </c>
      <c r="X223" s="69">
        <f>20</f>
        <v>20</v>
      </c>
    </row>
    <row r="224" spans="1:24">
      <c r="A224" s="60" t="s">
        <v>864</v>
      </c>
      <c r="B224" s="60" t="s">
        <v>665</v>
      </c>
      <c r="C224" s="60" t="s">
        <v>666</v>
      </c>
      <c r="D224" s="60" t="s">
        <v>667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743</f>
        <v>743</v>
      </c>
      <c r="L224" s="67" t="s">
        <v>814</v>
      </c>
      <c r="M224" s="66">
        <f>890</f>
        <v>890</v>
      </c>
      <c r="N224" s="67" t="s">
        <v>816</v>
      </c>
      <c r="O224" s="66">
        <f>740</f>
        <v>740</v>
      </c>
      <c r="P224" s="67" t="s">
        <v>814</v>
      </c>
      <c r="Q224" s="66">
        <f>856</f>
        <v>856</v>
      </c>
      <c r="R224" s="67" t="s">
        <v>51</v>
      </c>
      <c r="S224" s="68">
        <f>822.8</f>
        <v>822.8</v>
      </c>
      <c r="T224" s="65">
        <f>9950060</f>
        <v>9950060</v>
      </c>
      <c r="U224" s="65">
        <f>7910</f>
        <v>7910</v>
      </c>
      <c r="V224" s="65">
        <f>8254337914</f>
        <v>8254337914</v>
      </c>
      <c r="W224" s="65">
        <f>6743734</f>
        <v>6743734</v>
      </c>
      <c r="X224" s="69">
        <f>20</f>
        <v>20</v>
      </c>
    </row>
    <row r="225" spans="1:24">
      <c r="A225" s="60" t="s">
        <v>864</v>
      </c>
      <c r="B225" s="60" t="s">
        <v>668</v>
      </c>
      <c r="C225" s="60" t="s">
        <v>669</v>
      </c>
      <c r="D225" s="60" t="s">
        <v>670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962</f>
        <v>962</v>
      </c>
      <c r="L225" s="67" t="s">
        <v>814</v>
      </c>
      <c r="M225" s="66">
        <f>1024</f>
        <v>1024</v>
      </c>
      <c r="N225" s="67" t="s">
        <v>51</v>
      </c>
      <c r="O225" s="66">
        <f>954</f>
        <v>954</v>
      </c>
      <c r="P225" s="67" t="s">
        <v>815</v>
      </c>
      <c r="Q225" s="66">
        <f>1013</f>
        <v>1013</v>
      </c>
      <c r="R225" s="67" t="s">
        <v>51</v>
      </c>
      <c r="S225" s="68">
        <f>978.15</f>
        <v>978.15</v>
      </c>
      <c r="T225" s="65">
        <f>419720</f>
        <v>419720</v>
      </c>
      <c r="U225" s="65" t="str">
        <f>"－"</f>
        <v>－</v>
      </c>
      <c r="V225" s="65">
        <f>413332100</f>
        <v>413332100</v>
      </c>
      <c r="W225" s="65" t="str">
        <f>"－"</f>
        <v>－</v>
      </c>
      <c r="X225" s="69">
        <f>20</f>
        <v>20</v>
      </c>
    </row>
    <row r="226" spans="1:24">
      <c r="A226" s="60" t="s">
        <v>864</v>
      </c>
      <c r="B226" s="60" t="s">
        <v>671</v>
      </c>
      <c r="C226" s="60" t="s">
        <v>672</v>
      </c>
      <c r="D226" s="60" t="s">
        <v>673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</v>
      </c>
      <c r="K226" s="66">
        <f>894</f>
        <v>894</v>
      </c>
      <c r="L226" s="67" t="s">
        <v>814</v>
      </c>
      <c r="M226" s="66">
        <f>960</f>
        <v>960</v>
      </c>
      <c r="N226" s="67" t="s">
        <v>816</v>
      </c>
      <c r="O226" s="66">
        <f>893</f>
        <v>893</v>
      </c>
      <c r="P226" s="67" t="s">
        <v>814</v>
      </c>
      <c r="Q226" s="66">
        <f>946</f>
        <v>946</v>
      </c>
      <c r="R226" s="67" t="s">
        <v>51</v>
      </c>
      <c r="S226" s="68">
        <f>936.6</f>
        <v>936.6</v>
      </c>
      <c r="T226" s="65">
        <f>5456</f>
        <v>5456</v>
      </c>
      <c r="U226" s="65" t="str">
        <f>"－"</f>
        <v>－</v>
      </c>
      <c r="V226" s="65">
        <f>5111032</f>
        <v>5111032</v>
      </c>
      <c r="W226" s="65" t="str">
        <f>"－"</f>
        <v>－</v>
      </c>
      <c r="X226" s="69">
        <f>20</f>
        <v>20</v>
      </c>
    </row>
    <row r="227" spans="1:24">
      <c r="A227" s="60" t="s">
        <v>864</v>
      </c>
      <c r="B227" s="60" t="s">
        <v>674</v>
      </c>
      <c r="C227" s="60" t="s">
        <v>675</v>
      </c>
      <c r="D227" s="60" t="s">
        <v>676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1029</f>
        <v>1029</v>
      </c>
      <c r="L227" s="67" t="s">
        <v>814</v>
      </c>
      <c r="M227" s="66">
        <f>1077</f>
        <v>1077</v>
      </c>
      <c r="N227" s="67" t="s">
        <v>820</v>
      </c>
      <c r="O227" s="66">
        <f>1029</f>
        <v>1029</v>
      </c>
      <c r="P227" s="67" t="s">
        <v>814</v>
      </c>
      <c r="Q227" s="66">
        <f>1048</f>
        <v>1048</v>
      </c>
      <c r="R227" s="67" t="s">
        <v>51</v>
      </c>
      <c r="S227" s="68">
        <f>1049.2</f>
        <v>1049.2</v>
      </c>
      <c r="T227" s="65">
        <f>89480</f>
        <v>89480</v>
      </c>
      <c r="U227" s="65" t="str">
        <f>"－"</f>
        <v>－</v>
      </c>
      <c r="V227" s="65">
        <f>93793080</f>
        <v>93793080</v>
      </c>
      <c r="W227" s="65" t="str">
        <f>"－"</f>
        <v>－</v>
      </c>
      <c r="X227" s="69">
        <f>20</f>
        <v>20</v>
      </c>
    </row>
    <row r="228" spans="1:24">
      <c r="A228" s="60" t="s">
        <v>864</v>
      </c>
      <c r="B228" s="60" t="s">
        <v>677</v>
      </c>
      <c r="C228" s="60" t="s">
        <v>678</v>
      </c>
      <c r="D228" s="60" t="s">
        <v>679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10</v>
      </c>
      <c r="K228" s="66">
        <f>1013</f>
        <v>1013</v>
      </c>
      <c r="L228" s="67" t="s">
        <v>814</v>
      </c>
      <c r="M228" s="66">
        <f>1055</f>
        <v>1055</v>
      </c>
      <c r="N228" s="67" t="s">
        <v>51</v>
      </c>
      <c r="O228" s="66">
        <f>1000</f>
        <v>1000</v>
      </c>
      <c r="P228" s="67" t="s">
        <v>814</v>
      </c>
      <c r="Q228" s="66">
        <f>1046</f>
        <v>1046</v>
      </c>
      <c r="R228" s="67" t="s">
        <v>51</v>
      </c>
      <c r="S228" s="68">
        <f>1020.65</f>
        <v>1020.65</v>
      </c>
      <c r="T228" s="65">
        <f>26150</f>
        <v>26150</v>
      </c>
      <c r="U228" s="65" t="str">
        <f>"－"</f>
        <v>－</v>
      </c>
      <c r="V228" s="65">
        <f>26801180</f>
        <v>26801180</v>
      </c>
      <c r="W228" s="65" t="str">
        <f>"－"</f>
        <v>－</v>
      </c>
      <c r="X228" s="69">
        <f>20</f>
        <v>20</v>
      </c>
    </row>
    <row r="229" spans="1:24">
      <c r="A229" s="60" t="s">
        <v>864</v>
      </c>
      <c r="B229" s="60" t="s">
        <v>680</v>
      </c>
      <c r="C229" s="60" t="s">
        <v>681</v>
      </c>
      <c r="D229" s="60" t="s">
        <v>682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10</v>
      </c>
      <c r="K229" s="66">
        <f>1145</f>
        <v>1145</v>
      </c>
      <c r="L229" s="67" t="s">
        <v>814</v>
      </c>
      <c r="M229" s="66">
        <f>1236</f>
        <v>1236</v>
      </c>
      <c r="N229" s="67" t="s">
        <v>51</v>
      </c>
      <c r="O229" s="66">
        <f>1143</f>
        <v>1143</v>
      </c>
      <c r="P229" s="67" t="s">
        <v>814</v>
      </c>
      <c r="Q229" s="66">
        <f>1233</f>
        <v>1233</v>
      </c>
      <c r="R229" s="67" t="s">
        <v>51</v>
      </c>
      <c r="S229" s="68">
        <f>1185.7</f>
        <v>1185.7</v>
      </c>
      <c r="T229" s="65">
        <f>7937340</f>
        <v>7937340</v>
      </c>
      <c r="U229" s="65">
        <f>2746720</f>
        <v>2746720</v>
      </c>
      <c r="V229" s="65">
        <f>9410359536</f>
        <v>9410359536</v>
      </c>
      <c r="W229" s="65">
        <f>3282435356</f>
        <v>3282435356</v>
      </c>
      <c r="X229" s="69">
        <f>20</f>
        <v>20</v>
      </c>
    </row>
    <row r="230" spans="1:24">
      <c r="A230" s="60" t="s">
        <v>864</v>
      </c>
      <c r="B230" s="60" t="s">
        <v>683</v>
      </c>
      <c r="C230" s="60" t="s">
        <v>684</v>
      </c>
      <c r="D230" s="60" t="s">
        <v>685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</v>
      </c>
      <c r="K230" s="66">
        <f>2594</f>
        <v>2594</v>
      </c>
      <c r="L230" s="67" t="s">
        <v>814</v>
      </c>
      <c r="M230" s="66">
        <f>2761</f>
        <v>2761</v>
      </c>
      <c r="N230" s="67" t="s">
        <v>95</v>
      </c>
      <c r="O230" s="66">
        <f>2586</f>
        <v>2586</v>
      </c>
      <c r="P230" s="67" t="s">
        <v>814</v>
      </c>
      <c r="Q230" s="66">
        <f>2751</f>
        <v>2751</v>
      </c>
      <c r="R230" s="67" t="s">
        <v>51</v>
      </c>
      <c r="S230" s="68">
        <f>2666</f>
        <v>2666</v>
      </c>
      <c r="T230" s="65">
        <f>31567</f>
        <v>31567</v>
      </c>
      <c r="U230" s="65" t="str">
        <f>"－"</f>
        <v>－</v>
      </c>
      <c r="V230" s="65">
        <f>84361187</f>
        <v>84361187</v>
      </c>
      <c r="W230" s="65" t="str">
        <f>"－"</f>
        <v>－</v>
      </c>
      <c r="X230" s="69">
        <f>20</f>
        <v>20</v>
      </c>
    </row>
    <row r="231" spans="1:24">
      <c r="A231" s="60" t="s">
        <v>864</v>
      </c>
      <c r="B231" s="60" t="s">
        <v>686</v>
      </c>
      <c r="C231" s="60" t="s">
        <v>687</v>
      </c>
      <c r="D231" s="60" t="s">
        <v>688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1550</f>
        <v>1550</v>
      </c>
      <c r="L231" s="67" t="s">
        <v>814</v>
      </c>
      <c r="M231" s="66">
        <f>1550</f>
        <v>1550</v>
      </c>
      <c r="N231" s="67" t="s">
        <v>814</v>
      </c>
      <c r="O231" s="66">
        <f>1397</f>
        <v>1397</v>
      </c>
      <c r="P231" s="67" t="s">
        <v>100</v>
      </c>
      <c r="Q231" s="66">
        <f>1500</f>
        <v>1500</v>
      </c>
      <c r="R231" s="67" t="s">
        <v>95</v>
      </c>
      <c r="S231" s="68">
        <f>1468.29</f>
        <v>1468.29</v>
      </c>
      <c r="T231" s="65">
        <f>3330</f>
        <v>3330</v>
      </c>
      <c r="U231" s="65" t="str">
        <f>"－"</f>
        <v>－</v>
      </c>
      <c r="V231" s="65">
        <f>4923120</f>
        <v>4923120</v>
      </c>
      <c r="W231" s="65" t="str">
        <f>"－"</f>
        <v>－</v>
      </c>
      <c r="X231" s="69">
        <f>14</f>
        <v>14</v>
      </c>
    </row>
    <row r="232" spans="1:24">
      <c r="A232" s="60" t="s">
        <v>864</v>
      </c>
      <c r="B232" s="60" t="s">
        <v>689</v>
      </c>
      <c r="C232" s="60" t="s">
        <v>690</v>
      </c>
      <c r="D232" s="60" t="s">
        <v>691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10</v>
      </c>
      <c r="K232" s="66">
        <f>1546</f>
        <v>1546</v>
      </c>
      <c r="L232" s="67" t="s">
        <v>814</v>
      </c>
      <c r="M232" s="66">
        <f>1695</f>
        <v>1695</v>
      </c>
      <c r="N232" s="67" t="s">
        <v>834</v>
      </c>
      <c r="O232" s="66">
        <f>1546</f>
        <v>1546</v>
      </c>
      <c r="P232" s="67" t="s">
        <v>814</v>
      </c>
      <c r="Q232" s="66">
        <f>1629</f>
        <v>1629</v>
      </c>
      <c r="R232" s="67" t="s">
        <v>51</v>
      </c>
      <c r="S232" s="68">
        <f>1621.63</f>
        <v>1621.63</v>
      </c>
      <c r="T232" s="65">
        <f>998910</f>
        <v>998910</v>
      </c>
      <c r="U232" s="65">
        <f>360000</f>
        <v>360000</v>
      </c>
      <c r="V232" s="65">
        <f>1597078240</f>
        <v>1597078240</v>
      </c>
      <c r="W232" s="65">
        <f>576111000</f>
        <v>576111000</v>
      </c>
      <c r="X232" s="69">
        <f>16</f>
        <v>16</v>
      </c>
    </row>
    <row r="233" spans="1:24">
      <c r="A233" s="60" t="s">
        <v>864</v>
      </c>
      <c r="B233" s="60" t="s">
        <v>692</v>
      </c>
      <c r="C233" s="60" t="s">
        <v>693</v>
      </c>
      <c r="D233" s="60" t="s">
        <v>694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</v>
      </c>
      <c r="K233" s="66">
        <f>22480</f>
        <v>22480</v>
      </c>
      <c r="L233" s="67" t="s">
        <v>814</v>
      </c>
      <c r="M233" s="66">
        <f>23410</f>
        <v>23410</v>
      </c>
      <c r="N233" s="67" t="s">
        <v>816</v>
      </c>
      <c r="O233" s="66">
        <f>22480</f>
        <v>22480</v>
      </c>
      <c r="P233" s="67" t="s">
        <v>814</v>
      </c>
      <c r="Q233" s="66">
        <f>23400</f>
        <v>23400</v>
      </c>
      <c r="R233" s="67" t="s">
        <v>51</v>
      </c>
      <c r="S233" s="68">
        <f>23130</f>
        <v>23130</v>
      </c>
      <c r="T233" s="65">
        <f>3579</f>
        <v>3579</v>
      </c>
      <c r="U233" s="65" t="str">
        <f>"－"</f>
        <v>－</v>
      </c>
      <c r="V233" s="65">
        <f>82675470</f>
        <v>82675470</v>
      </c>
      <c r="W233" s="65" t="str">
        <f>"－"</f>
        <v>－</v>
      </c>
      <c r="X233" s="69">
        <f>11</f>
        <v>11</v>
      </c>
    </row>
    <row r="234" spans="1:24">
      <c r="A234" s="60" t="s">
        <v>864</v>
      </c>
      <c r="B234" s="60" t="s">
        <v>695</v>
      </c>
      <c r="C234" s="60" t="s">
        <v>696</v>
      </c>
      <c r="D234" s="60" t="s">
        <v>697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</v>
      </c>
      <c r="K234" s="66">
        <f>13820</f>
        <v>13820</v>
      </c>
      <c r="L234" s="67" t="s">
        <v>814</v>
      </c>
      <c r="M234" s="66">
        <f>14850</f>
        <v>14850</v>
      </c>
      <c r="N234" s="67" t="s">
        <v>91</v>
      </c>
      <c r="O234" s="66">
        <f>13820</f>
        <v>13820</v>
      </c>
      <c r="P234" s="67" t="s">
        <v>814</v>
      </c>
      <c r="Q234" s="66">
        <f>14740</f>
        <v>14740</v>
      </c>
      <c r="R234" s="67" t="s">
        <v>51</v>
      </c>
      <c r="S234" s="68">
        <f>14467.33</f>
        <v>14467.33</v>
      </c>
      <c r="T234" s="65">
        <f>45879</f>
        <v>45879</v>
      </c>
      <c r="U234" s="65">
        <f>23993</f>
        <v>23993</v>
      </c>
      <c r="V234" s="65">
        <f>650236455</f>
        <v>650236455</v>
      </c>
      <c r="W234" s="65">
        <f>341092805</f>
        <v>341092805</v>
      </c>
      <c r="X234" s="69">
        <f>15</f>
        <v>15</v>
      </c>
    </row>
    <row r="235" spans="1:24">
      <c r="A235" s="60" t="s">
        <v>864</v>
      </c>
      <c r="B235" s="60" t="s">
        <v>698</v>
      </c>
      <c r="C235" s="60" t="s">
        <v>699</v>
      </c>
      <c r="D235" s="60" t="s">
        <v>700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10</v>
      </c>
      <c r="K235" s="66">
        <f>955</f>
        <v>955</v>
      </c>
      <c r="L235" s="67" t="s">
        <v>814</v>
      </c>
      <c r="M235" s="66">
        <f>1030</f>
        <v>1030</v>
      </c>
      <c r="N235" s="67" t="s">
        <v>51</v>
      </c>
      <c r="O235" s="66">
        <f>955</f>
        <v>955</v>
      </c>
      <c r="P235" s="67" t="s">
        <v>814</v>
      </c>
      <c r="Q235" s="66">
        <f>1030</f>
        <v>1030</v>
      </c>
      <c r="R235" s="67" t="s">
        <v>51</v>
      </c>
      <c r="S235" s="68">
        <f>983.09</f>
        <v>983.09</v>
      </c>
      <c r="T235" s="65">
        <f>45590</f>
        <v>45590</v>
      </c>
      <c r="U235" s="65" t="str">
        <f t="shared" ref="U235:U245" si="14">"－"</f>
        <v>－</v>
      </c>
      <c r="V235" s="65">
        <f>45876530</f>
        <v>45876530</v>
      </c>
      <c r="W235" s="65" t="str">
        <f t="shared" ref="W235:W245" si="15">"－"</f>
        <v>－</v>
      </c>
      <c r="X235" s="69">
        <f>11</f>
        <v>11</v>
      </c>
    </row>
    <row r="236" spans="1:24">
      <c r="A236" s="60" t="s">
        <v>864</v>
      </c>
      <c r="B236" s="60" t="s">
        <v>701</v>
      </c>
      <c r="C236" s="60" t="s">
        <v>702</v>
      </c>
      <c r="D236" s="60" t="s">
        <v>703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10</v>
      </c>
      <c r="K236" s="66">
        <f>955</f>
        <v>955</v>
      </c>
      <c r="L236" s="67" t="s">
        <v>814</v>
      </c>
      <c r="M236" s="66">
        <f>1031</f>
        <v>1031</v>
      </c>
      <c r="N236" s="67" t="s">
        <v>51</v>
      </c>
      <c r="O236" s="66">
        <f>955</f>
        <v>955</v>
      </c>
      <c r="P236" s="67" t="s">
        <v>814</v>
      </c>
      <c r="Q236" s="66">
        <f>1018</f>
        <v>1018</v>
      </c>
      <c r="R236" s="67" t="s">
        <v>51</v>
      </c>
      <c r="S236" s="68">
        <f>983.65</f>
        <v>983.65</v>
      </c>
      <c r="T236" s="65">
        <f>6400</f>
        <v>6400</v>
      </c>
      <c r="U236" s="65" t="str">
        <f t="shared" si="14"/>
        <v>－</v>
      </c>
      <c r="V236" s="65">
        <f>6320880</f>
        <v>6320880</v>
      </c>
      <c r="W236" s="65" t="str">
        <f t="shared" si="15"/>
        <v>－</v>
      </c>
      <c r="X236" s="69">
        <f>20</f>
        <v>20</v>
      </c>
    </row>
    <row r="237" spans="1:24">
      <c r="A237" s="60" t="s">
        <v>864</v>
      </c>
      <c r="B237" s="60" t="s">
        <v>704</v>
      </c>
      <c r="C237" s="60" t="s">
        <v>705</v>
      </c>
      <c r="D237" s="60" t="s">
        <v>706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</v>
      </c>
      <c r="K237" s="66">
        <f>828</f>
        <v>828</v>
      </c>
      <c r="L237" s="67" t="s">
        <v>814</v>
      </c>
      <c r="M237" s="66">
        <f>908</f>
        <v>908</v>
      </c>
      <c r="N237" s="67" t="s">
        <v>51</v>
      </c>
      <c r="O237" s="66">
        <f>826</f>
        <v>826</v>
      </c>
      <c r="P237" s="67" t="s">
        <v>814</v>
      </c>
      <c r="Q237" s="66">
        <f>895</f>
        <v>895</v>
      </c>
      <c r="R237" s="67" t="s">
        <v>51</v>
      </c>
      <c r="S237" s="68">
        <f>879.25</f>
        <v>879.25</v>
      </c>
      <c r="T237" s="65">
        <f>490185</f>
        <v>490185</v>
      </c>
      <c r="U237" s="65" t="str">
        <f t="shared" si="14"/>
        <v>－</v>
      </c>
      <c r="V237" s="65">
        <f>432378661</f>
        <v>432378661</v>
      </c>
      <c r="W237" s="65" t="str">
        <f t="shared" si="15"/>
        <v>－</v>
      </c>
      <c r="X237" s="69">
        <f>20</f>
        <v>20</v>
      </c>
    </row>
    <row r="238" spans="1:24">
      <c r="A238" s="60" t="s">
        <v>864</v>
      </c>
      <c r="B238" s="60" t="s">
        <v>707</v>
      </c>
      <c r="C238" s="60" t="s">
        <v>708</v>
      </c>
      <c r="D238" s="60" t="s">
        <v>709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</v>
      </c>
      <c r="K238" s="66">
        <f>10810</f>
        <v>10810</v>
      </c>
      <c r="L238" s="67" t="s">
        <v>814</v>
      </c>
      <c r="M238" s="66">
        <f>12180</f>
        <v>12180</v>
      </c>
      <c r="N238" s="67" t="s">
        <v>51</v>
      </c>
      <c r="O238" s="66">
        <f>10810</f>
        <v>10810</v>
      </c>
      <c r="P238" s="67" t="s">
        <v>814</v>
      </c>
      <c r="Q238" s="66">
        <f>12100</f>
        <v>12100</v>
      </c>
      <c r="R238" s="67" t="s">
        <v>51</v>
      </c>
      <c r="S238" s="68">
        <f>11665.5</f>
        <v>11665.5</v>
      </c>
      <c r="T238" s="65">
        <f>1194</f>
        <v>1194</v>
      </c>
      <c r="U238" s="65" t="str">
        <f t="shared" si="14"/>
        <v>－</v>
      </c>
      <c r="V238" s="65">
        <f>13969740</f>
        <v>13969740</v>
      </c>
      <c r="W238" s="65" t="str">
        <f t="shared" si="15"/>
        <v>－</v>
      </c>
      <c r="X238" s="69">
        <f>20</f>
        <v>20</v>
      </c>
    </row>
    <row r="239" spans="1:24">
      <c r="A239" s="60" t="s">
        <v>864</v>
      </c>
      <c r="B239" s="60" t="s">
        <v>710</v>
      </c>
      <c r="C239" s="60" t="s">
        <v>711</v>
      </c>
      <c r="D239" s="60" t="s">
        <v>712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</v>
      </c>
      <c r="K239" s="66">
        <f>1776</f>
        <v>1776</v>
      </c>
      <c r="L239" s="67" t="s">
        <v>814</v>
      </c>
      <c r="M239" s="66">
        <f>1884</f>
        <v>1884</v>
      </c>
      <c r="N239" s="67" t="s">
        <v>51</v>
      </c>
      <c r="O239" s="66">
        <f>1770</f>
        <v>1770</v>
      </c>
      <c r="P239" s="67" t="s">
        <v>815</v>
      </c>
      <c r="Q239" s="66">
        <f>1860</f>
        <v>1860</v>
      </c>
      <c r="R239" s="67" t="s">
        <v>51</v>
      </c>
      <c r="S239" s="68">
        <f>1810.15</f>
        <v>1810.15</v>
      </c>
      <c r="T239" s="65">
        <f>8810</f>
        <v>8810</v>
      </c>
      <c r="U239" s="65" t="str">
        <f t="shared" si="14"/>
        <v>－</v>
      </c>
      <c r="V239" s="65">
        <f>16064963</f>
        <v>16064963</v>
      </c>
      <c r="W239" s="65" t="str">
        <f t="shared" si="15"/>
        <v>－</v>
      </c>
      <c r="X239" s="69">
        <f>20</f>
        <v>20</v>
      </c>
    </row>
    <row r="240" spans="1:24">
      <c r="A240" s="60" t="s">
        <v>864</v>
      </c>
      <c r="B240" s="60" t="s">
        <v>713</v>
      </c>
      <c r="C240" s="60" t="s">
        <v>714</v>
      </c>
      <c r="D240" s="60" t="s">
        <v>715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10</v>
      </c>
      <c r="K240" s="66">
        <f>1077</f>
        <v>1077</v>
      </c>
      <c r="L240" s="67" t="s">
        <v>818</v>
      </c>
      <c r="M240" s="66">
        <f>1177</f>
        <v>1177</v>
      </c>
      <c r="N240" s="67" t="s">
        <v>79</v>
      </c>
      <c r="O240" s="66">
        <f>1077</f>
        <v>1077</v>
      </c>
      <c r="P240" s="67" t="s">
        <v>818</v>
      </c>
      <c r="Q240" s="66">
        <f>1175</f>
        <v>1175</v>
      </c>
      <c r="R240" s="67" t="s">
        <v>51</v>
      </c>
      <c r="S240" s="68">
        <f>1137.73</f>
        <v>1137.73</v>
      </c>
      <c r="T240" s="65">
        <f>860</f>
        <v>860</v>
      </c>
      <c r="U240" s="65" t="str">
        <f t="shared" si="14"/>
        <v>－</v>
      </c>
      <c r="V240" s="65">
        <f>982680</f>
        <v>982680</v>
      </c>
      <c r="W240" s="65" t="str">
        <f t="shared" si="15"/>
        <v>－</v>
      </c>
      <c r="X240" s="69">
        <f>11</f>
        <v>11</v>
      </c>
    </row>
    <row r="241" spans="1:24">
      <c r="A241" s="60" t="s">
        <v>864</v>
      </c>
      <c r="B241" s="60" t="s">
        <v>716</v>
      </c>
      <c r="C241" s="60" t="s">
        <v>717</v>
      </c>
      <c r="D241" s="60" t="s">
        <v>718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10</v>
      </c>
      <c r="K241" s="66">
        <f>1034</f>
        <v>1034</v>
      </c>
      <c r="L241" s="67" t="s">
        <v>814</v>
      </c>
      <c r="M241" s="66">
        <f>1037</f>
        <v>1037</v>
      </c>
      <c r="N241" s="67" t="s">
        <v>48</v>
      </c>
      <c r="O241" s="66">
        <f>1028</f>
        <v>1028</v>
      </c>
      <c r="P241" s="67" t="s">
        <v>821</v>
      </c>
      <c r="Q241" s="66">
        <f>1030</f>
        <v>1030</v>
      </c>
      <c r="R241" s="67" t="s">
        <v>51</v>
      </c>
      <c r="S241" s="68">
        <f>1032.1</f>
        <v>1032.0999999999999</v>
      </c>
      <c r="T241" s="65">
        <f>40880</f>
        <v>40880</v>
      </c>
      <c r="U241" s="65" t="str">
        <f t="shared" si="14"/>
        <v>－</v>
      </c>
      <c r="V241" s="65">
        <f>42138430</f>
        <v>42138430</v>
      </c>
      <c r="W241" s="65" t="str">
        <f t="shared" si="15"/>
        <v>－</v>
      </c>
      <c r="X241" s="69">
        <f>20</f>
        <v>20</v>
      </c>
    </row>
    <row r="242" spans="1:24">
      <c r="A242" s="60" t="s">
        <v>864</v>
      </c>
      <c r="B242" s="60" t="s">
        <v>719</v>
      </c>
      <c r="C242" s="60" t="s">
        <v>720</v>
      </c>
      <c r="D242" s="60" t="s">
        <v>721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10</v>
      </c>
      <c r="K242" s="66">
        <f>1689</f>
        <v>1689</v>
      </c>
      <c r="L242" s="67" t="s">
        <v>814</v>
      </c>
      <c r="M242" s="66">
        <f>1802</f>
        <v>1802</v>
      </c>
      <c r="N242" s="67" t="s">
        <v>51</v>
      </c>
      <c r="O242" s="66">
        <f>1689</f>
        <v>1689</v>
      </c>
      <c r="P242" s="67" t="s">
        <v>814</v>
      </c>
      <c r="Q242" s="66">
        <f>1774</f>
        <v>1774</v>
      </c>
      <c r="R242" s="67" t="s">
        <v>51</v>
      </c>
      <c r="S242" s="68">
        <f>1732</f>
        <v>1732</v>
      </c>
      <c r="T242" s="65">
        <f>20440</f>
        <v>20440</v>
      </c>
      <c r="U242" s="65" t="str">
        <f t="shared" si="14"/>
        <v>－</v>
      </c>
      <c r="V242" s="65">
        <f>35123580</f>
        <v>35123580</v>
      </c>
      <c r="W242" s="65" t="str">
        <f t="shared" si="15"/>
        <v>－</v>
      </c>
      <c r="X242" s="69">
        <f>20</f>
        <v>20</v>
      </c>
    </row>
    <row r="243" spans="1:24">
      <c r="A243" s="60" t="s">
        <v>864</v>
      </c>
      <c r="B243" s="60" t="s">
        <v>722</v>
      </c>
      <c r="C243" s="60" t="s">
        <v>723</v>
      </c>
      <c r="D243" s="60" t="s">
        <v>724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f>1688</f>
        <v>1688</v>
      </c>
      <c r="L243" s="67" t="s">
        <v>814</v>
      </c>
      <c r="M243" s="66">
        <f>1793</f>
        <v>1793</v>
      </c>
      <c r="N243" s="67" t="s">
        <v>51</v>
      </c>
      <c r="O243" s="66">
        <f>1686</f>
        <v>1686</v>
      </c>
      <c r="P243" s="67" t="s">
        <v>814</v>
      </c>
      <c r="Q243" s="66">
        <f>1776</f>
        <v>1776</v>
      </c>
      <c r="R243" s="67" t="s">
        <v>51</v>
      </c>
      <c r="S243" s="68">
        <f>1726.05</f>
        <v>1726.05</v>
      </c>
      <c r="T243" s="65">
        <f>189960</f>
        <v>189960</v>
      </c>
      <c r="U243" s="65" t="str">
        <f t="shared" si="14"/>
        <v>－</v>
      </c>
      <c r="V243" s="65">
        <f>327127120</f>
        <v>327127120</v>
      </c>
      <c r="W243" s="65" t="str">
        <f t="shared" si="15"/>
        <v>－</v>
      </c>
      <c r="X243" s="69">
        <f>20</f>
        <v>20</v>
      </c>
    </row>
    <row r="244" spans="1:24">
      <c r="A244" s="60" t="s">
        <v>864</v>
      </c>
      <c r="B244" s="60" t="s">
        <v>725</v>
      </c>
      <c r="C244" s="60" t="s">
        <v>726</v>
      </c>
      <c r="D244" s="60" t="s">
        <v>727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1600</f>
        <v>1600</v>
      </c>
      <c r="L244" s="67" t="s">
        <v>815</v>
      </c>
      <c r="M244" s="66">
        <f>1652</f>
        <v>1652</v>
      </c>
      <c r="N244" s="67" t="s">
        <v>49</v>
      </c>
      <c r="O244" s="66">
        <f>1600</f>
        <v>1600</v>
      </c>
      <c r="P244" s="67" t="s">
        <v>815</v>
      </c>
      <c r="Q244" s="66">
        <f>1620</f>
        <v>1620</v>
      </c>
      <c r="R244" s="67" t="s">
        <v>51</v>
      </c>
      <c r="S244" s="68">
        <f>1614.43</f>
        <v>1614.43</v>
      </c>
      <c r="T244" s="65">
        <f>10120</f>
        <v>10120</v>
      </c>
      <c r="U244" s="65" t="str">
        <f t="shared" si="14"/>
        <v>－</v>
      </c>
      <c r="V244" s="65">
        <f>16340980</f>
        <v>16340980</v>
      </c>
      <c r="W244" s="65" t="str">
        <f t="shared" si="15"/>
        <v>－</v>
      </c>
      <c r="X244" s="69">
        <f>7</f>
        <v>7</v>
      </c>
    </row>
    <row r="245" spans="1:24">
      <c r="A245" s="60" t="s">
        <v>864</v>
      </c>
      <c r="B245" s="60" t="s">
        <v>728</v>
      </c>
      <c r="C245" s="60" t="s">
        <v>729</v>
      </c>
      <c r="D245" s="60" t="s">
        <v>730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</v>
      </c>
      <c r="K245" s="66">
        <f>9890</f>
        <v>9890</v>
      </c>
      <c r="L245" s="67" t="s">
        <v>814</v>
      </c>
      <c r="M245" s="66">
        <f>10740</f>
        <v>10740</v>
      </c>
      <c r="N245" s="67" t="s">
        <v>95</v>
      </c>
      <c r="O245" s="66">
        <f>9870</f>
        <v>9870</v>
      </c>
      <c r="P245" s="67" t="s">
        <v>814</v>
      </c>
      <c r="Q245" s="66">
        <f>10640</f>
        <v>10640</v>
      </c>
      <c r="R245" s="67" t="s">
        <v>51</v>
      </c>
      <c r="S245" s="68">
        <f>10264.5</f>
        <v>10264.5</v>
      </c>
      <c r="T245" s="65">
        <f>143411</f>
        <v>143411</v>
      </c>
      <c r="U245" s="65" t="str">
        <f t="shared" si="14"/>
        <v>－</v>
      </c>
      <c r="V245" s="65">
        <f>1475066810</f>
        <v>1475066810</v>
      </c>
      <c r="W245" s="65" t="str">
        <f t="shared" si="15"/>
        <v>－</v>
      </c>
      <c r="X245" s="69">
        <f>20</f>
        <v>20</v>
      </c>
    </row>
    <row r="246" spans="1:24">
      <c r="A246" s="60" t="s">
        <v>864</v>
      </c>
      <c r="B246" s="60" t="s">
        <v>734</v>
      </c>
      <c r="C246" s="60" t="s">
        <v>735</v>
      </c>
      <c r="D246" s="60" t="s">
        <v>736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</v>
      </c>
      <c r="K246" s="66">
        <f>9640</f>
        <v>9640</v>
      </c>
      <c r="L246" s="67" t="s">
        <v>814</v>
      </c>
      <c r="M246" s="66">
        <f>10350</f>
        <v>10350</v>
      </c>
      <c r="N246" s="67" t="s">
        <v>95</v>
      </c>
      <c r="O246" s="66">
        <f>9610</f>
        <v>9610</v>
      </c>
      <c r="P246" s="67" t="s">
        <v>814</v>
      </c>
      <c r="Q246" s="66">
        <f>10220</f>
        <v>10220</v>
      </c>
      <c r="R246" s="67" t="s">
        <v>51</v>
      </c>
      <c r="S246" s="68">
        <f>9962.5</f>
        <v>9962.5</v>
      </c>
      <c r="T246" s="65">
        <f>43848</f>
        <v>43848</v>
      </c>
      <c r="U246" s="65">
        <f>18</f>
        <v>18</v>
      </c>
      <c r="V246" s="65">
        <f>438996740</f>
        <v>438996740</v>
      </c>
      <c r="W246" s="65">
        <f>182430</f>
        <v>182430</v>
      </c>
      <c r="X246" s="69">
        <f>20</f>
        <v>20</v>
      </c>
    </row>
    <row r="247" spans="1:24">
      <c r="A247" s="60" t="s">
        <v>864</v>
      </c>
      <c r="B247" s="60" t="s">
        <v>824</v>
      </c>
      <c r="C247" s="60" t="s">
        <v>825</v>
      </c>
      <c r="D247" s="60" t="s">
        <v>826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</v>
      </c>
      <c r="K247" s="66">
        <f>20070</f>
        <v>20070</v>
      </c>
      <c r="L247" s="67" t="s">
        <v>814</v>
      </c>
      <c r="M247" s="66">
        <f>21530</f>
        <v>21530</v>
      </c>
      <c r="N247" s="67" t="s">
        <v>90</v>
      </c>
      <c r="O247" s="66">
        <f>20070</f>
        <v>20070</v>
      </c>
      <c r="P247" s="67" t="s">
        <v>814</v>
      </c>
      <c r="Q247" s="66">
        <f>21180</f>
        <v>21180</v>
      </c>
      <c r="R247" s="67" t="s">
        <v>95</v>
      </c>
      <c r="S247" s="68">
        <f>21106.67</f>
        <v>21106.67</v>
      </c>
      <c r="T247" s="65">
        <f>326</f>
        <v>326</v>
      </c>
      <c r="U247" s="65" t="str">
        <f>"－"</f>
        <v>－</v>
      </c>
      <c r="V247" s="65">
        <f>6861230</f>
        <v>6861230</v>
      </c>
      <c r="W247" s="65" t="str">
        <f>"－"</f>
        <v>－</v>
      </c>
      <c r="X247" s="69">
        <f>9</f>
        <v>9</v>
      </c>
    </row>
    <row r="248" spans="1:24">
      <c r="A248" s="60" t="s">
        <v>864</v>
      </c>
      <c r="B248" s="60" t="s">
        <v>828</v>
      </c>
      <c r="C248" s="60" t="s">
        <v>829</v>
      </c>
      <c r="D248" s="60" t="s">
        <v>830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</v>
      </c>
      <c r="K248" s="66">
        <f>2742</f>
        <v>2742</v>
      </c>
      <c r="L248" s="67" t="s">
        <v>814</v>
      </c>
      <c r="M248" s="66">
        <f>2754</f>
        <v>2754</v>
      </c>
      <c r="N248" s="67" t="s">
        <v>100</v>
      </c>
      <c r="O248" s="66">
        <f>2721</f>
        <v>2721</v>
      </c>
      <c r="P248" s="67" t="s">
        <v>95</v>
      </c>
      <c r="Q248" s="66">
        <f>2726</f>
        <v>2726</v>
      </c>
      <c r="R248" s="67" t="s">
        <v>51</v>
      </c>
      <c r="S248" s="68">
        <f>2733.5</f>
        <v>2733.5</v>
      </c>
      <c r="T248" s="65">
        <f>700243</f>
        <v>700243</v>
      </c>
      <c r="U248" s="65">
        <f>389141</f>
        <v>389141</v>
      </c>
      <c r="V248" s="65">
        <f>1912276407</f>
        <v>1912276407</v>
      </c>
      <c r="W248" s="65">
        <f>1062608399</f>
        <v>1062608399</v>
      </c>
      <c r="X248" s="69">
        <f>20</f>
        <v>20</v>
      </c>
    </row>
    <row r="249" spans="1:24">
      <c r="A249" s="60" t="s">
        <v>864</v>
      </c>
      <c r="B249" s="60" t="s">
        <v>835</v>
      </c>
      <c r="C249" s="60" t="s">
        <v>836</v>
      </c>
      <c r="D249" s="60" t="s">
        <v>837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10</v>
      </c>
      <c r="K249" s="66">
        <f>2276</f>
        <v>2276</v>
      </c>
      <c r="L249" s="67" t="s">
        <v>814</v>
      </c>
      <c r="M249" s="66">
        <f>2489</f>
        <v>2489</v>
      </c>
      <c r="N249" s="67" t="s">
        <v>51</v>
      </c>
      <c r="O249" s="66">
        <f>2275</f>
        <v>2275</v>
      </c>
      <c r="P249" s="67" t="s">
        <v>814</v>
      </c>
      <c r="Q249" s="66">
        <f>2485</f>
        <v>2485</v>
      </c>
      <c r="R249" s="67" t="s">
        <v>51</v>
      </c>
      <c r="S249" s="68">
        <f>2394.8</f>
        <v>2394.8000000000002</v>
      </c>
      <c r="T249" s="65">
        <f>622790</f>
        <v>622790</v>
      </c>
      <c r="U249" s="65">
        <f>123000</f>
        <v>123000</v>
      </c>
      <c r="V249" s="65">
        <f>1514606140</f>
        <v>1514606140</v>
      </c>
      <c r="W249" s="65">
        <f>299332800</f>
        <v>299332800</v>
      </c>
      <c r="X249" s="69">
        <f>20</f>
        <v>20</v>
      </c>
    </row>
    <row r="250" spans="1:24">
      <c r="A250" s="60" t="s">
        <v>864</v>
      </c>
      <c r="B250" s="60" t="s">
        <v>849</v>
      </c>
      <c r="C250" s="60" t="s">
        <v>850</v>
      </c>
      <c r="D250" s="60" t="s">
        <v>851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2114</f>
        <v>2114</v>
      </c>
      <c r="L250" s="67" t="s">
        <v>814</v>
      </c>
      <c r="M250" s="66">
        <f>2284</f>
        <v>2284</v>
      </c>
      <c r="N250" s="67" t="s">
        <v>51</v>
      </c>
      <c r="O250" s="66">
        <f>2111</f>
        <v>2111</v>
      </c>
      <c r="P250" s="67" t="s">
        <v>814</v>
      </c>
      <c r="Q250" s="66">
        <f>2279</f>
        <v>2279</v>
      </c>
      <c r="R250" s="67" t="s">
        <v>51</v>
      </c>
      <c r="S250" s="68">
        <f>2189.3</f>
        <v>2189.3000000000002</v>
      </c>
      <c r="T250" s="65">
        <f>394665</f>
        <v>394665</v>
      </c>
      <c r="U250" s="65">
        <f>290999</f>
        <v>290999</v>
      </c>
      <c r="V250" s="65">
        <f>879295014</f>
        <v>879295014</v>
      </c>
      <c r="W250" s="65">
        <f>647807217</f>
        <v>647807217</v>
      </c>
      <c r="X250" s="69">
        <f>20</f>
        <v>20</v>
      </c>
    </row>
    <row r="251" spans="1:24">
      <c r="A251" s="60" t="s">
        <v>864</v>
      </c>
      <c r="B251" s="60" t="s">
        <v>865</v>
      </c>
      <c r="C251" s="60" t="s">
        <v>866</v>
      </c>
      <c r="D251" s="60" t="s">
        <v>867</v>
      </c>
      <c r="E251" s="61" t="s">
        <v>731</v>
      </c>
      <c r="F251" s="62" t="s">
        <v>732</v>
      </c>
      <c r="G251" s="63" t="s">
        <v>868</v>
      </c>
      <c r="H251" s="64"/>
      <c r="I251" s="64" t="s">
        <v>47</v>
      </c>
      <c r="J251" s="65">
        <v>1</v>
      </c>
      <c r="K251" s="66">
        <f>1538</f>
        <v>1538</v>
      </c>
      <c r="L251" s="67" t="s">
        <v>821</v>
      </c>
      <c r="M251" s="66">
        <f>1586</f>
        <v>1586</v>
      </c>
      <c r="N251" s="67" t="s">
        <v>51</v>
      </c>
      <c r="O251" s="66">
        <f>1534</f>
        <v>1534</v>
      </c>
      <c r="P251" s="67" t="s">
        <v>91</v>
      </c>
      <c r="Q251" s="66">
        <f>1566</f>
        <v>1566</v>
      </c>
      <c r="R251" s="67" t="s">
        <v>51</v>
      </c>
      <c r="S251" s="68">
        <f>1549.75</f>
        <v>1549.75</v>
      </c>
      <c r="T251" s="65">
        <f>754886</f>
        <v>754886</v>
      </c>
      <c r="U251" s="65">
        <f>600000</f>
        <v>600000</v>
      </c>
      <c r="V251" s="65">
        <f>1166181731</f>
        <v>1166181731</v>
      </c>
      <c r="W251" s="65">
        <f>923872800</f>
        <v>923872800</v>
      </c>
      <c r="X251" s="69">
        <f>4</f>
        <v>4</v>
      </c>
    </row>
    <row r="252" spans="1:24">
      <c r="A252" s="60" t="s">
        <v>864</v>
      </c>
      <c r="B252" s="60" t="s">
        <v>869</v>
      </c>
      <c r="C252" s="60" t="s">
        <v>870</v>
      </c>
      <c r="D252" s="60" t="s">
        <v>871</v>
      </c>
      <c r="E252" s="61" t="s">
        <v>731</v>
      </c>
      <c r="F252" s="62" t="s">
        <v>732</v>
      </c>
      <c r="G252" s="63" t="s">
        <v>868</v>
      </c>
      <c r="H252" s="64"/>
      <c r="I252" s="64" t="s">
        <v>47</v>
      </c>
      <c r="J252" s="65">
        <v>1</v>
      </c>
      <c r="K252" s="66">
        <f>1074</f>
        <v>1074</v>
      </c>
      <c r="L252" s="67" t="s">
        <v>821</v>
      </c>
      <c r="M252" s="66">
        <f>1074</f>
        <v>1074</v>
      </c>
      <c r="N252" s="67" t="s">
        <v>821</v>
      </c>
      <c r="O252" s="66">
        <f>1054</f>
        <v>1054</v>
      </c>
      <c r="P252" s="67" t="s">
        <v>91</v>
      </c>
      <c r="Q252" s="66">
        <f>1055</f>
        <v>1055</v>
      </c>
      <c r="R252" s="67" t="s">
        <v>51</v>
      </c>
      <c r="S252" s="68">
        <f>1061</f>
        <v>1061</v>
      </c>
      <c r="T252" s="65">
        <f>867218</f>
        <v>867218</v>
      </c>
      <c r="U252" s="65">
        <f>800000</f>
        <v>800000</v>
      </c>
      <c r="V252" s="65">
        <f>931424986</f>
        <v>931424986</v>
      </c>
      <c r="W252" s="65">
        <f>859859200</f>
        <v>859859200</v>
      </c>
      <c r="X252" s="69">
        <f>4</f>
        <v>4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48FD9-0ADA-4DD7-ADF7-CCB7C880A8D0}">
  <sheetPr>
    <pageSetUpPr fitToPage="1"/>
  </sheetPr>
  <dimension ref="A1:X251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RowHeight="13.5"/>
  <cols>
    <col min="1" max="1" width="13.125" style="1" bestFit="1" customWidth="1"/>
    <col min="2" max="2" width="10.75" style="1" bestFit="1" customWidth="1"/>
    <col min="3" max="4" width="27.625" style="1" customWidth="1"/>
    <col min="5" max="5" width="13.75" style="1" bestFit="1" customWidth="1"/>
    <col min="6" max="6" width="20.75" style="1" bestFit="1" customWidth="1"/>
    <col min="7" max="7" width="11.25" style="1" customWidth="1"/>
    <col min="8" max="8" width="8.75" style="1" bestFit="1" customWidth="1"/>
    <col min="9" max="9" width="11.75" style="1" bestFit="1" customWidth="1"/>
    <col min="10" max="10" width="12.625" style="1" bestFit="1" customWidth="1"/>
    <col min="11" max="11" width="16.25" style="1" customWidth="1"/>
    <col min="12" max="12" width="5.625" style="1" bestFit="1" customWidth="1"/>
    <col min="13" max="13" width="16.25" style="1" customWidth="1"/>
    <col min="14" max="14" width="5.625" style="1" bestFit="1" customWidth="1"/>
    <col min="15" max="15" width="16.25" style="1" customWidth="1"/>
    <col min="16" max="16" width="5.625" style="1" bestFit="1" customWidth="1"/>
    <col min="17" max="17" width="16.25" style="1" customWidth="1"/>
    <col min="18" max="18" width="5.625" style="1" bestFit="1" customWidth="1"/>
    <col min="19" max="19" width="23.875" style="1" bestFit="1" customWidth="1"/>
    <col min="20" max="20" width="16.25" style="1" customWidth="1"/>
    <col min="21" max="21" width="24.125" style="1" customWidth="1"/>
    <col min="22" max="22" width="19.875" style="1" bestFit="1" customWidth="1"/>
    <col min="23" max="23" width="25" style="1" bestFit="1" customWidth="1"/>
    <col min="24" max="24" width="13.12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853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1659</f>
        <v>1659</v>
      </c>
      <c r="L7" s="67" t="s">
        <v>840</v>
      </c>
      <c r="M7" s="66">
        <f>1679</f>
        <v>1679</v>
      </c>
      <c r="N7" s="67" t="s">
        <v>100</v>
      </c>
      <c r="O7" s="66">
        <f>1557</f>
        <v>1557</v>
      </c>
      <c r="P7" s="67" t="s">
        <v>51</v>
      </c>
      <c r="Q7" s="66">
        <f>1557</f>
        <v>1557</v>
      </c>
      <c r="R7" s="67" t="s">
        <v>51</v>
      </c>
      <c r="S7" s="68">
        <f>1635.19</f>
        <v>1635.19</v>
      </c>
      <c r="T7" s="65">
        <f>4308420</f>
        <v>4308420</v>
      </c>
      <c r="U7" s="65">
        <f>476940</f>
        <v>476940</v>
      </c>
      <c r="V7" s="65">
        <f>7075636710</f>
        <v>7075636710</v>
      </c>
      <c r="W7" s="65">
        <f>781527940</f>
        <v>781527940</v>
      </c>
      <c r="X7" s="69">
        <f>21</f>
        <v>21</v>
      </c>
    </row>
    <row r="8" spans="1:24">
      <c r="A8" s="60" t="s">
        <v>853</v>
      </c>
      <c r="B8" s="60" t="s">
        <v>52</v>
      </c>
      <c r="C8" s="60" t="s">
        <v>53</v>
      </c>
      <c r="D8" s="60" t="s">
        <v>54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1640</f>
        <v>1640</v>
      </c>
      <c r="L8" s="67" t="s">
        <v>840</v>
      </c>
      <c r="M8" s="66">
        <f>1660</f>
        <v>1660</v>
      </c>
      <c r="N8" s="67" t="s">
        <v>48</v>
      </c>
      <c r="O8" s="66">
        <f>1541</f>
        <v>1541</v>
      </c>
      <c r="P8" s="67" t="s">
        <v>51</v>
      </c>
      <c r="Q8" s="66">
        <f>1542</f>
        <v>1542</v>
      </c>
      <c r="R8" s="67" t="s">
        <v>51</v>
      </c>
      <c r="S8" s="68">
        <f>1617.52</f>
        <v>1617.52</v>
      </c>
      <c r="T8" s="65">
        <f>30868330</f>
        <v>30868330</v>
      </c>
      <c r="U8" s="65">
        <f>1409800</f>
        <v>1409800</v>
      </c>
      <c r="V8" s="65">
        <f>49957094565</f>
        <v>49957094565</v>
      </c>
      <c r="W8" s="65">
        <f>2282312735</f>
        <v>2282312735</v>
      </c>
      <c r="X8" s="69">
        <f>21</f>
        <v>21</v>
      </c>
    </row>
    <row r="9" spans="1:24">
      <c r="A9" s="60" t="s">
        <v>853</v>
      </c>
      <c r="B9" s="60" t="s">
        <v>55</v>
      </c>
      <c r="C9" s="60" t="s">
        <v>56</v>
      </c>
      <c r="D9" s="60" t="s">
        <v>57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1621</f>
        <v>1621</v>
      </c>
      <c r="L9" s="67" t="s">
        <v>840</v>
      </c>
      <c r="M9" s="66">
        <f>1641</f>
        <v>1641</v>
      </c>
      <c r="N9" s="67" t="s">
        <v>48</v>
      </c>
      <c r="O9" s="66">
        <f>1522</f>
        <v>1522</v>
      </c>
      <c r="P9" s="67" t="s">
        <v>51</v>
      </c>
      <c r="Q9" s="66">
        <f>1523</f>
        <v>1523</v>
      </c>
      <c r="R9" s="67" t="s">
        <v>51</v>
      </c>
      <c r="S9" s="68">
        <f>1596.14</f>
        <v>1596.14</v>
      </c>
      <c r="T9" s="65">
        <f>8273500</f>
        <v>8273500</v>
      </c>
      <c r="U9" s="65">
        <f>2037400</f>
        <v>2037400</v>
      </c>
      <c r="V9" s="65">
        <f>13276144006</f>
        <v>13276144006</v>
      </c>
      <c r="W9" s="65">
        <f>3277588906</f>
        <v>3277588906</v>
      </c>
      <c r="X9" s="69">
        <f>21</f>
        <v>21</v>
      </c>
    </row>
    <row r="10" spans="1:24">
      <c r="A10" s="60" t="s">
        <v>853</v>
      </c>
      <c r="B10" s="60" t="s">
        <v>58</v>
      </c>
      <c r="C10" s="60" t="s">
        <v>59</v>
      </c>
      <c r="D10" s="60" t="s">
        <v>60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32900</f>
        <v>32900</v>
      </c>
      <c r="L10" s="67" t="s">
        <v>840</v>
      </c>
      <c r="M10" s="66">
        <f>41000</f>
        <v>41000</v>
      </c>
      <c r="N10" s="67" t="s">
        <v>100</v>
      </c>
      <c r="O10" s="66">
        <f>32750</f>
        <v>32750</v>
      </c>
      <c r="P10" s="67" t="s">
        <v>840</v>
      </c>
      <c r="Q10" s="66">
        <f>36600</f>
        <v>36600</v>
      </c>
      <c r="R10" s="67" t="s">
        <v>51</v>
      </c>
      <c r="S10" s="68">
        <f>37388.1</f>
        <v>37388.1</v>
      </c>
      <c r="T10" s="65">
        <f>29192</f>
        <v>29192</v>
      </c>
      <c r="U10" s="65">
        <f>12</f>
        <v>12</v>
      </c>
      <c r="V10" s="65">
        <f>1111248200</f>
        <v>1111248200</v>
      </c>
      <c r="W10" s="65">
        <f>478200</f>
        <v>478200</v>
      </c>
      <c r="X10" s="69">
        <f>21</f>
        <v>21</v>
      </c>
    </row>
    <row r="11" spans="1:24">
      <c r="A11" s="60" t="s">
        <v>853</v>
      </c>
      <c r="B11" s="60" t="s">
        <v>62</v>
      </c>
      <c r="C11" s="60" t="s">
        <v>63</v>
      </c>
      <c r="D11" s="60" t="s">
        <v>64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736</f>
        <v>736</v>
      </c>
      <c r="L11" s="67" t="s">
        <v>840</v>
      </c>
      <c r="M11" s="66">
        <f>750</f>
        <v>750</v>
      </c>
      <c r="N11" s="67" t="s">
        <v>820</v>
      </c>
      <c r="O11" s="66">
        <f>680</f>
        <v>680</v>
      </c>
      <c r="P11" s="67" t="s">
        <v>51</v>
      </c>
      <c r="Q11" s="66">
        <f>680</f>
        <v>680</v>
      </c>
      <c r="R11" s="67" t="s">
        <v>51</v>
      </c>
      <c r="S11" s="68">
        <f>722.48</f>
        <v>722.48</v>
      </c>
      <c r="T11" s="65">
        <f>135030</f>
        <v>135030</v>
      </c>
      <c r="U11" s="65" t="str">
        <f>"－"</f>
        <v>－</v>
      </c>
      <c r="V11" s="65">
        <f>97790560</f>
        <v>97790560</v>
      </c>
      <c r="W11" s="65" t="str">
        <f>"－"</f>
        <v>－</v>
      </c>
      <c r="X11" s="69">
        <f>21</f>
        <v>21</v>
      </c>
    </row>
    <row r="12" spans="1:24">
      <c r="A12" s="60" t="s">
        <v>853</v>
      </c>
      <c r="B12" s="60" t="s">
        <v>66</v>
      </c>
      <c r="C12" s="60" t="s">
        <v>67</v>
      </c>
      <c r="D12" s="60" t="s">
        <v>68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18160</f>
        <v>18160</v>
      </c>
      <c r="L12" s="67" t="s">
        <v>833</v>
      </c>
      <c r="M12" s="66">
        <f>18650</f>
        <v>18650</v>
      </c>
      <c r="N12" s="67" t="s">
        <v>65</v>
      </c>
      <c r="O12" s="66">
        <f>17220</f>
        <v>17220</v>
      </c>
      <c r="P12" s="67" t="s">
        <v>51</v>
      </c>
      <c r="Q12" s="66">
        <f>17220</f>
        <v>17220</v>
      </c>
      <c r="R12" s="67" t="s">
        <v>51</v>
      </c>
      <c r="S12" s="68">
        <f>18030</f>
        <v>18030</v>
      </c>
      <c r="T12" s="65">
        <f>576</f>
        <v>576</v>
      </c>
      <c r="U12" s="65" t="str">
        <f>"－"</f>
        <v>－</v>
      </c>
      <c r="V12" s="65">
        <f>10385160</f>
        <v>10385160</v>
      </c>
      <c r="W12" s="65" t="str">
        <f>"－"</f>
        <v>－</v>
      </c>
      <c r="X12" s="69">
        <f>18</f>
        <v>18</v>
      </c>
    </row>
    <row r="13" spans="1:24">
      <c r="A13" s="60" t="s">
        <v>853</v>
      </c>
      <c r="B13" s="60" t="s">
        <v>69</v>
      </c>
      <c r="C13" s="60" t="s">
        <v>70</v>
      </c>
      <c r="D13" s="60" t="s">
        <v>71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2599</f>
        <v>2599</v>
      </c>
      <c r="L13" s="67" t="s">
        <v>814</v>
      </c>
      <c r="M13" s="66">
        <f>2690</f>
        <v>2690</v>
      </c>
      <c r="N13" s="67" t="s">
        <v>245</v>
      </c>
      <c r="O13" s="66">
        <f>2501</f>
        <v>2501</v>
      </c>
      <c r="P13" s="67" t="s">
        <v>814</v>
      </c>
      <c r="Q13" s="66">
        <f>2608</f>
        <v>2608</v>
      </c>
      <c r="R13" s="67" t="s">
        <v>51</v>
      </c>
      <c r="S13" s="68">
        <f>2580.38</f>
        <v>2580.38</v>
      </c>
      <c r="T13" s="65">
        <f>4820</f>
        <v>4820</v>
      </c>
      <c r="U13" s="65" t="str">
        <f>"－"</f>
        <v>－</v>
      </c>
      <c r="V13" s="65">
        <f>12501610</f>
        <v>12501610</v>
      </c>
      <c r="W13" s="65" t="str">
        <f>"－"</f>
        <v>－</v>
      </c>
      <c r="X13" s="69">
        <f>16</f>
        <v>16</v>
      </c>
    </row>
    <row r="14" spans="1:24">
      <c r="A14" s="60" t="s">
        <v>853</v>
      </c>
      <c r="B14" s="60" t="s">
        <v>73</v>
      </c>
      <c r="C14" s="60" t="s">
        <v>74</v>
      </c>
      <c r="D14" s="60" t="s">
        <v>75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320</f>
        <v>320</v>
      </c>
      <c r="L14" s="67" t="s">
        <v>840</v>
      </c>
      <c r="M14" s="66">
        <f>384</f>
        <v>384</v>
      </c>
      <c r="N14" s="67" t="s">
        <v>72</v>
      </c>
      <c r="O14" s="66">
        <f>290</f>
        <v>290</v>
      </c>
      <c r="P14" s="67" t="s">
        <v>51</v>
      </c>
      <c r="Q14" s="66">
        <f>290</f>
        <v>290</v>
      </c>
      <c r="R14" s="67" t="s">
        <v>51</v>
      </c>
      <c r="S14" s="68">
        <f>312.89</f>
        <v>312.89</v>
      </c>
      <c r="T14" s="65">
        <f>121000</f>
        <v>121000</v>
      </c>
      <c r="U14" s="65" t="str">
        <f>"－"</f>
        <v>－</v>
      </c>
      <c r="V14" s="65">
        <f>40109000</f>
        <v>40109000</v>
      </c>
      <c r="W14" s="65" t="str">
        <f>"－"</f>
        <v>－</v>
      </c>
      <c r="X14" s="69">
        <f>18</f>
        <v>18</v>
      </c>
    </row>
    <row r="15" spans="1:24">
      <c r="A15" s="60" t="s">
        <v>853</v>
      </c>
      <c r="B15" s="60" t="s">
        <v>76</v>
      </c>
      <c r="C15" s="60" t="s">
        <v>77</v>
      </c>
      <c r="D15" s="60" t="s">
        <v>78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23230</f>
        <v>23230</v>
      </c>
      <c r="L15" s="67" t="s">
        <v>840</v>
      </c>
      <c r="M15" s="66">
        <f>23630</f>
        <v>23630</v>
      </c>
      <c r="N15" s="67" t="s">
        <v>100</v>
      </c>
      <c r="O15" s="66">
        <f>22180</f>
        <v>22180</v>
      </c>
      <c r="P15" s="67" t="s">
        <v>51</v>
      </c>
      <c r="Q15" s="66">
        <f>22270</f>
        <v>22270</v>
      </c>
      <c r="R15" s="67" t="s">
        <v>51</v>
      </c>
      <c r="S15" s="68">
        <f>23135.71</f>
        <v>23135.71</v>
      </c>
      <c r="T15" s="65">
        <f>1156702</f>
        <v>1156702</v>
      </c>
      <c r="U15" s="65">
        <f>55977</f>
        <v>55977</v>
      </c>
      <c r="V15" s="65">
        <f>26716518880</f>
        <v>26716518880</v>
      </c>
      <c r="W15" s="65">
        <f>1296470260</f>
        <v>1296470260</v>
      </c>
      <c r="X15" s="69">
        <f>21</f>
        <v>21</v>
      </c>
    </row>
    <row r="16" spans="1:24">
      <c r="A16" s="60" t="s">
        <v>853</v>
      </c>
      <c r="B16" s="60" t="s">
        <v>80</v>
      </c>
      <c r="C16" s="60" t="s">
        <v>81</v>
      </c>
      <c r="D16" s="60" t="s">
        <v>82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23280</f>
        <v>23280</v>
      </c>
      <c r="L16" s="67" t="s">
        <v>840</v>
      </c>
      <c r="M16" s="66">
        <f>23640</f>
        <v>23640</v>
      </c>
      <c r="N16" s="67" t="s">
        <v>48</v>
      </c>
      <c r="O16" s="66">
        <f>22230</f>
        <v>22230</v>
      </c>
      <c r="P16" s="67" t="s">
        <v>51</v>
      </c>
      <c r="Q16" s="66">
        <f>22270</f>
        <v>22270</v>
      </c>
      <c r="R16" s="67" t="s">
        <v>51</v>
      </c>
      <c r="S16" s="68">
        <f>23147.14</f>
        <v>23147.14</v>
      </c>
      <c r="T16" s="65">
        <f>5823266</f>
        <v>5823266</v>
      </c>
      <c r="U16" s="65">
        <f>232045</f>
        <v>232045</v>
      </c>
      <c r="V16" s="65">
        <f>134903232390</f>
        <v>134903232390</v>
      </c>
      <c r="W16" s="65">
        <f>5382632720</f>
        <v>5382632720</v>
      </c>
      <c r="X16" s="69">
        <f>21</f>
        <v>21</v>
      </c>
    </row>
    <row r="17" spans="1:24">
      <c r="A17" s="60" t="s">
        <v>853</v>
      </c>
      <c r="B17" s="60" t="s">
        <v>83</v>
      </c>
      <c r="C17" s="60" t="s">
        <v>84</v>
      </c>
      <c r="D17" s="60" t="s">
        <v>85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5620</f>
        <v>5620</v>
      </c>
      <c r="L17" s="67" t="s">
        <v>840</v>
      </c>
      <c r="M17" s="66">
        <f>7000</f>
        <v>7000</v>
      </c>
      <c r="N17" s="67" t="s">
        <v>100</v>
      </c>
      <c r="O17" s="66">
        <f>5620</f>
        <v>5620</v>
      </c>
      <c r="P17" s="67" t="s">
        <v>840</v>
      </c>
      <c r="Q17" s="66">
        <f>6280</f>
        <v>6280</v>
      </c>
      <c r="R17" s="67" t="s">
        <v>51</v>
      </c>
      <c r="S17" s="68">
        <f>6393.33</f>
        <v>6393.33</v>
      </c>
      <c r="T17" s="65">
        <f>35580</f>
        <v>35580</v>
      </c>
      <c r="U17" s="65">
        <f>60</f>
        <v>60</v>
      </c>
      <c r="V17" s="65">
        <f>229704900</f>
        <v>229704900</v>
      </c>
      <c r="W17" s="65">
        <f>377800</f>
        <v>377800</v>
      </c>
      <c r="X17" s="69">
        <f>21</f>
        <v>21</v>
      </c>
    </row>
    <row r="18" spans="1:24">
      <c r="A18" s="60" t="s">
        <v>853</v>
      </c>
      <c r="B18" s="60" t="s">
        <v>87</v>
      </c>
      <c r="C18" s="60" t="s">
        <v>88</v>
      </c>
      <c r="D18" s="60" t="s">
        <v>89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318</f>
        <v>318</v>
      </c>
      <c r="L18" s="67" t="s">
        <v>840</v>
      </c>
      <c r="M18" s="66">
        <f>333</f>
        <v>333</v>
      </c>
      <c r="N18" s="67" t="s">
        <v>100</v>
      </c>
      <c r="O18" s="66">
        <f>310</f>
        <v>310</v>
      </c>
      <c r="P18" s="67" t="s">
        <v>51</v>
      </c>
      <c r="Q18" s="66">
        <f>313</f>
        <v>313</v>
      </c>
      <c r="R18" s="67" t="s">
        <v>51</v>
      </c>
      <c r="S18" s="68">
        <f>323.76</f>
        <v>323.76</v>
      </c>
      <c r="T18" s="65">
        <f>37400</f>
        <v>37400</v>
      </c>
      <c r="U18" s="65">
        <f>400</f>
        <v>400</v>
      </c>
      <c r="V18" s="65">
        <f>12111900</f>
        <v>12111900</v>
      </c>
      <c r="W18" s="65">
        <f>132400</f>
        <v>132400</v>
      </c>
      <c r="X18" s="69">
        <f>21</f>
        <v>21</v>
      </c>
    </row>
    <row r="19" spans="1:24">
      <c r="A19" s="60" t="s">
        <v>853</v>
      </c>
      <c r="B19" s="60" t="s">
        <v>92</v>
      </c>
      <c r="C19" s="60" t="s">
        <v>93</v>
      </c>
      <c r="D19" s="60" t="s">
        <v>94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136</f>
        <v>136</v>
      </c>
      <c r="L19" s="67" t="s">
        <v>840</v>
      </c>
      <c r="M19" s="66">
        <f>141</f>
        <v>141</v>
      </c>
      <c r="N19" s="67" t="s">
        <v>48</v>
      </c>
      <c r="O19" s="66">
        <f>134</f>
        <v>134</v>
      </c>
      <c r="P19" s="67" t="s">
        <v>840</v>
      </c>
      <c r="Q19" s="66">
        <f>135</f>
        <v>135</v>
      </c>
      <c r="R19" s="67" t="s">
        <v>51</v>
      </c>
      <c r="S19" s="68">
        <f>136.19</f>
        <v>136.19</v>
      </c>
      <c r="T19" s="65">
        <f>494700</f>
        <v>494700</v>
      </c>
      <c r="U19" s="65">
        <f>100</f>
        <v>100</v>
      </c>
      <c r="V19" s="65">
        <f>67427500</f>
        <v>67427500</v>
      </c>
      <c r="W19" s="65">
        <f>13800</f>
        <v>13800</v>
      </c>
      <c r="X19" s="69">
        <f>21</f>
        <v>21</v>
      </c>
    </row>
    <row r="20" spans="1:24">
      <c r="A20" s="60" t="s">
        <v>853</v>
      </c>
      <c r="B20" s="60" t="s">
        <v>96</v>
      </c>
      <c r="C20" s="60" t="s">
        <v>97</v>
      </c>
      <c r="D20" s="60" t="s">
        <v>98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152</f>
        <v>152</v>
      </c>
      <c r="L20" s="67" t="s">
        <v>840</v>
      </c>
      <c r="M20" s="66">
        <f>167</f>
        <v>167</v>
      </c>
      <c r="N20" s="67" t="s">
        <v>309</v>
      </c>
      <c r="O20" s="66">
        <f>148</f>
        <v>148</v>
      </c>
      <c r="P20" s="67" t="s">
        <v>833</v>
      </c>
      <c r="Q20" s="66">
        <f>161</f>
        <v>161</v>
      </c>
      <c r="R20" s="67" t="s">
        <v>51</v>
      </c>
      <c r="S20" s="68">
        <f>157.86</f>
        <v>157.86000000000001</v>
      </c>
      <c r="T20" s="65">
        <f>493200</f>
        <v>493200</v>
      </c>
      <c r="U20" s="65">
        <f>2100</f>
        <v>2100</v>
      </c>
      <c r="V20" s="65">
        <f>78260300</f>
        <v>78260300</v>
      </c>
      <c r="W20" s="65">
        <f>322200</f>
        <v>322200</v>
      </c>
      <c r="X20" s="69">
        <f>21</f>
        <v>21</v>
      </c>
    </row>
    <row r="21" spans="1:24">
      <c r="A21" s="60" t="s">
        <v>853</v>
      </c>
      <c r="B21" s="60" t="s">
        <v>101</v>
      </c>
      <c r="C21" s="60" t="s">
        <v>102</v>
      </c>
      <c r="D21" s="60" t="s">
        <v>103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18100</f>
        <v>18100</v>
      </c>
      <c r="L21" s="67" t="s">
        <v>840</v>
      </c>
      <c r="M21" s="66">
        <f>19590</f>
        <v>19590</v>
      </c>
      <c r="N21" s="67" t="s">
        <v>95</v>
      </c>
      <c r="O21" s="66">
        <f>17830</f>
        <v>17830</v>
      </c>
      <c r="P21" s="67" t="s">
        <v>833</v>
      </c>
      <c r="Q21" s="66">
        <f>19360</f>
        <v>19360</v>
      </c>
      <c r="R21" s="67" t="s">
        <v>51</v>
      </c>
      <c r="S21" s="68">
        <f>18423.81</f>
        <v>18423.810000000001</v>
      </c>
      <c r="T21" s="65">
        <f>336075</f>
        <v>336075</v>
      </c>
      <c r="U21" s="65">
        <f>2001</f>
        <v>2001</v>
      </c>
      <c r="V21" s="65">
        <f>6288110700</f>
        <v>6288110700</v>
      </c>
      <c r="W21" s="65">
        <f>37588650</f>
        <v>37588650</v>
      </c>
      <c r="X21" s="69">
        <f>21</f>
        <v>21</v>
      </c>
    </row>
    <row r="22" spans="1:24">
      <c r="A22" s="60" t="s">
        <v>853</v>
      </c>
      <c r="B22" s="60" t="s">
        <v>104</v>
      </c>
      <c r="C22" s="60" t="s">
        <v>105</v>
      </c>
      <c r="D22" s="60" t="s">
        <v>106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2556</f>
        <v>2556</v>
      </c>
      <c r="L22" s="67" t="s">
        <v>840</v>
      </c>
      <c r="M22" s="66">
        <f>2699</f>
        <v>2699</v>
      </c>
      <c r="N22" s="67" t="s">
        <v>50</v>
      </c>
      <c r="O22" s="66">
        <f>2556</f>
        <v>2556</v>
      </c>
      <c r="P22" s="67" t="s">
        <v>840</v>
      </c>
      <c r="Q22" s="66">
        <f>2674</f>
        <v>2674</v>
      </c>
      <c r="R22" s="67" t="s">
        <v>51</v>
      </c>
      <c r="S22" s="68">
        <f>2610.35</f>
        <v>2610.35</v>
      </c>
      <c r="T22" s="65">
        <f>1485</f>
        <v>1485</v>
      </c>
      <c r="U22" s="65" t="str">
        <f>"－"</f>
        <v>－</v>
      </c>
      <c r="V22" s="65">
        <f>3907801</f>
        <v>3907801</v>
      </c>
      <c r="W22" s="65" t="str">
        <f>"－"</f>
        <v>－</v>
      </c>
      <c r="X22" s="69">
        <f>20</f>
        <v>20</v>
      </c>
    </row>
    <row r="23" spans="1:24">
      <c r="A23" s="60" t="s">
        <v>853</v>
      </c>
      <c r="B23" s="60" t="s">
        <v>107</v>
      </c>
      <c r="C23" s="60" t="s">
        <v>108</v>
      </c>
      <c r="D23" s="60" t="s">
        <v>109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5500</f>
        <v>5500</v>
      </c>
      <c r="L23" s="67" t="s">
        <v>840</v>
      </c>
      <c r="M23" s="66">
        <f>5720</f>
        <v>5720</v>
      </c>
      <c r="N23" s="67" t="s">
        <v>840</v>
      </c>
      <c r="O23" s="66">
        <f>5130</f>
        <v>5130</v>
      </c>
      <c r="P23" s="67" t="s">
        <v>119</v>
      </c>
      <c r="Q23" s="66">
        <f>5330</f>
        <v>5330</v>
      </c>
      <c r="R23" s="67" t="s">
        <v>51</v>
      </c>
      <c r="S23" s="68">
        <f>5305.71</f>
        <v>5305.71</v>
      </c>
      <c r="T23" s="65">
        <f>434210</f>
        <v>434210</v>
      </c>
      <c r="U23" s="65">
        <f>10</f>
        <v>10</v>
      </c>
      <c r="V23" s="65">
        <f>2333927100</f>
        <v>2333927100</v>
      </c>
      <c r="W23" s="65">
        <f>56400</f>
        <v>56400</v>
      </c>
      <c r="X23" s="69">
        <f>21</f>
        <v>21</v>
      </c>
    </row>
    <row r="24" spans="1:24">
      <c r="A24" s="60" t="s">
        <v>853</v>
      </c>
      <c r="B24" s="60" t="s">
        <v>110</v>
      </c>
      <c r="C24" s="60" t="s">
        <v>111</v>
      </c>
      <c r="D24" s="60" t="s">
        <v>112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23190</f>
        <v>23190</v>
      </c>
      <c r="L24" s="67" t="s">
        <v>840</v>
      </c>
      <c r="M24" s="66">
        <f>23810</f>
        <v>23810</v>
      </c>
      <c r="N24" s="67" t="s">
        <v>86</v>
      </c>
      <c r="O24" s="66">
        <f>22520</f>
        <v>22520</v>
      </c>
      <c r="P24" s="67" t="s">
        <v>51</v>
      </c>
      <c r="Q24" s="66">
        <f>22520</f>
        <v>22520</v>
      </c>
      <c r="R24" s="67" t="s">
        <v>51</v>
      </c>
      <c r="S24" s="68">
        <f>23366.67</f>
        <v>23366.67</v>
      </c>
      <c r="T24" s="65">
        <f>620259</f>
        <v>620259</v>
      </c>
      <c r="U24" s="65">
        <f>68801</f>
        <v>68801</v>
      </c>
      <c r="V24" s="65">
        <f>14523977651</f>
        <v>14523977651</v>
      </c>
      <c r="W24" s="65">
        <f>1605504321</f>
        <v>1605504321</v>
      </c>
      <c r="X24" s="69">
        <f>21</f>
        <v>21</v>
      </c>
    </row>
    <row r="25" spans="1:24">
      <c r="A25" s="60" t="s">
        <v>853</v>
      </c>
      <c r="B25" s="60" t="s">
        <v>113</v>
      </c>
      <c r="C25" s="60" t="s">
        <v>114</v>
      </c>
      <c r="D25" s="60" t="s">
        <v>115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23340</f>
        <v>23340</v>
      </c>
      <c r="L25" s="67" t="s">
        <v>840</v>
      </c>
      <c r="M25" s="66">
        <f>23690</f>
        <v>23690</v>
      </c>
      <c r="N25" s="67" t="s">
        <v>48</v>
      </c>
      <c r="O25" s="66">
        <f>22270</f>
        <v>22270</v>
      </c>
      <c r="P25" s="67" t="s">
        <v>51</v>
      </c>
      <c r="Q25" s="66">
        <f>22270</f>
        <v>22270</v>
      </c>
      <c r="R25" s="67" t="s">
        <v>51</v>
      </c>
      <c r="S25" s="68">
        <f>23180</f>
        <v>23180</v>
      </c>
      <c r="T25" s="65">
        <f>1179990</f>
        <v>1179990</v>
      </c>
      <c r="U25" s="65">
        <f>72720</f>
        <v>72720</v>
      </c>
      <c r="V25" s="65">
        <f>27417619354</f>
        <v>27417619354</v>
      </c>
      <c r="W25" s="65">
        <f>1698002354</f>
        <v>1698002354</v>
      </c>
      <c r="X25" s="69">
        <f>21</f>
        <v>21</v>
      </c>
    </row>
    <row r="26" spans="1:24">
      <c r="A26" s="60" t="s">
        <v>853</v>
      </c>
      <c r="B26" s="60" t="s">
        <v>116</v>
      </c>
      <c r="C26" s="60" t="s">
        <v>117</v>
      </c>
      <c r="D26" s="60" t="s">
        <v>118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1793</f>
        <v>1793</v>
      </c>
      <c r="L26" s="67" t="s">
        <v>840</v>
      </c>
      <c r="M26" s="66">
        <f>1835</f>
        <v>1835</v>
      </c>
      <c r="N26" s="67" t="s">
        <v>48</v>
      </c>
      <c r="O26" s="66">
        <f>1766</f>
        <v>1766</v>
      </c>
      <c r="P26" s="67" t="s">
        <v>49</v>
      </c>
      <c r="Q26" s="66">
        <f>1786</f>
        <v>1786</v>
      </c>
      <c r="R26" s="67" t="s">
        <v>51</v>
      </c>
      <c r="S26" s="68">
        <f>1796.52</f>
        <v>1796.52</v>
      </c>
      <c r="T26" s="65">
        <f>7077520</f>
        <v>7077520</v>
      </c>
      <c r="U26" s="65">
        <f>553240</f>
        <v>553240</v>
      </c>
      <c r="V26" s="65">
        <f>12724265832</f>
        <v>12724265832</v>
      </c>
      <c r="W26" s="65">
        <f>1000146472</f>
        <v>1000146472</v>
      </c>
      <c r="X26" s="69">
        <f>21</f>
        <v>21</v>
      </c>
    </row>
    <row r="27" spans="1:24">
      <c r="A27" s="60" t="s">
        <v>853</v>
      </c>
      <c r="B27" s="60" t="s">
        <v>120</v>
      </c>
      <c r="C27" s="60" t="s">
        <v>121</v>
      </c>
      <c r="D27" s="60" t="s">
        <v>122</v>
      </c>
      <c r="E27" s="61" t="s">
        <v>46</v>
      </c>
      <c r="F27" s="62" t="s">
        <v>46</v>
      </c>
      <c r="G27" s="63" t="s">
        <v>46</v>
      </c>
      <c r="H27" s="64"/>
      <c r="I27" s="64" t="s">
        <v>47</v>
      </c>
      <c r="J27" s="65">
        <v>10</v>
      </c>
      <c r="K27" s="66">
        <f>707</f>
        <v>707</v>
      </c>
      <c r="L27" s="67" t="s">
        <v>840</v>
      </c>
      <c r="M27" s="66">
        <f>721</f>
        <v>721</v>
      </c>
      <c r="N27" s="67" t="s">
        <v>90</v>
      </c>
      <c r="O27" s="66">
        <f>661</f>
        <v>661</v>
      </c>
      <c r="P27" s="67" t="s">
        <v>51</v>
      </c>
      <c r="Q27" s="66">
        <f>665</f>
        <v>665</v>
      </c>
      <c r="R27" s="67" t="s">
        <v>51</v>
      </c>
      <c r="S27" s="68">
        <f>701</f>
        <v>701</v>
      </c>
      <c r="T27" s="65">
        <f>39770</f>
        <v>39770</v>
      </c>
      <c r="U27" s="65" t="str">
        <f>"－"</f>
        <v>－</v>
      </c>
      <c r="V27" s="65">
        <f>27794900</f>
        <v>27794900</v>
      </c>
      <c r="W27" s="65" t="str">
        <f>"－"</f>
        <v>－</v>
      </c>
      <c r="X27" s="69">
        <f>21</f>
        <v>21</v>
      </c>
    </row>
    <row r="28" spans="1:24">
      <c r="A28" s="60" t="s">
        <v>853</v>
      </c>
      <c r="B28" s="60" t="s">
        <v>123</v>
      </c>
      <c r="C28" s="60" t="s">
        <v>124</v>
      </c>
      <c r="D28" s="60" t="s">
        <v>125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1698</f>
        <v>1698</v>
      </c>
      <c r="L28" s="67" t="s">
        <v>840</v>
      </c>
      <c r="M28" s="66">
        <f>1735</f>
        <v>1735</v>
      </c>
      <c r="N28" s="67" t="s">
        <v>48</v>
      </c>
      <c r="O28" s="66">
        <f>1660</f>
        <v>1660</v>
      </c>
      <c r="P28" s="67" t="s">
        <v>49</v>
      </c>
      <c r="Q28" s="66">
        <f>1681</f>
        <v>1681</v>
      </c>
      <c r="R28" s="67" t="s">
        <v>51</v>
      </c>
      <c r="S28" s="68">
        <f>1689.14</f>
        <v>1689.14</v>
      </c>
      <c r="T28" s="65">
        <f>1836600</f>
        <v>1836600</v>
      </c>
      <c r="U28" s="65">
        <f>171300</f>
        <v>171300</v>
      </c>
      <c r="V28" s="65">
        <f>3130946194</f>
        <v>3130946194</v>
      </c>
      <c r="W28" s="65">
        <f>292480094</f>
        <v>292480094</v>
      </c>
      <c r="X28" s="69">
        <f>21</f>
        <v>21</v>
      </c>
    </row>
    <row r="29" spans="1:24">
      <c r="A29" s="60" t="s">
        <v>853</v>
      </c>
      <c r="B29" s="60" t="s">
        <v>126</v>
      </c>
      <c r="C29" s="60" t="s">
        <v>127</v>
      </c>
      <c r="D29" s="60" t="s">
        <v>128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23210</f>
        <v>23210</v>
      </c>
      <c r="L29" s="67" t="s">
        <v>840</v>
      </c>
      <c r="M29" s="66">
        <f>23630</f>
        <v>23630</v>
      </c>
      <c r="N29" s="67" t="s">
        <v>820</v>
      </c>
      <c r="O29" s="66">
        <f>22330</f>
        <v>22330</v>
      </c>
      <c r="P29" s="67" t="s">
        <v>51</v>
      </c>
      <c r="Q29" s="66">
        <f>22330</f>
        <v>22330</v>
      </c>
      <c r="R29" s="67" t="s">
        <v>51</v>
      </c>
      <c r="S29" s="68">
        <f>23270.95</f>
        <v>23270.95</v>
      </c>
      <c r="T29" s="65">
        <f>582180</f>
        <v>582180</v>
      </c>
      <c r="U29" s="65">
        <f>110404</f>
        <v>110404</v>
      </c>
      <c r="V29" s="65">
        <f>13495532455</f>
        <v>13495532455</v>
      </c>
      <c r="W29" s="65">
        <f>2512109805</f>
        <v>2512109805</v>
      </c>
      <c r="X29" s="69">
        <f>21</f>
        <v>21</v>
      </c>
    </row>
    <row r="30" spans="1:24">
      <c r="A30" s="60" t="s">
        <v>853</v>
      </c>
      <c r="B30" s="60" t="s">
        <v>129</v>
      </c>
      <c r="C30" s="60" t="s">
        <v>130</v>
      </c>
      <c r="D30" s="60" t="s">
        <v>131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1624</f>
        <v>1624</v>
      </c>
      <c r="L30" s="67" t="s">
        <v>840</v>
      </c>
      <c r="M30" s="66">
        <f>1644</f>
        <v>1644</v>
      </c>
      <c r="N30" s="67" t="s">
        <v>100</v>
      </c>
      <c r="O30" s="66">
        <f>1540</f>
        <v>1540</v>
      </c>
      <c r="P30" s="67" t="s">
        <v>51</v>
      </c>
      <c r="Q30" s="66">
        <f>1540</f>
        <v>1540</v>
      </c>
      <c r="R30" s="67" t="s">
        <v>51</v>
      </c>
      <c r="S30" s="68">
        <f>1615.86</f>
        <v>1615.86</v>
      </c>
      <c r="T30" s="65">
        <f>2025050</f>
        <v>2025050</v>
      </c>
      <c r="U30" s="65">
        <f>110</f>
        <v>110</v>
      </c>
      <c r="V30" s="65">
        <f>3290460161</f>
        <v>3290460161</v>
      </c>
      <c r="W30" s="65">
        <f>178391</f>
        <v>178391</v>
      </c>
      <c r="X30" s="69">
        <f>21</f>
        <v>21</v>
      </c>
    </row>
    <row r="31" spans="1:24">
      <c r="A31" s="60" t="s">
        <v>853</v>
      </c>
      <c r="B31" s="60" t="s">
        <v>132</v>
      </c>
      <c r="C31" s="60" t="s">
        <v>133</v>
      </c>
      <c r="D31" s="60" t="s">
        <v>134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12830</f>
        <v>12830</v>
      </c>
      <c r="L31" s="67" t="s">
        <v>840</v>
      </c>
      <c r="M31" s="66">
        <f>12990</f>
        <v>12990</v>
      </c>
      <c r="N31" s="67" t="s">
        <v>65</v>
      </c>
      <c r="O31" s="66">
        <f>12550</f>
        <v>12550</v>
      </c>
      <c r="P31" s="67" t="s">
        <v>51</v>
      </c>
      <c r="Q31" s="66">
        <f>12550</f>
        <v>12550</v>
      </c>
      <c r="R31" s="67" t="s">
        <v>51</v>
      </c>
      <c r="S31" s="68">
        <f>12800.48</f>
        <v>12800.48</v>
      </c>
      <c r="T31" s="65">
        <f>668</f>
        <v>668</v>
      </c>
      <c r="U31" s="65" t="str">
        <f>"－"</f>
        <v>－</v>
      </c>
      <c r="V31" s="65">
        <f>8540220</f>
        <v>8540220</v>
      </c>
      <c r="W31" s="65" t="str">
        <f>"－"</f>
        <v>－</v>
      </c>
      <c r="X31" s="69">
        <f>21</f>
        <v>21</v>
      </c>
    </row>
    <row r="32" spans="1:24">
      <c r="A32" s="60" t="s">
        <v>853</v>
      </c>
      <c r="B32" s="60" t="s">
        <v>135</v>
      </c>
      <c r="C32" s="60" t="s">
        <v>136</v>
      </c>
      <c r="D32" s="60" t="s">
        <v>137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2031</f>
        <v>2031</v>
      </c>
      <c r="L32" s="67" t="s">
        <v>840</v>
      </c>
      <c r="M32" s="66">
        <f>2193</f>
        <v>2193</v>
      </c>
      <c r="N32" s="67" t="s">
        <v>51</v>
      </c>
      <c r="O32" s="66">
        <f>1944</f>
        <v>1944</v>
      </c>
      <c r="P32" s="67" t="s">
        <v>86</v>
      </c>
      <c r="Q32" s="66">
        <f>2192</f>
        <v>2192</v>
      </c>
      <c r="R32" s="67" t="s">
        <v>51</v>
      </c>
      <c r="S32" s="68">
        <f>2024.33</f>
        <v>2024.33</v>
      </c>
      <c r="T32" s="65">
        <f>7072060</f>
        <v>7072060</v>
      </c>
      <c r="U32" s="65">
        <f>21590</f>
        <v>21590</v>
      </c>
      <c r="V32" s="65">
        <f>14392362610</f>
        <v>14392362610</v>
      </c>
      <c r="W32" s="65">
        <f>44166230</f>
        <v>44166230</v>
      </c>
      <c r="X32" s="69">
        <f>21</f>
        <v>21</v>
      </c>
    </row>
    <row r="33" spans="1:24">
      <c r="A33" s="60" t="s">
        <v>853</v>
      </c>
      <c r="B33" s="60" t="s">
        <v>138</v>
      </c>
      <c r="C33" s="60" t="s">
        <v>139</v>
      </c>
      <c r="D33" s="60" t="s">
        <v>140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795</f>
        <v>795</v>
      </c>
      <c r="L33" s="67" t="s">
        <v>840</v>
      </c>
      <c r="M33" s="66">
        <f>835</f>
        <v>835</v>
      </c>
      <c r="N33" s="67" t="s">
        <v>51</v>
      </c>
      <c r="O33" s="66">
        <f>749</f>
        <v>749</v>
      </c>
      <c r="P33" s="67" t="s">
        <v>86</v>
      </c>
      <c r="Q33" s="66">
        <f>834</f>
        <v>834</v>
      </c>
      <c r="R33" s="67" t="s">
        <v>51</v>
      </c>
      <c r="S33" s="68">
        <f>779.29</f>
        <v>779.29</v>
      </c>
      <c r="T33" s="65">
        <f>1184458181</f>
        <v>1184458181</v>
      </c>
      <c r="U33" s="65">
        <f>633637</f>
        <v>633637</v>
      </c>
      <c r="V33" s="65">
        <f>925931509324</f>
        <v>925931509324</v>
      </c>
      <c r="W33" s="65">
        <f>493194338</f>
        <v>493194338</v>
      </c>
      <c r="X33" s="69">
        <f>21</f>
        <v>21</v>
      </c>
    </row>
    <row r="34" spans="1:24">
      <c r="A34" s="60" t="s">
        <v>853</v>
      </c>
      <c r="B34" s="60" t="s">
        <v>141</v>
      </c>
      <c r="C34" s="60" t="s">
        <v>142</v>
      </c>
      <c r="D34" s="60" t="s">
        <v>143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17910</f>
        <v>17910</v>
      </c>
      <c r="L34" s="67" t="s">
        <v>840</v>
      </c>
      <c r="M34" s="66">
        <f>18820</f>
        <v>18820</v>
      </c>
      <c r="N34" s="67" t="s">
        <v>86</v>
      </c>
      <c r="O34" s="66">
        <f>16810</f>
        <v>16810</v>
      </c>
      <c r="P34" s="67" t="s">
        <v>51</v>
      </c>
      <c r="Q34" s="66">
        <f>16810</f>
        <v>16810</v>
      </c>
      <c r="R34" s="67" t="s">
        <v>51</v>
      </c>
      <c r="S34" s="68">
        <f>18142.86</f>
        <v>18142.86</v>
      </c>
      <c r="T34" s="65">
        <f>317564</f>
        <v>317564</v>
      </c>
      <c r="U34" s="65" t="str">
        <f>"－"</f>
        <v>－</v>
      </c>
      <c r="V34" s="65">
        <f>5762972630</f>
        <v>5762972630</v>
      </c>
      <c r="W34" s="65" t="str">
        <f>"－"</f>
        <v>－</v>
      </c>
      <c r="X34" s="69">
        <f>21</f>
        <v>21</v>
      </c>
    </row>
    <row r="35" spans="1:24">
      <c r="A35" s="60" t="s">
        <v>853</v>
      </c>
      <c r="B35" s="60" t="s">
        <v>144</v>
      </c>
      <c r="C35" s="60" t="s">
        <v>145</v>
      </c>
      <c r="D35" s="60" t="s">
        <v>146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1932</f>
        <v>1932</v>
      </c>
      <c r="L35" s="67" t="s">
        <v>840</v>
      </c>
      <c r="M35" s="66">
        <f>2029</f>
        <v>2029</v>
      </c>
      <c r="N35" s="67" t="s">
        <v>51</v>
      </c>
      <c r="O35" s="66">
        <f>1822</f>
        <v>1822</v>
      </c>
      <c r="P35" s="67" t="s">
        <v>86</v>
      </c>
      <c r="Q35" s="66">
        <f>2025</f>
        <v>2025</v>
      </c>
      <c r="R35" s="67" t="s">
        <v>51</v>
      </c>
      <c r="S35" s="68">
        <f>1893.33</f>
        <v>1893.33</v>
      </c>
      <c r="T35" s="65">
        <f>69381730</f>
        <v>69381730</v>
      </c>
      <c r="U35" s="65">
        <f>16940</f>
        <v>16940</v>
      </c>
      <c r="V35" s="65">
        <f>131480976610</f>
        <v>131480976610</v>
      </c>
      <c r="W35" s="65">
        <f>32086560</f>
        <v>32086560</v>
      </c>
      <c r="X35" s="69">
        <f>21</f>
        <v>21</v>
      </c>
    </row>
    <row r="36" spans="1:24">
      <c r="A36" s="60" t="s">
        <v>853</v>
      </c>
      <c r="B36" s="60" t="s">
        <v>147</v>
      </c>
      <c r="C36" s="60" t="s">
        <v>148</v>
      </c>
      <c r="D36" s="60" t="s">
        <v>149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14380</f>
        <v>14380</v>
      </c>
      <c r="L36" s="67" t="s">
        <v>840</v>
      </c>
      <c r="M36" s="66">
        <f>14730</f>
        <v>14730</v>
      </c>
      <c r="N36" s="67" t="s">
        <v>86</v>
      </c>
      <c r="O36" s="66">
        <f>13850</f>
        <v>13850</v>
      </c>
      <c r="P36" s="67" t="s">
        <v>51</v>
      </c>
      <c r="Q36" s="66">
        <f>13850</f>
        <v>13850</v>
      </c>
      <c r="R36" s="67" t="s">
        <v>51</v>
      </c>
      <c r="S36" s="68">
        <f>14474.76</f>
        <v>14474.76</v>
      </c>
      <c r="T36" s="65">
        <f>5012</f>
        <v>5012</v>
      </c>
      <c r="U36" s="65" t="str">
        <f>"－"</f>
        <v>－</v>
      </c>
      <c r="V36" s="65">
        <f>72655970</f>
        <v>72655970</v>
      </c>
      <c r="W36" s="65" t="str">
        <f>"－"</f>
        <v>－</v>
      </c>
      <c r="X36" s="69">
        <f>21</f>
        <v>21</v>
      </c>
    </row>
    <row r="37" spans="1:24">
      <c r="A37" s="60" t="s">
        <v>853</v>
      </c>
      <c r="B37" s="60" t="s">
        <v>151</v>
      </c>
      <c r="C37" s="60" t="s">
        <v>152</v>
      </c>
      <c r="D37" s="60" t="s">
        <v>153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14650</f>
        <v>14650</v>
      </c>
      <c r="L37" s="67" t="s">
        <v>840</v>
      </c>
      <c r="M37" s="66">
        <f>15460</f>
        <v>15460</v>
      </c>
      <c r="N37" s="67" t="s">
        <v>86</v>
      </c>
      <c r="O37" s="66">
        <f>13790</f>
        <v>13790</v>
      </c>
      <c r="P37" s="67" t="s">
        <v>51</v>
      </c>
      <c r="Q37" s="66">
        <f>13810</f>
        <v>13810</v>
      </c>
      <c r="R37" s="67" t="s">
        <v>51</v>
      </c>
      <c r="S37" s="68">
        <f>14888.1</f>
        <v>14888.1</v>
      </c>
      <c r="T37" s="65">
        <f>1090384</f>
        <v>1090384</v>
      </c>
      <c r="U37" s="65">
        <f>1</f>
        <v>1</v>
      </c>
      <c r="V37" s="65">
        <f>16232849450</f>
        <v>16232849450</v>
      </c>
      <c r="W37" s="65">
        <f>14890</f>
        <v>14890</v>
      </c>
      <c r="X37" s="69">
        <f>21</f>
        <v>21</v>
      </c>
    </row>
    <row r="38" spans="1:24">
      <c r="A38" s="60" t="s">
        <v>853</v>
      </c>
      <c r="B38" s="60" t="s">
        <v>154</v>
      </c>
      <c r="C38" s="60" t="s">
        <v>155</v>
      </c>
      <c r="D38" s="60" t="s">
        <v>156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2069</f>
        <v>2069</v>
      </c>
      <c r="L38" s="67" t="s">
        <v>840</v>
      </c>
      <c r="M38" s="66">
        <f>2176</f>
        <v>2176</v>
      </c>
      <c r="N38" s="67" t="s">
        <v>51</v>
      </c>
      <c r="O38" s="66">
        <f>1954</f>
        <v>1954</v>
      </c>
      <c r="P38" s="67" t="s">
        <v>86</v>
      </c>
      <c r="Q38" s="66">
        <f>2172</f>
        <v>2172</v>
      </c>
      <c r="R38" s="67" t="s">
        <v>51</v>
      </c>
      <c r="S38" s="68">
        <f>2031.33</f>
        <v>2031.33</v>
      </c>
      <c r="T38" s="65">
        <f>8812767</f>
        <v>8812767</v>
      </c>
      <c r="U38" s="65">
        <f>20513</f>
        <v>20513</v>
      </c>
      <c r="V38" s="65">
        <f>17956793578</f>
        <v>17956793578</v>
      </c>
      <c r="W38" s="65">
        <f>41601432</f>
        <v>41601432</v>
      </c>
      <c r="X38" s="69">
        <f>21</f>
        <v>21</v>
      </c>
    </row>
    <row r="39" spans="1:24">
      <c r="A39" s="60" t="s">
        <v>853</v>
      </c>
      <c r="B39" s="60" t="s">
        <v>157</v>
      </c>
      <c r="C39" s="60" t="s">
        <v>158</v>
      </c>
      <c r="D39" s="60" t="s">
        <v>159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11820</f>
        <v>11820</v>
      </c>
      <c r="L39" s="67" t="s">
        <v>840</v>
      </c>
      <c r="M39" s="66">
        <f>12280</f>
        <v>12280</v>
      </c>
      <c r="N39" s="67" t="s">
        <v>86</v>
      </c>
      <c r="O39" s="66">
        <f>10840</f>
        <v>10840</v>
      </c>
      <c r="P39" s="67" t="s">
        <v>51</v>
      </c>
      <c r="Q39" s="66">
        <f>10850</f>
        <v>10850</v>
      </c>
      <c r="R39" s="67" t="s">
        <v>51</v>
      </c>
      <c r="S39" s="68">
        <f>11824.29</f>
        <v>11824.29</v>
      </c>
      <c r="T39" s="65">
        <f>151873</f>
        <v>151873</v>
      </c>
      <c r="U39" s="65">
        <f>60</f>
        <v>60</v>
      </c>
      <c r="V39" s="65">
        <f>1796424220</f>
        <v>1796424220</v>
      </c>
      <c r="W39" s="65">
        <f>672100</f>
        <v>672100</v>
      </c>
      <c r="X39" s="69">
        <f>21</f>
        <v>21</v>
      </c>
    </row>
    <row r="40" spans="1:24">
      <c r="A40" s="60" t="s">
        <v>853</v>
      </c>
      <c r="B40" s="60" t="s">
        <v>160</v>
      </c>
      <c r="C40" s="60" t="s">
        <v>161</v>
      </c>
      <c r="D40" s="60" t="s">
        <v>162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2953</f>
        <v>2953</v>
      </c>
      <c r="L40" s="67" t="s">
        <v>840</v>
      </c>
      <c r="M40" s="66">
        <f>3195</f>
        <v>3195</v>
      </c>
      <c r="N40" s="67" t="s">
        <v>51</v>
      </c>
      <c r="O40" s="66">
        <f>2829</f>
        <v>2829</v>
      </c>
      <c r="P40" s="67" t="s">
        <v>86</v>
      </c>
      <c r="Q40" s="66">
        <f>3190</f>
        <v>3190</v>
      </c>
      <c r="R40" s="67" t="s">
        <v>51</v>
      </c>
      <c r="S40" s="68">
        <f>2945.48</f>
        <v>2945.48</v>
      </c>
      <c r="T40" s="65">
        <f>1486402</f>
        <v>1486402</v>
      </c>
      <c r="U40" s="65">
        <f>162409</f>
        <v>162409</v>
      </c>
      <c r="V40" s="65">
        <f>4383064243</f>
        <v>4383064243</v>
      </c>
      <c r="W40" s="65">
        <f>465764179</f>
        <v>465764179</v>
      </c>
      <c r="X40" s="69">
        <f>21</f>
        <v>21</v>
      </c>
    </row>
    <row r="41" spans="1:24">
      <c r="A41" s="60" t="s">
        <v>853</v>
      </c>
      <c r="B41" s="60" t="s">
        <v>163</v>
      </c>
      <c r="C41" s="60" t="s">
        <v>164</v>
      </c>
      <c r="D41" s="60" t="s">
        <v>165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22550</f>
        <v>22550</v>
      </c>
      <c r="L41" s="67" t="s">
        <v>840</v>
      </c>
      <c r="M41" s="66">
        <f>23100</f>
        <v>23100</v>
      </c>
      <c r="N41" s="67" t="s">
        <v>100</v>
      </c>
      <c r="O41" s="66">
        <f>21720</f>
        <v>21720</v>
      </c>
      <c r="P41" s="67" t="s">
        <v>51</v>
      </c>
      <c r="Q41" s="66">
        <f>21720</f>
        <v>21720</v>
      </c>
      <c r="R41" s="67" t="s">
        <v>51</v>
      </c>
      <c r="S41" s="68">
        <f>22584.76</f>
        <v>22584.76</v>
      </c>
      <c r="T41" s="65">
        <f>101614</f>
        <v>101614</v>
      </c>
      <c r="U41" s="65">
        <f>13000</f>
        <v>13000</v>
      </c>
      <c r="V41" s="65">
        <f>2292996130</f>
        <v>2292996130</v>
      </c>
      <c r="W41" s="65">
        <f>293450000</f>
        <v>293450000</v>
      </c>
      <c r="X41" s="69">
        <f>21</f>
        <v>21</v>
      </c>
    </row>
    <row r="42" spans="1:24">
      <c r="A42" s="60" t="s">
        <v>853</v>
      </c>
      <c r="B42" s="60" t="s">
        <v>166</v>
      </c>
      <c r="C42" s="60" t="s">
        <v>167</v>
      </c>
      <c r="D42" s="60" t="s">
        <v>168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4000</f>
        <v>4000</v>
      </c>
      <c r="L42" s="67" t="s">
        <v>840</v>
      </c>
      <c r="M42" s="66">
        <f>4250</f>
        <v>4250</v>
      </c>
      <c r="N42" s="67" t="s">
        <v>309</v>
      </c>
      <c r="O42" s="66">
        <f>3980</f>
        <v>3980</v>
      </c>
      <c r="P42" s="67" t="s">
        <v>833</v>
      </c>
      <c r="Q42" s="66">
        <f>4000</f>
        <v>4000</v>
      </c>
      <c r="R42" s="67" t="s">
        <v>51</v>
      </c>
      <c r="S42" s="68">
        <f>4126.19</f>
        <v>4126.1899999999996</v>
      </c>
      <c r="T42" s="65">
        <f>8290</f>
        <v>8290</v>
      </c>
      <c r="U42" s="65" t="str">
        <f>"－"</f>
        <v>－</v>
      </c>
      <c r="V42" s="65">
        <f>34433840</f>
        <v>34433840</v>
      </c>
      <c r="W42" s="65" t="str">
        <f>"－"</f>
        <v>－</v>
      </c>
      <c r="X42" s="69">
        <f>21</f>
        <v>21</v>
      </c>
    </row>
    <row r="43" spans="1:24">
      <c r="A43" s="60" t="s">
        <v>853</v>
      </c>
      <c r="B43" s="60" t="s">
        <v>169</v>
      </c>
      <c r="C43" s="60" t="s">
        <v>170</v>
      </c>
      <c r="D43" s="60" t="s">
        <v>171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7310</f>
        <v>7310</v>
      </c>
      <c r="L43" s="67" t="s">
        <v>840</v>
      </c>
      <c r="M43" s="66">
        <f>7700</f>
        <v>7700</v>
      </c>
      <c r="N43" s="67" t="s">
        <v>309</v>
      </c>
      <c r="O43" s="66">
        <f>7210</f>
        <v>7210</v>
      </c>
      <c r="P43" s="67" t="s">
        <v>840</v>
      </c>
      <c r="Q43" s="66">
        <f>7310</f>
        <v>7310</v>
      </c>
      <c r="R43" s="67" t="s">
        <v>51</v>
      </c>
      <c r="S43" s="68">
        <f>7431.43</f>
        <v>7431.43</v>
      </c>
      <c r="T43" s="65">
        <f>1751</f>
        <v>1751</v>
      </c>
      <c r="U43" s="65" t="str">
        <f>"－"</f>
        <v>－</v>
      </c>
      <c r="V43" s="65">
        <f>13064570</f>
        <v>13064570</v>
      </c>
      <c r="W43" s="65" t="str">
        <f>"－"</f>
        <v>－</v>
      </c>
      <c r="X43" s="69">
        <f>21</f>
        <v>21</v>
      </c>
    </row>
    <row r="44" spans="1:24">
      <c r="A44" s="60" t="s">
        <v>853</v>
      </c>
      <c r="B44" s="60" t="s">
        <v>172</v>
      </c>
      <c r="C44" s="60" t="s">
        <v>173</v>
      </c>
      <c r="D44" s="60" t="s">
        <v>174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14050</f>
        <v>14050</v>
      </c>
      <c r="L44" s="67" t="s">
        <v>48</v>
      </c>
      <c r="M44" s="66">
        <f>14720</f>
        <v>14720</v>
      </c>
      <c r="N44" s="67" t="s">
        <v>309</v>
      </c>
      <c r="O44" s="66">
        <f>13780</f>
        <v>13780</v>
      </c>
      <c r="P44" s="67" t="s">
        <v>820</v>
      </c>
      <c r="Q44" s="66">
        <f>13920</f>
        <v>13920</v>
      </c>
      <c r="R44" s="67" t="s">
        <v>51</v>
      </c>
      <c r="S44" s="68">
        <f>14190</f>
        <v>14190</v>
      </c>
      <c r="T44" s="65">
        <f>1285</f>
        <v>1285</v>
      </c>
      <c r="U44" s="65">
        <f>1250</f>
        <v>1250</v>
      </c>
      <c r="V44" s="65">
        <f>18804400</f>
        <v>18804400</v>
      </c>
      <c r="W44" s="65">
        <f>18311250</f>
        <v>18311250</v>
      </c>
      <c r="X44" s="69">
        <f>7</f>
        <v>7</v>
      </c>
    </row>
    <row r="45" spans="1:24">
      <c r="A45" s="60" t="s">
        <v>853</v>
      </c>
      <c r="B45" s="60" t="s">
        <v>176</v>
      </c>
      <c r="C45" s="60" t="s">
        <v>177</v>
      </c>
      <c r="D45" s="60" t="s">
        <v>178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10960</f>
        <v>10960</v>
      </c>
      <c r="L45" s="67" t="s">
        <v>840</v>
      </c>
      <c r="M45" s="66">
        <f>11970</f>
        <v>11970</v>
      </c>
      <c r="N45" s="67" t="s">
        <v>91</v>
      </c>
      <c r="O45" s="66">
        <f>10950</f>
        <v>10950</v>
      </c>
      <c r="P45" s="67" t="s">
        <v>833</v>
      </c>
      <c r="Q45" s="66">
        <f>11110</f>
        <v>11110</v>
      </c>
      <c r="R45" s="67" t="s">
        <v>51</v>
      </c>
      <c r="S45" s="68">
        <f>11290</f>
        <v>11290</v>
      </c>
      <c r="T45" s="65">
        <f>37</f>
        <v>37</v>
      </c>
      <c r="U45" s="65" t="str">
        <f>"－"</f>
        <v>－</v>
      </c>
      <c r="V45" s="65">
        <f>417810</f>
        <v>417810</v>
      </c>
      <c r="W45" s="65" t="str">
        <f>"－"</f>
        <v>－</v>
      </c>
      <c r="X45" s="69">
        <f>9</f>
        <v>9</v>
      </c>
    </row>
    <row r="46" spans="1:24">
      <c r="A46" s="60" t="s">
        <v>853</v>
      </c>
      <c r="B46" s="60" t="s">
        <v>179</v>
      </c>
      <c r="C46" s="60" t="s">
        <v>180</v>
      </c>
      <c r="D46" s="60" t="s">
        <v>181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7890</f>
        <v>7890</v>
      </c>
      <c r="L46" s="67" t="s">
        <v>840</v>
      </c>
      <c r="M46" s="66">
        <f>8100</f>
        <v>8100</v>
      </c>
      <c r="N46" s="67" t="s">
        <v>150</v>
      </c>
      <c r="O46" s="66">
        <f>7510</f>
        <v>7510</v>
      </c>
      <c r="P46" s="67" t="s">
        <v>61</v>
      </c>
      <c r="Q46" s="66">
        <f>7880</f>
        <v>7880</v>
      </c>
      <c r="R46" s="67" t="s">
        <v>51</v>
      </c>
      <c r="S46" s="68">
        <f>7901</f>
        <v>7901</v>
      </c>
      <c r="T46" s="65">
        <f>1461</f>
        <v>1461</v>
      </c>
      <c r="U46" s="65" t="str">
        <f>"－"</f>
        <v>－</v>
      </c>
      <c r="V46" s="65">
        <f>11516280</f>
        <v>11516280</v>
      </c>
      <c r="W46" s="65" t="str">
        <f>"－"</f>
        <v>－</v>
      </c>
      <c r="X46" s="69">
        <f>20</f>
        <v>20</v>
      </c>
    </row>
    <row r="47" spans="1:24">
      <c r="A47" s="60" t="s">
        <v>853</v>
      </c>
      <c r="B47" s="60" t="s">
        <v>182</v>
      </c>
      <c r="C47" s="60" t="s">
        <v>183</v>
      </c>
      <c r="D47" s="60" t="s">
        <v>184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4190</f>
        <v>4190</v>
      </c>
      <c r="L47" s="67" t="s">
        <v>840</v>
      </c>
      <c r="M47" s="66">
        <f>4850</f>
        <v>4850</v>
      </c>
      <c r="N47" s="67" t="s">
        <v>100</v>
      </c>
      <c r="O47" s="66">
        <f>4150</f>
        <v>4150</v>
      </c>
      <c r="P47" s="67" t="s">
        <v>840</v>
      </c>
      <c r="Q47" s="66">
        <f>4290</f>
        <v>4290</v>
      </c>
      <c r="R47" s="67" t="s">
        <v>51</v>
      </c>
      <c r="S47" s="68">
        <f>4370.48</f>
        <v>4370.4799999999996</v>
      </c>
      <c r="T47" s="65">
        <f>1640</f>
        <v>1640</v>
      </c>
      <c r="U47" s="65" t="str">
        <f>"－"</f>
        <v>－</v>
      </c>
      <c r="V47" s="65">
        <f>7416970</f>
        <v>7416970</v>
      </c>
      <c r="W47" s="65" t="str">
        <f>"－"</f>
        <v>－</v>
      </c>
      <c r="X47" s="69">
        <f>21</f>
        <v>21</v>
      </c>
    </row>
    <row r="48" spans="1:24">
      <c r="A48" s="60" t="s">
        <v>853</v>
      </c>
      <c r="B48" s="60" t="s">
        <v>185</v>
      </c>
      <c r="C48" s="60" t="s">
        <v>186</v>
      </c>
      <c r="D48" s="60" t="s">
        <v>187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2218</f>
        <v>2218</v>
      </c>
      <c r="L48" s="67" t="s">
        <v>840</v>
      </c>
      <c r="M48" s="66">
        <f>2350</f>
        <v>2350</v>
      </c>
      <c r="N48" s="67" t="s">
        <v>79</v>
      </c>
      <c r="O48" s="66">
        <f>2217</f>
        <v>2217</v>
      </c>
      <c r="P48" s="67" t="s">
        <v>840</v>
      </c>
      <c r="Q48" s="66">
        <f>2282</f>
        <v>2282</v>
      </c>
      <c r="R48" s="67" t="s">
        <v>51</v>
      </c>
      <c r="S48" s="68">
        <f>2290.29</f>
        <v>2290.29</v>
      </c>
      <c r="T48" s="65">
        <f>2929</f>
        <v>2929</v>
      </c>
      <c r="U48" s="65">
        <f>3</f>
        <v>3</v>
      </c>
      <c r="V48" s="65">
        <f>6690148</f>
        <v>6690148</v>
      </c>
      <c r="W48" s="65">
        <f>6882</f>
        <v>6882</v>
      </c>
      <c r="X48" s="69">
        <f>21</f>
        <v>21</v>
      </c>
    </row>
    <row r="49" spans="1:24">
      <c r="A49" s="60" t="s">
        <v>853</v>
      </c>
      <c r="B49" s="60" t="s">
        <v>188</v>
      </c>
      <c r="C49" s="60" t="s">
        <v>189</v>
      </c>
      <c r="D49" s="60" t="s">
        <v>190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2159</f>
        <v>2159</v>
      </c>
      <c r="L49" s="67" t="s">
        <v>840</v>
      </c>
      <c r="M49" s="66">
        <f>2250</f>
        <v>2250</v>
      </c>
      <c r="N49" s="67" t="s">
        <v>91</v>
      </c>
      <c r="O49" s="66">
        <f>2100</f>
        <v>2100</v>
      </c>
      <c r="P49" s="67" t="s">
        <v>50</v>
      </c>
      <c r="Q49" s="66">
        <f>2139</f>
        <v>2139</v>
      </c>
      <c r="R49" s="67" t="s">
        <v>51</v>
      </c>
      <c r="S49" s="68">
        <f>2148.67</f>
        <v>2148.67</v>
      </c>
      <c r="T49" s="65">
        <f>1344</f>
        <v>1344</v>
      </c>
      <c r="U49" s="65" t="str">
        <f>"－"</f>
        <v>－</v>
      </c>
      <c r="V49" s="65">
        <f>2927640</f>
        <v>2927640</v>
      </c>
      <c r="W49" s="65" t="str">
        <f>"－"</f>
        <v>－</v>
      </c>
      <c r="X49" s="69">
        <f>21</f>
        <v>21</v>
      </c>
    </row>
    <row r="50" spans="1:24">
      <c r="A50" s="60" t="s">
        <v>853</v>
      </c>
      <c r="B50" s="60" t="s">
        <v>191</v>
      </c>
      <c r="C50" s="60" t="s">
        <v>192</v>
      </c>
      <c r="D50" s="60" t="s">
        <v>193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31950</f>
        <v>31950</v>
      </c>
      <c r="L50" s="67" t="s">
        <v>840</v>
      </c>
      <c r="M50" s="66">
        <f>34000</f>
        <v>34000</v>
      </c>
      <c r="N50" s="67" t="s">
        <v>150</v>
      </c>
      <c r="O50" s="66">
        <f>31950</f>
        <v>31950</v>
      </c>
      <c r="P50" s="67" t="s">
        <v>840</v>
      </c>
      <c r="Q50" s="66">
        <f>32850</f>
        <v>32850</v>
      </c>
      <c r="R50" s="67" t="s">
        <v>51</v>
      </c>
      <c r="S50" s="68">
        <f>33102.5</f>
        <v>33102.5</v>
      </c>
      <c r="T50" s="65">
        <f>575</f>
        <v>575</v>
      </c>
      <c r="U50" s="65" t="str">
        <f>"－"</f>
        <v>－</v>
      </c>
      <c r="V50" s="65">
        <f>19075800</f>
        <v>19075800</v>
      </c>
      <c r="W50" s="65" t="str">
        <f>"－"</f>
        <v>－</v>
      </c>
      <c r="X50" s="69">
        <f>20</f>
        <v>20</v>
      </c>
    </row>
    <row r="51" spans="1:24">
      <c r="A51" s="60" t="s">
        <v>853</v>
      </c>
      <c r="B51" s="60" t="s">
        <v>194</v>
      </c>
      <c r="C51" s="60" t="s">
        <v>195</v>
      </c>
      <c r="D51" s="60" t="s">
        <v>196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23810</f>
        <v>23810</v>
      </c>
      <c r="L51" s="67" t="s">
        <v>833</v>
      </c>
      <c r="M51" s="66">
        <f>24940</f>
        <v>24940</v>
      </c>
      <c r="N51" s="67" t="s">
        <v>309</v>
      </c>
      <c r="O51" s="66">
        <f>23810</f>
        <v>23810</v>
      </c>
      <c r="P51" s="67" t="s">
        <v>833</v>
      </c>
      <c r="Q51" s="66">
        <f>24210</f>
        <v>24210</v>
      </c>
      <c r="R51" s="67" t="s">
        <v>51</v>
      </c>
      <c r="S51" s="68">
        <f>24480.67</f>
        <v>24480.67</v>
      </c>
      <c r="T51" s="65">
        <f>173</f>
        <v>173</v>
      </c>
      <c r="U51" s="65" t="str">
        <f>"－"</f>
        <v>－</v>
      </c>
      <c r="V51" s="65">
        <f>4223660</f>
        <v>4223660</v>
      </c>
      <c r="W51" s="65" t="str">
        <f>"－"</f>
        <v>－</v>
      </c>
      <c r="X51" s="69">
        <f>15</f>
        <v>15</v>
      </c>
    </row>
    <row r="52" spans="1:24">
      <c r="A52" s="60" t="s">
        <v>853</v>
      </c>
      <c r="B52" s="60" t="s">
        <v>197</v>
      </c>
      <c r="C52" s="60" t="s">
        <v>198</v>
      </c>
      <c r="D52" s="60" t="s">
        <v>199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22560</f>
        <v>22560</v>
      </c>
      <c r="L52" s="67" t="s">
        <v>48</v>
      </c>
      <c r="M52" s="66">
        <f>23060</f>
        <v>23060</v>
      </c>
      <c r="N52" s="67" t="s">
        <v>150</v>
      </c>
      <c r="O52" s="66">
        <f>21990</f>
        <v>21990</v>
      </c>
      <c r="P52" s="67" t="s">
        <v>51</v>
      </c>
      <c r="Q52" s="66">
        <f>21990</f>
        <v>21990</v>
      </c>
      <c r="R52" s="67" t="s">
        <v>51</v>
      </c>
      <c r="S52" s="68">
        <f>22730.71</f>
        <v>22730.71</v>
      </c>
      <c r="T52" s="65">
        <f>1738</f>
        <v>1738</v>
      </c>
      <c r="U52" s="65">
        <f>1000</f>
        <v>1000</v>
      </c>
      <c r="V52" s="65">
        <f>39742290</f>
        <v>39742290</v>
      </c>
      <c r="W52" s="65">
        <f>22986000</f>
        <v>22986000</v>
      </c>
      <c r="X52" s="69">
        <f>14</f>
        <v>14</v>
      </c>
    </row>
    <row r="53" spans="1:24">
      <c r="A53" s="60" t="s">
        <v>853</v>
      </c>
      <c r="B53" s="60" t="s">
        <v>200</v>
      </c>
      <c r="C53" s="60" t="s">
        <v>201</v>
      </c>
      <c r="D53" s="60" t="s">
        <v>202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1697</f>
        <v>1697</v>
      </c>
      <c r="L53" s="67" t="s">
        <v>840</v>
      </c>
      <c r="M53" s="66">
        <f>1739</f>
        <v>1739</v>
      </c>
      <c r="N53" s="67" t="s">
        <v>48</v>
      </c>
      <c r="O53" s="66">
        <f>1673</f>
        <v>1673</v>
      </c>
      <c r="P53" s="67" t="s">
        <v>49</v>
      </c>
      <c r="Q53" s="66">
        <f>1696</f>
        <v>1696</v>
      </c>
      <c r="R53" s="67" t="s">
        <v>51</v>
      </c>
      <c r="S53" s="68">
        <f>1703.62</f>
        <v>1703.62</v>
      </c>
      <c r="T53" s="65">
        <f>44190</f>
        <v>44190</v>
      </c>
      <c r="U53" s="65" t="str">
        <f>"－"</f>
        <v>－</v>
      </c>
      <c r="V53" s="65">
        <f>75248140</f>
        <v>75248140</v>
      </c>
      <c r="W53" s="65" t="str">
        <f>"－"</f>
        <v>－</v>
      </c>
      <c r="X53" s="69">
        <f>21</f>
        <v>21</v>
      </c>
    </row>
    <row r="54" spans="1:24">
      <c r="A54" s="60" t="s">
        <v>853</v>
      </c>
      <c r="B54" s="60" t="s">
        <v>203</v>
      </c>
      <c r="C54" s="60" t="s">
        <v>204</v>
      </c>
      <c r="D54" s="60" t="s">
        <v>205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1330</f>
        <v>1330</v>
      </c>
      <c r="L54" s="67" t="s">
        <v>840</v>
      </c>
      <c r="M54" s="66">
        <f>1343</f>
        <v>1343</v>
      </c>
      <c r="N54" s="67" t="s">
        <v>72</v>
      </c>
      <c r="O54" s="66">
        <f>1220</f>
        <v>1220</v>
      </c>
      <c r="P54" s="67" t="s">
        <v>51</v>
      </c>
      <c r="Q54" s="66">
        <f>1220</f>
        <v>1220</v>
      </c>
      <c r="R54" s="67" t="s">
        <v>51</v>
      </c>
      <c r="S54" s="68">
        <f>1305.1</f>
        <v>1305.0999999999999</v>
      </c>
      <c r="T54" s="65">
        <f>7920</f>
        <v>7920</v>
      </c>
      <c r="U54" s="65" t="str">
        <f>"－"</f>
        <v>－</v>
      </c>
      <c r="V54" s="65">
        <f>10393340</f>
        <v>10393340</v>
      </c>
      <c r="W54" s="65" t="str">
        <f>"－"</f>
        <v>－</v>
      </c>
      <c r="X54" s="69">
        <f>21</f>
        <v>21</v>
      </c>
    </row>
    <row r="55" spans="1:24">
      <c r="A55" s="60" t="s">
        <v>853</v>
      </c>
      <c r="B55" s="60" t="s">
        <v>206</v>
      </c>
      <c r="C55" s="60" t="s">
        <v>207</v>
      </c>
      <c r="D55" s="60" t="s">
        <v>208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5950</f>
        <v>5950</v>
      </c>
      <c r="L55" s="67" t="s">
        <v>840</v>
      </c>
      <c r="M55" s="66">
        <f>6100</f>
        <v>6100</v>
      </c>
      <c r="N55" s="67" t="s">
        <v>51</v>
      </c>
      <c r="O55" s="66">
        <f>5780</f>
        <v>5780</v>
      </c>
      <c r="P55" s="67" t="s">
        <v>86</v>
      </c>
      <c r="Q55" s="66">
        <f>6100</f>
        <v>6100</v>
      </c>
      <c r="R55" s="67" t="s">
        <v>51</v>
      </c>
      <c r="S55" s="68">
        <f>5899.52</f>
        <v>5899.52</v>
      </c>
      <c r="T55" s="65">
        <f>821254</f>
        <v>821254</v>
      </c>
      <c r="U55" s="65">
        <f>438503</f>
        <v>438503</v>
      </c>
      <c r="V55" s="65">
        <f>4852882239</f>
        <v>4852882239</v>
      </c>
      <c r="W55" s="65">
        <f>2589330219</f>
        <v>2589330219</v>
      </c>
      <c r="X55" s="69">
        <f>21</f>
        <v>21</v>
      </c>
    </row>
    <row r="56" spans="1:24">
      <c r="A56" s="60" t="s">
        <v>853</v>
      </c>
      <c r="B56" s="60" t="s">
        <v>209</v>
      </c>
      <c r="C56" s="60" t="s">
        <v>210</v>
      </c>
      <c r="D56" s="60" t="s">
        <v>211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7030</f>
        <v>7030</v>
      </c>
      <c r="L56" s="67" t="s">
        <v>840</v>
      </c>
      <c r="M56" s="66">
        <f>7300</f>
        <v>7300</v>
      </c>
      <c r="N56" s="67" t="s">
        <v>51</v>
      </c>
      <c r="O56" s="66">
        <f>6880</f>
        <v>6880</v>
      </c>
      <c r="P56" s="67" t="s">
        <v>86</v>
      </c>
      <c r="Q56" s="66">
        <f>7300</f>
        <v>7300</v>
      </c>
      <c r="R56" s="67" t="s">
        <v>51</v>
      </c>
      <c r="S56" s="68">
        <f>7022.86</f>
        <v>7022.86</v>
      </c>
      <c r="T56" s="65">
        <f>120797</f>
        <v>120797</v>
      </c>
      <c r="U56" s="65" t="str">
        <f>"－"</f>
        <v>－</v>
      </c>
      <c r="V56" s="65">
        <f>849795060</f>
        <v>849795060</v>
      </c>
      <c r="W56" s="65" t="str">
        <f>"－"</f>
        <v>－</v>
      </c>
      <c r="X56" s="69">
        <f>21</f>
        <v>21</v>
      </c>
    </row>
    <row r="57" spans="1:24">
      <c r="A57" s="60" t="s">
        <v>853</v>
      </c>
      <c r="B57" s="60" t="s">
        <v>212</v>
      </c>
      <c r="C57" s="60" t="s">
        <v>213</v>
      </c>
      <c r="D57" s="60" t="s">
        <v>214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11110</f>
        <v>11110</v>
      </c>
      <c r="L57" s="67" t="s">
        <v>840</v>
      </c>
      <c r="M57" s="66">
        <f>11710</f>
        <v>11710</v>
      </c>
      <c r="N57" s="67" t="s">
        <v>86</v>
      </c>
      <c r="O57" s="66">
        <f>10450</f>
        <v>10450</v>
      </c>
      <c r="P57" s="67" t="s">
        <v>51</v>
      </c>
      <c r="Q57" s="66">
        <f>10470</f>
        <v>10470</v>
      </c>
      <c r="R57" s="67" t="s">
        <v>51</v>
      </c>
      <c r="S57" s="68">
        <f>11272.38</f>
        <v>11272.38</v>
      </c>
      <c r="T57" s="65">
        <f>5390446</f>
        <v>5390446</v>
      </c>
      <c r="U57" s="65">
        <f>140</f>
        <v>140</v>
      </c>
      <c r="V57" s="65">
        <f>60873215560</f>
        <v>60873215560</v>
      </c>
      <c r="W57" s="65">
        <f>1604080</f>
        <v>1604080</v>
      </c>
      <c r="X57" s="69">
        <f>21</f>
        <v>21</v>
      </c>
    </row>
    <row r="58" spans="1:24">
      <c r="A58" s="60" t="s">
        <v>853</v>
      </c>
      <c r="B58" s="60" t="s">
        <v>215</v>
      </c>
      <c r="C58" s="60" t="s">
        <v>216</v>
      </c>
      <c r="D58" s="60" t="s">
        <v>217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3155</f>
        <v>3155</v>
      </c>
      <c r="L58" s="67" t="s">
        <v>840</v>
      </c>
      <c r="M58" s="66">
        <f>3315</f>
        <v>3315</v>
      </c>
      <c r="N58" s="67" t="s">
        <v>51</v>
      </c>
      <c r="O58" s="66">
        <f>2975</f>
        <v>2975</v>
      </c>
      <c r="P58" s="67" t="s">
        <v>86</v>
      </c>
      <c r="Q58" s="66">
        <f>3310</f>
        <v>3310</v>
      </c>
      <c r="R58" s="67" t="s">
        <v>51</v>
      </c>
      <c r="S58" s="68">
        <f>3094.1</f>
        <v>3094.1</v>
      </c>
      <c r="T58" s="65">
        <f>27313209</f>
        <v>27313209</v>
      </c>
      <c r="U58" s="65">
        <f>690</f>
        <v>690</v>
      </c>
      <c r="V58" s="65">
        <f>84082672334</f>
        <v>84082672334</v>
      </c>
      <c r="W58" s="65">
        <f>2138105</f>
        <v>2138105</v>
      </c>
      <c r="X58" s="69">
        <f>21</f>
        <v>21</v>
      </c>
    </row>
    <row r="59" spans="1:24">
      <c r="A59" s="60" t="s">
        <v>853</v>
      </c>
      <c r="B59" s="60" t="s">
        <v>218</v>
      </c>
      <c r="C59" s="60" t="s">
        <v>219</v>
      </c>
      <c r="D59" s="60" t="s">
        <v>220</v>
      </c>
      <c r="E59" s="61" t="s">
        <v>46</v>
      </c>
      <c r="F59" s="62" t="s">
        <v>46</v>
      </c>
      <c r="G59" s="63" t="s">
        <v>46</v>
      </c>
      <c r="H59" s="64"/>
      <c r="I59" s="64" t="s">
        <v>47</v>
      </c>
      <c r="J59" s="65">
        <v>1</v>
      </c>
      <c r="K59" s="66">
        <f>19370</f>
        <v>19370</v>
      </c>
      <c r="L59" s="67" t="s">
        <v>48</v>
      </c>
      <c r="M59" s="66">
        <f>19830</f>
        <v>19830</v>
      </c>
      <c r="N59" s="67" t="s">
        <v>90</v>
      </c>
      <c r="O59" s="66">
        <f>19230</f>
        <v>19230</v>
      </c>
      <c r="P59" s="67" t="s">
        <v>51</v>
      </c>
      <c r="Q59" s="66">
        <f>19240</f>
        <v>19240</v>
      </c>
      <c r="R59" s="67" t="s">
        <v>51</v>
      </c>
      <c r="S59" s="68">
        <f>19492.86</f>
        <v>19492.86</v>
      </c>
      <c r="T59" s="65">
        <f>39</f>
        <v>39</v>
      </c>
      <c r="U59" s="65" t="str">
        <f t="shared" ref="U59:U67" si="0">"－"</f>
        <v>－</v>
      </c>
      <c r="V59" s="65">
        <f>758730</f>
        <v>758730</v>
      </c>
      <c r="W59" s="65" t="str">
        <f t="shared" ref="W59:W67" si="1">"－"</f>
        <v>－</v>
      </c>
      <c r="X59" s="69">
        <f>7</f>
        <v>7</v>
      </c>
    </row>
    <row r="60" spans="1:24">
      <c r="A60" s="60" t="s">
        <v>853</v>
      </c>
      <c r="B60" s="60" t="s">
        <v>221</v>
      </c>
      <c r="C60" s="60" t="s">
        <v>222</v>
      </c>
      <c r="D60" s="60" t="s">
        <v>223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9400</f>
        <v>9400</v>
      </c>
      <c r="L60" s="67" t="s">
        <v>840</v>
      </c>
      <c r="M60" s="66">
        <f>9800</f>
        <v>9800</v>
      </c>
      <c r="N60" s="67" t="s">
        <v>86</v>
      </c>
      <c r="O60" s="66">
        <f>8700</f>
        <v>8700</v>
      </c>
      <c r="P60" s="67" t="s">
        <v>51</v>
      </c>
      <c r="Q60" s="66">
        <f>8700</f>
        <v>8700</v>
      </c>
      <c r="R60" s="67" t="s">
        <v>51</v>
      </c>
      <c r="S60" s="68">
        <f>9421</f>
        <v>9421</v>
      </c>
      <c r="T60" s="65">
        <f>2565</f>
        <v>2565</v>
      </c>
      <c r="U60" s="65" t="str">
        <f t="shared" si="0"/>
        <v>－</v>
      </c>
      <c r="V60" s="65">
        <f>24010590</f>
        <v>24010590</v>
      </c>
      <c r="W60" s="65" t="str">
        <f t="shared" si="1"/>
        <v>－</v>
      </c>
      <c r="X60" s="69">
        <f>20</f>
        <v>20</v>
      </c>
    </row>
    <row r="61" spans="1:24">
      <c r="A61" s="60" t="s">
        <v>853</v>
      </c>
      <c r="B61" s="60" t="s">
        <v>224</v>
      </c>
      <c r="C61" s="60" t="s">
        <v>225</v>
      </c>
      <c r="D61" s="60" t="s">
        <v>226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6780</f>
        <v>6780</v>
      </c>
      <c r="L61" s="67" t="s">
        <v>48</v>
      </c>
      <c r="M61" s="66">
        <f>7060</f>
        <v>7060</v>
      </c>
      <c r="N61" s="67" t="s">
        <v>51</v>
      </c>
      <c r="O61" s="66">
        <f>6700</f>
        <v>6700</v>
      </c>
      <c r="P61" s="67" t="s">
        <v>72</v>
      </c>
      <c r="Q61" s="66">
        <f>7060</f>
        <v>7060</v>
      </c>
      <c r="R61" s="67" t="s">
        <v>51</v>
      </c>
      <c r="S61" s="68">
        <f>6809.09</f>
        <v>6809.09</v>
      </c>
      <c r="T61" s="65">
        <f>281</f>
        <v>281</v>
      </c>
      <c r="U61" s="65" t="str">
        <f t="shared" si="0"/>
        <v>－</v>
      </c>
      <c r="V61" s="65">
        <f>1902350</f>
        <v>1902350</v>
      </c>
      <c r="W61" s="65" t="str">
        <f t="shared" si="1"/>
        <v>－</v>
      </c>
      <c r="X61" s="69">
        <f>11</f>
        <v>11</v>
      </c>
    </row>
    <row r="62" spans="1:24">
      <c r="A62" s="60" t="s">
        <v>853</v>
      </c>
      <c r="B62" s="60" t="s">
        <v>227</v>
      </c>
      <c r="C62" s="60" t="s">
        <v>228</v>
      </c>
      <c r="D62" s="60" t="s">
        <v>229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3850</f>
        <v>3850</v>
      </c>
      <c r="L62" s="67" t="s">
        <v>840</v>
      </c>
      <c r="M62" s="66">
        <f>4105</f>
        <v>4105</v>
      </c>
      <c r="N62" s="67" t="s">
        <v>51</v>
      </c>
      <c r="O62" s="66">
        <f>3655</f>
        <v>3655</v>
      </c>
      <c r="P62" s="67" t="s">
        <v>72</v>
      </c>
      <c r="Q62" s="66">
        <f>4105</f>
        <v>4105</v>
      </c>
      <c r="R62" s="67" t="s">
        <v>51</v>
      </c>
      <c r="S62" s="68">
        <f>3812.14</f>
        <v>3812.14</v>
      </c>
      <c r="T62" s="65">
        <f>16335</f>
        <v>16335</v>
      </c>
      <c r="U62" s="65" t="str">
        <f t="shared" si="0"/>
        <v>－</v>
      </c>
      <c r="V62" s="65">
        <f>62692535</f>
        <v>62692535</v>
      </c>
      <c r="W62" s="65" t="str">
        <f t="shared" si="1"/>
        <v>－</v>
      </c>
      <c r="X62" s="69">
        <f>21</f>
        <v>21</v>
      </c>
    </row>
    <row r="63" spans="1:24">
      <c r="A63" s="60" t="s">
        <v>853</v>
      </c>
      <c r="B63" s="60" t="s">
        <v>230</v>
      </c>
      <c r="C63" s="60" t="s">
        <v>231</v>
      </c>
      <c r="D63" s="60" t="s">
        <v>232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9000</f>
        <v>9000</v>
      </c>
      <c r="L63" s="67" t="s">
        <v>840</v>
      </c>
      <c r="M63" s="66">
        <f>9310</f>
        <v>9310</v>
      </c>
      <c r="N63" s="67" t="s">
        <v>72</v>
      </c>
      <c r="O63" s="66">
        <f>8030</f>
        <v>8030</v>
      </c>
      <c r="P63" s="67" t="s">
        <v>51</v>
      </c>
      <c r="Q63" s="66">
        <f>8030</f>
        <v>8030</v>
      </c>
      <c r="R63" s="67" t="s">
        <v>51</v>
      </c>
      <c r="S63" s="68">
        <f>8900</f>
        <v>8900</v>
      </c>
      <c r="T63" s="65">
        <f>7700</f>
        <v>7700</v>
      </c>
      <c r="U63" s="65" t="str">
        <f t="shared" si="0"/>
        <v>－</v>
      </c>
      <c r="V63" s="65">
        <f>68413000</f>
        <v>68413000</v>
      </c>
      <c r="W63" s="65" t="str">
        <f t="shared" si="1"/>
        <v>－</v>
      </c>
      <c r="X63" s="69">
        <f>19</f>
        <v>19</v>
      </c>
    </row>
    <row r="64" spans="1:24">
      <c r="A64" s="60" t="s">
        <v>853</v>
      </c>
      <c r="B64" s="60" t="s">
        <v>233</v>
      </c>
      <c r="C64" s="60" t="s">
        <v>234</v>
      </c>
      <c r="D64" s="60" t="s">
        <v>235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6750</f>
        <v>6750</v>
      </c>
      <c r="L64" s="67" t="s">
        <v>840</v>
      </c>
      <c r="M64" s="66">
        <f>6900</f>
        <v>6900</v>
      </c>
      <c r="N64" s="67" t="s">
        <v>51</v>
      </c>
      <c r="O64" s="66">
        <f>6570</f>
        <v>6570</v>
      </c>
      <c r="P64" s="67" t="s">
        <v>86</v>
      </c>
      <c r="Q64" s="66">
        <f>6900</f>
        <v>6900</v>
      </c>
      <c r="R64" s="67" t="s">
        <v>51</v>
      </c>
      <c r="S64" s="68">
        <f>6723.64</f>
        <v>6723.64</v>
      </c>
      <c r="T64" s="65">
        <f>530</f>
        <v>530</v>
      </c>
      <c r="U64" s="65" t="str">
        <f t="shared" si="0"/>
        <v>－</v>
      </c>
      <c r="V64" s="65">
        <f>3589200</f>
        <v>3589200</v>
      </c>
      <c r="W64" s="65" t="str">
        <f t="shared" si="1"/>
        <v>－</v>
      </c>
      <c r="X64" s="69">
        <f>11</f>
        <v>11</v>
      </c>
    </row>
    <row r="65" spans="1:24">
      <c r="A65" s="60" t="s">
        <v>853</v>
      </c>
      <c r="B65" s="60" t="s">
        <v>236</v>
      </c>
      <c r="C65" s="60" t="s">
        <v>237</v>
      </c>
      <c r="D65" s="60" t="s">
        <v>238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3840</f>
        <v>3840</v>
      </c>
      <c r="L65" s="67" t="s">
        <v>840</v>
      </c>
      <c r="M65" s="66">
        <f>4100</f>
        <v>4100</v>
      </c>
      <c r="N65" s="67" t="s">
        <v>51</v>
      </c>
      <c r="O65" s="66">
        <f>3635</f>
        <v>3635</v>
      </c>
      <c r="P65" s="67" t="s">
        <v>72</v>
      </c>
      <c r="Q65" s="66">
        <f>4090</f>
        <v>4090</v>
      </c>
      <c r="R65" s="67" t="s">
        <v>51</v>
      </c>
      <c r="S65" s="68">
        <f>3799.52</f>
        <v>3799.52</v>
      </c>
      <c r="T65" s="65">
        <f>36010</f>
        <v>36010</v>
      </c>
      <c r="U65" s="65" t="str">
        <f t="shared" si="0"/>
        <v>－</v>
      </c>
      <c r="V65" s="65">
        <f>138481050</f>
        <v>138481050</v>
      </c>
      <c r="W65" s="65" t="str">
        <f t="shared" si="1"/>
        <v>－</v>
      </c>
      <c r="X65" s="69">
        <f>21</f>
        <v>21</v>
      </c>
    </row>
    <row r="66" spans="1:24">
      <c r="A66" s="60" t="s">
        <v>853</v>
      </c>
      <c r="B66" s="60" t="s">
        <v>239</v>
      </c>
      <c r="C66" s="60" t="s">
        <v>240</v>
      </c>
      <c r="D66" s="60" t="s">
        <v>241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f>18830</f>
        <v>18830</v>
      </c>
      <c r="L66" s="67" t="s">
        <v>840</v>
      </c>
      <c r="M66" s="66">
        <f>19560</f>
        <v>19560</v>
      </c>
      <c r="N66" s="67" t="s">
        <v>95</v>
      </c>
      <c r="O66" s="66">
        <f>17330</f>
        <v>17330</v>
      </c>
      <c r="P66" s="67" t="s">
        <v>51</v>
      </c>
      <c r="Q66" s="66">
        <f>17330</f>
        <v>17330</v>
      </c>
      <c r="R66" s="67" t="s">
        <v>51</v>
      </c>
      <c r="S66" s="68">
        <f>18703.68</f>
        <v>18703.68</v>
      </c>
      <c r="T66" s="65">
        <f>1760</f>
        <v>1760</v>
      </c>
      <c r="U66" s="65" t="str">
        <f t="shared" si="0"/>
        <v>－</v>
      </c>
      <c r="V66" s="65">
        <f>32736710</f>
        <v>32736710</v>
      </c>
      <c r="W66" s="65" t="str">
        <f t="shared" si="1"/>
        <v>－</v>
      </c>
      <c r="X66" s="69">
        <f>19</f>
        <v>19</v>
      </c>
    </row>
    <row r="67" spans="1:24">
      <c r="A67" s="60" t="s">
        <v>853</v>
      </c>
      <c r="B67" s="60" t="s">
        <v>242</v>
      </c>
      <c r="C67" s="60" t="s">
        <v>243</v>
      </c>
      <c r="D67" s="60" t="s">
        <v>244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4415</f>
        <v>4415</v>
      </c>
      <c r="L67" s="67" t="s">
        <v>840</v>
      </c>
      <c r="M67" s="66">
        <f>4530</f>
        <v>4530</v>
      </c>
      <c r="N67" s="67" t="s">
        <v>51</v>
      </c>
      <c r="O67" s="66">
        <f>4275</f>
        <v>4275</v>
      </c>
      <c r="P67" s="67" t="s">
        <v>820</v>
      </c>
      <c r="Q67" s="66">
        <f>4500</f>
        <v>4500</v>
      </c>
      <c r="R67" s="67" t="s">
        <v>51</v>
      </c>
      <c r="S67" s="68">
        <f>4421.15</f>
        <v>4421.1499999999996</v>
      </c>
      <c r="T67" s="65">
        <f>1466</f>
        <v>1466</v>
      </c>
      <c r="U67" s="65" t="str">
        <f t="shared" si="0"/>
        <v>－</v>
      </c>
      <c r="V67" s="65">
        <f>6556215</f>
        <v>6556215</v>
      </c>
      <c r="W67" s="65" t="str">
        <f t="shared" si="1"/>
        <v>－</v>
      </c>
      <c r="X67" s="69">
        <f>13</f>
        <v>13</v>
      </c>
    </row>
    <row r="68" spans="1:24">
      <c r="A68" s="60" t="s">
        <v>853</v>
      </c>
      <c r="B68" s="60" t="s">
        <v>246</v>
      </c>
      <c r="C68" s="60" t="s">
        <v>247</v>
      </c>
      <c r="D68" s="60" t="s">
        <v>248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f>1543</f>
        <v>1543</v>
      </c>
      <c r="L68" s="67" t="s">
        <v>840</v>
      </c>
      <c r="M68" s="66">
        <f>1634</f>
        <v>1634</v>
      </c>
      <c r="N68" s="67" t="s">
        <v>51</v>
      </c>
      <c r="O68" s="66">
        <f>1450</f>
        <v>1450</v>
      </c>
      <c r="P68" s="67" t="s">
        <v>100</v>
      </c>
      <c r="Q68" s="66">
        <f>1630</f>
        <v>1630</v>
      </c>
      <c r="R68" s="67" t="s">
        <v>51</v>
      </c>
      <c r="S68" s="68">
        <f>1512.05</f>
        <v>1512.05</v>
      </c>
      <c r="T68" s="65">
        <f>49143</f>
        <v>49143</v>
      </c>
      <c r="U68" s="65">
        <f>101</f>
        <v>101</v>
      </c>
      <c r="V68" s="65">
        <f>75568354</f>
        <v>75568354</v>
      </c>
      <c r="W68" s="65">
        <f>151410</f>
        <v>151410</v>
      </c>
      <c r="X68" s="69">
        <f>21</f>
        <v>21</v>
      </c>
    </row>
    <row r="69" spans="1:24">
      <c r="A69" s="60" t="s">
        <v>853</v>
      </c>
      <c r="B69" s="60" t="s">
        <v>249</v>
      </c>
      <c r="C69" s="60" t="s">
        <v>250</v>
      </c>
      <c r="D69" s="60" t="s">
        <v>251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10</v>
      </c>
      <c r="K69" s="66">
        <f>1591</f>
        <v>1591</v>
      </c>
      <c r="L69" s="67" t="s">
        <v>840</v>
      </c>
      <c r="M69" s="66">
        <f>1608</f>
        <v>1608</v>
      </c>
      <c r="N69" s="67" t="s">
        <v>48</v>
      </c>
      <c r="O69" s="66">
        <f>1509</f>
        <v>1509</v>
      </c>
      <c r="P69" s="67" t="s">
        <v>51</v>
      </c>
      <c r="Q69" s="66">
        <f>1509</f>
        <v>1509</v>
      </c>
      <c r="R69" s="67" t="s">
        <v>51</v>
      </c>
      <c r="S69" s="68">
        <f>1577.38</f>
        <v>1577.38</v>
      </c>
      <c r="T69" s="65">
        <f>1082690</f>
        <v>1082690</v>
      </c>
      <c r="U69" s="65">
        <f>366000</f>
        <v>366000</v>
      </c>
      <c r="V69" s="65">
        <f>1712876780</f>
        <v>1712876780</v>
      </c>
      <c r="W69" s="65">
        <f>583660200</f>
        <v>583660200</v>
      </c>
      <c r="X69" s="69">
        <f>21</f>
        <v>21</v>
      </c>
    </row>
    <row r="70" spans="1:24">
      <c r="A70" s="60" t="s">
        <v>853</v>
      </c>
      <c r="B70" s="60" t="s">
        <v>252</v>
      </c>
      <c r="C70" s="60" t="s">
        <v>253</v>
      </c>
      <c r="D70" s="60" t="s">
        <v>254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14290</f>
        <v>14290</v>
      </c>
      <c r="L70" s="67" t="s">
        <v>840</v>
      </c>
      <c r="M70" s="66">
        <f>14550</f>
        <v>14550</v>
      </c>
      <c r="N70" s="67" t="s">
        <v>48</v>
      </c>
      <c r="O70" s="66">
        <f>13510</f>
        <v>13510</v>
      </c>
      <c r="P70" s="67" t="s">
        <v>51</v>
      </c>
      <c r="Q70" s="66">
        <f>13510</f>
        <v>13510</v>
      </c>
      <c r="R70" s="67" t="s">
        <v>51</v>
      </c>
      <c r="S70" s="68">
        <f>14199.52</f>
        <v>14199.52</v>
      </c>
      <c r="T70" s="65">
        <f>46241</f>
        <v>46241</v>
      </c>
      <c r="U70" s="65" t="str">
        <f>"－"</f>
        <v>－</v>
      </c>
      <c r="V70" s="65">
        <f>656830090</f>
        <v>656830090</v>
      </c>
      <c r="W70" s="65" t="str">
        <f>"－"</f>
        <v>－</v>
      </c>
      <c r="X70" s="69">
        <f>21</f>
        <v>21</v>
      </c>
    </row>
    <row r="71" spans="1:24">
      <c r="A71" s="60" t="s">
        <v>853</v>
      </c>
      <c r="B71" s="60" t="s">
        <v>255</v>
      </c>
      <c r="C71" s="60" t="s">
        <v>256</v>
      </c>
      <c r="D71" s="60" t="s">
        <v>257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1602</f>
        <v>1602</v>
      </c>
      <c r="L71" s="67" t="s">
        <v>840</v>
      </c>
      <c r="M71" s="66">
        <f>1632</f>
        <v>1632</v>
      </c>
      <c r="N71" s="67" t="s">
        <v>72</v>
      </c>
      <c r="O71" s="66">
        <f>1539</f>
        <v>1539</v>
      </c>
      <c r="P71" s="67" t="s">
        <v>51</v>
      </c>
      <c r="Q71" s="66">
        <f>1544</f>
        <v>1544</v>
      </c>
      <c r="R71" s="67" t="s">
        <v>51</v>
      </c>
      <c r="S71" s="68">
        <f>1601.76</f>
        <v>1601.76</v>
      </c>
      <c r="T71" s="65">
        <f>3104684</f>
        <v>3104684</v>
      </c>
      <c r="U71" s="65">
        <f>605160</f>
        <v>605160</v>
      </c>
      <c r="V71" s="65">
        <f>4982930609</f>
        <v>4982930609</v>
      </c>
      <c r="W71" s="65">
        <f>971083442</f>
        <v>971083442</v>
      </c>
      <c r="X71" s="69">
        <f>21</f>
        <v>21</v>
      </c>
    </row>
    <row r="72" spans="1:24">
      <c r="A72" s="60" t="s">
        <v>853</v>
      </c>
      <c r="B72" s="60" t="s">
        <v>258</v>
      </c>
      <c r="C72" s="60" t="s">
        <v>259</v>
      </c>
      <c r="D72" s="60" t="s">
        <v>260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1722</f>
        <v>1722</v>
      </c>
      <c r="L72" s="67" t="s">
        <v>840</v>
      </c>
      <c r="M72" s="66">
        <f>1759</f>
        <v>1759</v>
      </c>
      <c r="N72" s="67" t="s">
        <v>48</v>
      </c>
      <c r="O72" s="66">
        <f>1695</f>
        <v>1695</v>
      </c>
      <c r="P72" s="67" t="s">
        <v>49</v>
      </c>
      <c r="Q72" s="66">
        <f>1718</f>
        <v>1718</v>
      </c>
      <c r="R72" s="67" t="s">
        <v>51</v>
      </c>
      <c r="S72" s="68">
        <f>1723</f>
        <v>1723</v>
      </c>
      <c r="T72" s="65">
        <f>2888834</f>
        <v>2888834</v>
      </c>
      <c r="U72" s="65">
        <f>1824028</f>
        <v>1824028</v>
      </c>
      <c r="V72" s="65">
        <f>4978988897</f>
        <v>4978988897</v>
      </c>
      <c r="W72" s="65">
        <f>3144718306</f>
        <v>3144718306</v>
      </c>
      <c r="X72" s="69">
        <f>21</f>
        <v>21</v>
      </c>
    </row>
    <row r="73" spans="1:24">
      <c r="A73" s="60" t="s">
        <v>853</v>
      </c>
      <c r="B73" s="60" t="s">
        <v>261</v>
      </c>
      <c r="C73" s="60" t="s">
        <v>262</v>
      </c>
      <c r="D73" s="60" t="s">
        <v>263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1725</f>
        <v>1725</v>
      </c>
      <c r="L73" s="67" t="s">
        <v>840</v>
      </c>
      <c r="M73" s="66">
        <f>1745</f>
        <v>1745</v>
      </c>
      <c r="N73" s="67" t="s">
        <v>65</v>
      </c>
      <c r="O73" s="66">
        <f>1632</f>
        <v>1632</v>
      </c>
      <c r="P73" s="67" t="s">
        <v>51</v>
      </c>
      <c r="Q73" s="66">
        <f>1632</f>
        <v>1632</v>
      </c>
      <c r="R73" s="67" t="s">
        <v>51</v>
      </c>
      <c r="S73" s="68">
        <f>1711.57</f>
        <v>1711.57</v>
      </c>
      <c r="T73" s="65">
        <f>50775</f>
        <v>50775</v>
      </c>
      <c r="U73" s="65">
        <f>110</f>
        <v>110</v>
      </c>
      <c r="V73" s="65">
        <f>86128207</f>
        <v>86128207</v>
      </c>
      <c r="W73" s="65">
        <f>188679</f>
        <v>188679</v>
      </c>
      <c r="X73" s="69">
        <f>21</f>
        <v>21</v>
      </c>
    </row>
    <row r="74" spans="1:24">
      <c r="A74" s="60" t="s">
        <v>853</v>
      </c>
      <c r="B74" s="60" t="s">
        <v>264</v>
      </c>
      <c r="C74" s="60" t="s">
        <v>265</v>
      </c>
      <c r="D74" s="60" t="s">
        <v>266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1729</f>
        <v>1729</v>
      </c>
      <c r="L74" s="67" t="s">
        <v>840</v>
      </c>
      <c r="M74" s="66">
        <f>1755</f>
        <v>1755</v>
      </c>
      <c r="N74" s="67" t="s">
        <v>72</v>
      </c>
      <c r="O74" s="66">
        <f>1607</f>
        <v>1607</v>
      </c>
      <c r="P74" s="67" t="s">
        <v>51</v>
      </c>
      <c r="Q74" s="66">
        <f>1616</f>
        <v>1616</v>
      </c>
      <c r="R74" s="67" t="s">
        <v>51</v>
      </c>
      <c r="S74" s="68">
        <f>1709.48</f>
        <v>1709.48</v>
      </c>
      <c r="T74" s="65">
        <f>315739</f>
        <v>315739</v>
      </c>
      <c r="U74" s="65">
        <f>1</f>
        <v>1</v>
      </c>
      <c r="V74" s="65">
        <f>533573893</f>
        <v>533573893</v>
      </c>
      <c r="W74" s="65">
        <f>1701</f>
        <v>1701</v>
      </c>
      <c r="X74" s="69">
        <f>21</f>
        <v>21</v>
      </c>
    </row>
    <row r="75" spans="1:24">
      <c r="A75" s="60" t="s">
        <v>853</v>
      </c>
      <c r="B75" s="60" t="s">
        <v>267</v>
      </c>
      <c r="C75" s="60" t="s">
        <v>268</v>
      </c>
      <c r="D75" s="60" t="s">
        <v>269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19410</f>
        <v>19410</v>
      </c>
      <c r="L75" s="67" t="s">
        <v>840</v>
      </c>
      <c r="M75" s="66">
        <f>19510</f>
        <v>19510</v>
      </c>
      <c r="N75" s="67" t="s">
        <v>100</v>
      </c>
      <c r="O75" s="66">
        <f>18590</f>
        <v>18590</v>
      </c>
      <c r="P75" s="67" t="s">
        <v>51</v>
      </c>
      <c r="Q75" s="66">
        <f>18590</f>
        <v>18590</v>
      </c>
      <c r="R75" s="67" t="s">
        <v>51</v>
      </c>
      <c r="S75" s="68">
        <f>19212.31</f>
        <v>19212.310000000001</v>
      </c>
      <c r="T75" s="65">
        <f>27</f>
        <v>27</v>
      </c>
      <c r="U75" s="65" t="str">
        <f>"－"</f>
        <v>－</v>
      </c>
      <c r="V75" s="65">
        <f>519370</f>
        <v>519370</v>
      </c>
      <c r="W75" s="65" t="str">
        <f>"－"</f>
        <v>－</v>
      </c>
      <c r="X75" s="69">
        <f>13</f>
        <v>13</v>
      </c>
    </row>
    <row r="76" spans="1:24">
      <c r="A76" s="60" t="s">
        <v>853</v>
      </c>
      <c r="B76" s="60" t="s">
        <v>270</v>
      </c>
      <c r="C76" s="60" t="s">
        <v>271</v>
      </c>
      <c r="D76" s="60" t="s">
        <v>272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15600</f>
        <v>15600</v>
      </c>
      <c r="L76" s="67" t="s">
        <v>840</v>
      </c>
      <c r="M76" s="66">
        <f>15890</f>
        <v>15890</v>
      </c>
      <c r="N76" s="67" t="s">
        <v>86</v>
      </c>
      <c r="O76" s="66">
        <f>15150</f>
        <v>15150</v>
      </c>
      <c r="P76" s="67" t="s">
        <v>51</v>
      </c>
      <c r="Q76" s="66">
        <f>15150</f>
        <v>15150</v>
      </c>
      <c r="R76" s="67" t="s">
        <v>51</v>
      </c>
      <c r="S76" s="68">
        <f>15585</f>
        <v>15585</v>
      </c>
      <c r="T76" s="65">
        <f>67</f>
        <v>67</v>
      </c>
      <c r="U76" s="65" t="str">
        <f>"－"</f>
        <v>－</v>
      </c>
      <c r="V76" s="65">
        <f>1046070</f>
        <v>1046070</v>
      </c>
      <c r="W76" s="65" t="str">
        <f>"－"</f>
        <v>－</v>
      </c>
      <c r="X76" s="69">
        <f>12</f>
        <v>12</v>
      </c>
    </row>
    <row r="77" spans="1:24">
      <c r="A77" s="60" t="s">
        <v>853</v>
      </c>
      <c r="B77" s="60" t="s">
        <v>273</v>
      </c>
      <c r="C77" s="60" t="s">
        <v>274</v>
      </c>
      <c r="D77" s="60" t="s">
        <v>275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1570</f>
        <v>1570</v>
      </c>
      <c r="L77" s="67" t="s">
        <v>840</v>
      </c>
      <c r="M77" s="66">
        <f>1577</f>
        <v>1577</v>
      </c>
      <c r="N77" s="67" t="s">
        <v>48</v>
      </c>
      <c r="O77" s="66">
        <f>1490</f>
        <v>1490</v>
      </c>
      <c r="P77" s="67" t="s">
        <v>51</v>
      </c>
      <c r="Q77" s="66">
        <f>1490</f>
        <v>1490</v>
      </c>
      <c r="R77" s="67" t="s">
        <v>51</v>
      </c>
      <c r="S77" s="68">
        <f>1544</f>
        <v>1544</v>
      </c>
      <c r="T77" s="65">
        <f>2317</f>
        <v>2317</v>
      </c>
      <c r="U77" s="65" t="str">
        <f>"－"</f>
        <v>－</v>
      </c>
      <c r="V77" s="65">
        <f>3537337</f>
        <v>3537337</v>
      </c>
      <c r="W77" s="65" t="str">
        <f>"－"</f>
        <v>－</v>
      </c>
      <c r="X77" s="69">
        <f>20</f>
        <v>20</v>
      </c>
    </row>
    <row r="78" spans="1:24">
      <c r="A78" s="60" t="s">
        <v>853</v>
      </c>
      <c r="B78" s="60" t="s">
        <v>276</v>
      </c>
      <c r="C78" s="60" t="s">
        <v>277</v>
      </c>
      <c r="D78" s="60" t="s">
        <v>278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2524</f>
        <v>2524</v>
      </c>
      <c r="L78" s="67" t="s">
        <v>840</v>
      </c>
      <c r="M78" s="66">
        <f>2542</f>
        <v>2542</v>
      </c>
      <c r="N78" s="67" t="s">
        <v>833</v>
      </c>
      <c r="O78" s="66">
        <f>2510</f>
        <v>2510</v>
      </c>
      <c r="P78" s="67" t="s">
        <v>119</v>
      </c>
      <c r="Q78" s="66">
        <f>2536</f>
        <v>2536</v>
      </c>
      <c r="R78" s="67" t="s">
        <v>51</v>
      </c>
      <c r="S78" s="68">
        <f>2521.33</f>
        <v>2521.33</v>
      </c>
      <c r="T78" s="65">
        <f>1926104</f>
        <v>1926104</v>
      </c>
      <c r="U78" s="65">
        <f>514419</f>
        <v>514419</v>
      </c>
      <c r="V78" s="65">
        <f>4852962011</f>
        <v>4852962011</v>
      </c>
      <c r="W78" s="65">
        <f>1296325384</f>
        <v>1296325384</v>
      </c>
      <c r="X78" s="69">
        <f>21</f>
        <v>21</v>
      </c>
    </row>
    <row r="79" spans="1:24">
      <c r="A79" s="60" t="s">
        <v>853</v>
      </c>
      <c r="B79" s="60" t="s">
        <v>279</v>
      </c>
      <c r="C79" s="60" t="s">
        <v>280</v>
      </c>
      <c r="D79" s="60" t="s">
        <v>281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f>1512</f>
        <v>1512</v>
      </c>
      <c r="L79" s="67" t="s">
        <v>840</v>
      </c>
      <c r="M79" s="66">
        <f>1555</f>
        <v>1555</v>
      </c>
      <c r="N79" s="67" t="s">
        <v>51</v>
      </c>
      <c r="O79" s="66">
        <f>1475</f>
        <v>1475</v>
      </c>
      <c r="P79" s="67" t="s">
        <v>51</v>
      </c>
      <c r="Q79" s="66">
        <f>1475</f>
        <v>1475</v>
      </c>
      <c r="R79" s="67" t="s">
        <v>51</v>
      </c>
      <c r="S79" s="68">
        <f>1513.11</f>
        <v>1513.11</v>
      </c>
      <c r="T79" s="65">
        <f>675</f>
        <v>675</v>
      </c>
      <c r="U79" s="65" t="str">
        <f>"－"</f>
        <v>－</v>
      </c>
      <c r="V79" s="65">
        <f>1024442</f>
        <v>1024442</v>
      </c>
      <c r="W79" s="65" t="str">
        <f>"－"</f>
        <v>－</v>
      </c>
      <c r="X79" s="69">
        <f>19</f>
        <v>19</v>
      </c>
    </row>
    <row r="80" spans="1:24">
      <c r="A80" s="60" t="s">
        <v>853</v>
      </c>
      <c r="B80" s="60" t="s">
        <v>282</v>
      </c>
      <c r="C80" s="60" t="s">
        <v>283</v>
      </c>
      <c r="D80" s="60" t="s">
        <v>284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10</v>
      </c>
      <c r="K80" s="66">
        <f>1533</f>
        <v>1533</v>
      </c>
      <c r="L80" s="67" t="s">
        <v>840</v>
      </c>
      <c r="M80" s="66">
        <f>1558</f>
        <v>1558</v>
      </c>
      <c r="N80" s="67" t="s">
        <v>48</v>
      </c>
      <c r="O80" s="66">
        <f>1465</f>
        <v>1465</v>
      </c>
      <c r="P80" s="67" t="s">
        <v>51</v>
      </c>
      <c r="Q80" s="66">
        <f>1465</f>
        <v>1465</v>
      </c>
      <c r="R80" s="67" t="s">
        <v>51</v>
      </c>
      <c r="S80" s="68">
        <f>1524.71</f>
        <v>1524.71</v>
      </c>
      <c r="T80" s="65">
        <f>3550</f>
        <v>3550</v>
      </c>
      <c r="U80" s="65" t="str">
        <f>"－"</f>
        <v>－</v>
      </c>
      <c r="V80" s="65">
        <f>5406820</f>
        <v>5406820</v>
      </c>
      <c r="W80" s="65" t="str">
        <f>"－"</f>
        <v>－</v>
      </c>
      <c r="X80" s="69">
        <f>21</f>
        <v>21</v>
      </c>
    </row>
    <row r="81" spans="1:24">
      <c r="A81" s="60" t="s">
        <v>853</v>
      </c>
      <c r="B81" s="60" t="s">
        <v>285</v>
      </c>
      <c r="C81" s="60" t="s">
        <v>286</v>
      </c>
      <c r="D81" s="60" t="s">
        <v>287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23740</f>
        <v>23740</v>
      </c>
      <c r="L81" s="67" t="s">
        <v>840</v>
      </c>
      <c r="M81" s="66">
        <f>24940</f>
        <v>24940</v>
      </c>
      <c r="N81" s="67" t="s">
        <v>90</v>
      </c>
      <c r="O81" s="66">
        <f>23740</f>
        <v>23740</v>
      </c>
      <c r="P81" s="67" t="s">
        <v>840</v>
      </c>
      <c r="Q81" s="66">
        <f>24210</f>
        <v>24210</v>
      </c>
      <c r="R81" s="67" t="s">
        <v>51</v>
      </c>
      <c r="S81" s="68">
        <f>24387.78</f>
        <v>24387.78</v>
      </c>
      <c r="T81" s="65">
        <f>32</f>
        <v>32</v>
      </c>
      <c r="U81" s="65" t="str">
        <f>"－"</f>
        <v>－</v>
      </c>
      <c r="V81" s="65">
        <f>769260</f>
        <v>769260</v>
      </c>
      <c r="W81" s="65" t="str">
        <f>"－"</f>
        <v>－</v>
      </c>
      <c r="X81" s="69">
        <f>9</f>
        <v>9</v>
      </c>
    </row>
    <row r="82" spans="1:24">
      <c r="A82" s="60" t="s">
        <v>853</v>
      </c>
      <c r="B82" s="60" t="s">
        <v>288</v>
      </c>
      <c r="C82" s="60" t="s">
        <v>289</v>
      </c>
      <c r="D82" s="60" t="s">
        <v>290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22660</f>
        <v>22660</v>
      </c>
      <c r="L82" s="67" t="s">
        <v>840</v>
      </c>
      <c r="M82" s="66">
        <f>23240</f>
        <v>23240</v>
      </c>
      <c r="N82" s="67" t="s">
        <v>119</v>
      </c>
      <c r="O82" s="66">
        <f>21810</f>
        <v>21810</v>
      </c>
      <c r="P82" s="67" t="s">
        <v>51</v>
      </c>
      <c r="Q82" s="66">
        <f>21860</f>
        <v>21860</v>
      </c>
      <c r="R82" s="67" t="s">
        <v>51</v>
      </c>
      <c r="S82" s="68">
        <f>22314.29</f>
        <v>22314.29</v>
      </c>
      <c r="T82" s="65">
        <f>247483</f>
        <v>247483</v>
      </c>
      <c r="U82" s="65">
        <f>209000</f>
        <v>209000</v>
      </c>
      <c r="V82" s="65">
        <f>5442858740</f>
        <v>5442858740</v>
      </c>
      <c r="W82" s="65">
        <f>4593260900</f>
        <v>4593260900</v>
      </c>
      <c r="X82" s="69">
        <f>21</f>
        <v>21</v>
      </c>
    </row>
    <row r="83" spans="1:24">
      <c r="A83" s="60" t="s">
        <v>853</v>
      </c>
      <c r="B83" s="60" t="s">
        <v>291</v>
      </c>
      <c r="C83" s="60" t="s">
        <v>292</v>
      </c>
      <c r="D83" s="60" t="s">
        <v>293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</v>
      </c>
      <c r="K83" s="66">
        <f>19870</f>
        <v>19870</v>
      </c>
      <c r="L83" s="67" t="s">
        <v>840</v>
      </c>
      <c r="M83" s="66">
        <f>19940</f>
        <v>19940</v>
      </c>
      <c r="N83" s="67" t="s">
        <v>48</v>
      </c>
      <c r="O83" s="66">
        <f>19630</f>
        <v>19630</v>
      </c>
      <c r="P83" s="67" t="s">
        <v>100</v>
      </c>
      <c r="Q83" s="66">
        <f>19830</f>
        <v>19830</v>
      </c>
      <c r="R83" s="67" t="s">
        <v>51</v>
      </c>
      <c r="S83" s="68">
        <f>19766</f>
        <v>19766</v>
      </c>
      <c r="T83" s="65">
        <f>149014</f>
        <v>149014</v>
      </c>
      <c r="U83" s="65">
        <f>35400</f>
        <v>35400</v>
      </c>
      <c r="V83" s="65">
        <f>2947168540</f>
        <v>2947168540</v>
      </c>
      <c r="W83" s="65">
        <f>701221020</f>
        <v>701221020</v>
      </c>
      <c r="X83" s="69">
        <f>20</f>
        <v>20</v>
      </c>
    </row>
    <row r="84" spans="1:24">
      <c r="A84" s="60" t="s">
        <v>853</v>
      </c>
      <c r="B84" s="60" t="s">
        <v>294</v>
      </c>
      <c r="C84" s="60" t="s">
        <v>295</v>
      </c>
      <c r="D84" s="60" t="s">
        <v>296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10</v>
      </c>
      <c r="K84" s="66">
        <f>1715</f>
        <v>1715</v>
      </c>
      <c r="L84" s="67" t="s">
        <v>840</v>
      </c>
      <c r="M84" s="66">
        <f>1756</f>
        <v>1756</v>
      </c>
      <c r="N84" s="67" t="s">
        <v>48</v>
      </c>
      <c r="O84" s="66">
        <f>1692</f>
        <v>1692</v>
      </c>
      <c r="P84" s="67" t="s">
        <v>49</v>
      </c>
      <c r="Q84" s="66">
        <f>1718</f>
        <v>1718</v>
      </c>
      <c r="R84" s="67" t="s">
        <v>51</v>
      </c>
      <c r="S84" s="68">
        <f>1720.48</f>
        <v>1720.48</v>
      </c>
      <c r="T84" s="65">
        <f>521190</f>
        <v>521190</v>
      </c>
      <c r="U84" s="65">
        <f>256170</f>
        <v>256170</v>
      </c>
      <c r="V84" s="65">
        <f>895682782</f>
        <v>895682782</v>
      </c>
      <c r="W84" s="65">
        <f>438023072</f>
        <v>438023072</v>
      </c>
      <c r="X84" s="69">
        <f>21</f>
        <v>21</v>
      </c>
    </row>
    <row r="85" spans="1:24">
      <c r="A85" s="60" t="s">
        <v>853</v>
      </c>
      <c r="B85" s="60" t="s">
        <v>297</v>
      </c>
      <c r="C85" s="60" t="s">
        <v>298</v>
      </c>
      <c r="D85" s="60" t="s">
        <v>299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f>27780</f>
        <v>27780</v>
      </c>
      <c r="L85" s="67" t="s">
        <v>840</v>
      </c>
      <c r="M85" s="66">
        <f>28220</f>
        <v>28220</v>
      </c>
      <c r="N85" s="67" t="s">
        <v>72</v>
      </c>
      <c r="O85" s="66">
        <f>25860</f>
        <v>25860</v>
      </c>
      <c r="P85" s="67" t="s">
        <v>51</v>
      </c>
      <c r="Q85" s="66">
        <f>26790</f>
        <v>26790</v>
      </c>
      <c r="R85" s="67" t="s">
        <v>51</v>
      </c>
      <c r="S85" s="68">
        <f>27434.29</f>
        <v>27434.29</v>
      </c>
      <c r="T85" s="65">
        <f>38332</f>
        <v>38332</v>
      </c>
      <c r="U85" s="65" t="str">
        <f t="shared" ref="U85:U90" si="2">"－"</f>
        <v>－</v>
      </c>
      <c r="V85" s="65">
        <f>1045142600</f>
        <v>1045142600</v>
      </c>
      <c r="W85" s="65" t="str">
        <f t="shared" ref="W85:W90" si="3">"－"</f>
        <v>－</v>
      </c>
      <c r="X85" s="69">
        <f>21</f>
        <v>21</v>
      </c>
    </row>
    <row r="86" spans="1:24">
      <c r="A86" s="60" t="s">
        <v>853</v>
      </c>
      <c r="B86" s="60" t="s">
        <v>300</v>
      </c>
      <c r="C86" s="60" t="s">
        <v>301</v>
      </c>
      <c r="D86" s="60" t="s">
        <v>302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10</v>
      </c>
      <c r="K86" s="66">
        <f>8260</f>
        <v>8260</v>
      </c>
      <c r="L86" s="67" t="s">
        <v>840</v>
      </c>
      <c r="M86" s="66">
        <f>8390</f>
        <v>8390</v>
      </c>
      <c r="N86" s="67" t="s">
        <v>814</v>
      </c>
      <c r="O86" s="66">
        <f>8060</f>
        <v>8060</v>
      </c>
      <c r="P86" s="67" t="s">
        <v>50</v>
      </c>
      <c r="Q86" s="66">
        <f>8060</f>
        <v>8060</v>
      </c>
      <c r="R86" s="67" t="s">
        <v>50</v>
      </c>
      <c r="S86" s="68">
        <f>8214</f>
        <v>8214</v>
      </c>
      <c r="T86" s="65">
        <f>240</f>
        <v>240</v>
      </c>
      <c r="U86" s="65" t="str">
        <f t="shared" si="2"/>
        <v>－</v>
      </c>
      <c r="V86" s="65">
        <f>1965900</f>
        <v>1965900</v>
      </c>
      <c r="W86" s="65" t="str">
        <f t="shared" si="3"/>
        <v>－</v>
      </c>
      <c r="X86" s="69">
        <f>10</f>
        <v>10</v>
      </c>
    </row>
    <row r="87" spans="1:24">
      <c r="A87" s="60" t="s">
        <v>853</v>
      </c>
      <c r="B87" s="60" t="s">
        <v>303</v>
      </c>
      <c r="C87" s="60" t="s">
        <v>304</v>
      </c>
      <c r="D87" s="60" t="s">
        <v>305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13240</f>
        <v>13240</v>
      </c>
      <c r="L87" s="67" t="s">
        <v>840</v>
      </c>
      <c r="M87" s="66">
        <f>13280</f>
        <v>13280</v>
      </c>
      <c r="N87" s="67" t="s">
        <v>91</v>
      </c>
      <c r="O87" s="66">
        <f>12750</f>
        <v>12750</v>
      </c>
      <c r="P87" s="67" t="s">
        <v>119</v>
      </c>
      <c r="Q87" s="66">
        <f>12950</f>
        <v>12950</v>
      </c>
      <c r="R87" s="67" t="s">
        <v>51</v>
      </c>
      <c r="S87" s="68">
        <f>13060.53</f>
        <v>13060.53</v>
      </c>
      <c r="T87" s="65">
        <f>417</f>
        <v>417</v>
      </c>
      <c r="U87" s="65" t="str">
        <f t="shared" si="2"/>
        <v>－</v>
      </c>
      <c r="V87" s="65">
        <f>5439000</f>
        <v>5439000</v>
      </c>
      <c r="W87" s="65" t="str">
        <f t="shared" si="3"/>
        <v>－</v>
      </c>
      <c r="X87" s="69">
        <f>19</f>
        <v>19</v>
      </c>
    </row>
    <row r="88" spans="1:24">
      <c r="A88" s="60" t="s">
        <v>853</v>
      </c>
      <c r="B88" s="60" t="s">
        <v>306</v>
      </c>
      <c r="C88" s="60" t="s">
        <v>307</v>
      </c>
      <c r="D88" s="60" t="s">
        <v>308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13080</f>
        <v>13080</v>
      </c>
      <c r="L88" s="67" t="s">
        <v>840</v>
      </c>
      <c r="M88" s="66">
        <f>13190</f>
        <v>13190</v>
      </c>
      <c r="N88" s="67" t="s">
        <v>150</v>
      </c>
      <c r="O88" s="66">
        <f>12310</f>
        <v>12310</v>
      </c>
      <c r="P88" s="67" t="s">
        <v>51</v>
      </c>
      <c r="Q88" s="66">
        <f>12310</f>
        <v>12310</v>
      </c>
      <c r="R88" s="67" t="s">
        <v>51</v>
      </c>
      <c r="S88" s="68">
        <f>12909.52</f>
        <v>12909.52</v>
      </c>
      <c r="T88" s="65">
        <f>1820</f>
        <v>1820</v>
      </c>
      <c r="U88" s="65" t="str">
        <f t="shared" si="2"/>
        <v>－</v>
      </c>
      <c r="V88" s="65">
        <f>23597650</f>
        <v>23597650</v>
      </c>
      <c r="W88" s="65" t="str">
        <f t="shared" si="3"/>
        <v>－</v>
      </c>
      <c r="X88" s="69">
        <f>21</f>
        <v>21</v>
      </c>
    </row>
    <row r="89" spans="1:24">
      <c r="A89" s="60" t="s">
        <v>853</v>
      </c>
      <c r="B89" s="60" t="s">
        <v>310</v>
      </c>
      <c r="C89" s="60" t="s">
        <v>311</v>
      </c>
      <c r="D89" s="60" t="s">
        <v>312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f>15520</f>
        <v>15520</v>
      </c>
      <c r="L89" s="67" t="s">
        <v>840</v>
      </c>
      <c r="M89" s="66">
        <f>15770</f>
        <v>15770</v>
      </c>
      <c r="N89" s="67" t="s">
        <v>72</v>
      </c>
      <c r="O89" s="66">
        <f>14530</f>
        <v>14530</v>
      </c>
      <c r="P89" s="67" t="s">
        <v>51</v>
      </c>
      <c r="Q89" s="66">
        <f>14530</f>
        <v>14530</v>
      </c>
      <c r="R89" s="67" t="s">
        <v>51</v>
      </c>
      <c r="S89" s="68">
        <f>15382.38</f>
        <v>15382.38</v>
      </c>
      <c r="T89" s="65">
        <f>1616</f>
        <v>1616</v>
      </c>
      <c r="U89" s="65" t="str">
        <f t="shared" si="2"/>
        <v>－</v>
      </c>
      <c r="V89" s="65">
        <f>24402400</f>
        <v>24402400</v>
      </c>
      <c r="W89" s="65" t="str">
        <f t="shared" si="3"/>
        <v>－</v>
      </c>
      <c r="X89" s="69">
        <f>21</f>
        <v>21</v>
      </c>
    </row>
    <row r="90" spans="1:24">
      <c r="A90" s="60" t="s">
        <v>853</v>
      </c>
      <c r="B90" s="60" t="s">
        <v>313</v>
      </c>
      <c r="C90" s="60" t="s">
        <v>314</v>
      </c>
      <c r="D90" s="60" t="s">
        <v>315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10</v>
      </c>
      <c r="K90" s="66">
        <f>9870</f>
        <v>9870</v>
      </c>
      <c r="L90" s="67" t="s">
        <v>840</v>
      </c>
      <c r="M90" s="66">
        <f>9990</f>
        <v>9990</v>
      </c>
      <c r="N90" s="67" t="s">
        <v>100</v>
      </c>
      <c r="O90" s="66">
        <f>9540</f>
        <v>9540</v>
      </c>
      <c r="P90" s="67" t="s">
        <v>309</v>
      </c>
      <c r="Q90" s="66">
        <f>9620</f>
        <v>9620</v>
      </c>
      <c r="R90" s="67" t="s">
        <v>51</v>
      </c>
      <c r="S90" s="68">
        <f>9729.52</f>
        <v>9729.52</v>
      </c>
      <c r="T90" s="65">
        <f>7190</f>
        <v>7190</v>
      </c>
      <c r="U90" s="65" t="str">
        <f t="shared" si="2"/>
        <v>－</v>
      </c>
      <c r="V90" s="65">
        <f>70052400</f>
        <v>70052400</v>
      </c>
      <c r="W90" s="65" t="str">
        <f t="shared" si="3"/>
        <v>－</v>
      </c>
      <c r="X90" s="69">
        <f>21</f>
        <v>21</v>
      </c>
    </row>
    <row r="91" spans="1:24">
      <c r="A91" s="60" t="s">
        <v>853</v>
      </c>
      <c r="B91" s="60" t="s">
        <v>316</v>
      </c>
      <c r="C91" s="60" t="s">
        <v>317</v>
      </c>
      <c r="D91" s="60" t="s">
        <v>318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2632</f>
        <v>2632</v>
      </c>
      <c r="L91" s="67" t="s">
        <v>840</v>
      </c>
      <c r="M91" s="66">
        <f>2695</f>
        <v>2695</v>
      </c>
      <c r="N91" s="67" t="s">
        <v>91</v>
      </c>
      <c r="O91" s="66">
        <f>2620</f>
        <v>2620</v>
      </c>
      <c r="P91" s="67" t="s">
        <v>840</v>
      </c>
      <c r="Q91" s="66">
        <f>2688</f>
        <v>2688</v>
      </c>
      <c r="R91" s="67" t="s">
        <v>51</v>
      </c>
      <c r="S91" s="68">
        <f>2661.52</f>
        <v>2661.52</v>
      </c>
      <c r="T91" s="65">
        <f>895816</f>
        <v>895816</v>
      </c>
      <c r="U91" s="65">
        <f>580790</f>
        <v>580790</v>
      </c>
      <c r="V91" s="65">
        <f>2384450984</f>
        <v>2384450984</v>
      </c>
      <c r="W91" s="65">
        <f>1550287156</f>
        <v>1550287156</v>
      </c>
      <c r="X91" s="69">
        <f>21</f>
        <v>21</v>
      </c>
    </row>
    <row r="92" spans="1:24">
      <c r="A92" s="60" t="s">
        <v>853</v>
      </c>
      <c r="B92" s="60" t="s">
        <v>319</v>
      </c>
      <c r="C92" s="60" t="s">
        <v>320</v>
      </c>
      <c r="D92" s="60" t="s">
        <v>321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2223</f>
        <v>2223</v>
      </c>
      <c r="L92" s="67" t="s">
        <v>840</v>
      </c>
      <c r="M92" s="66">
        <f>2311</f>
        <v>2311</v>
      </c>
      <c r="N92" s="67" t="s">
        <v>51</v>
      </c>
      <c r="O92" s="66">
        <f>2213</f>
        <v>2213</v>
      </c>
      <c r="P92" s="67" t="s">
        <v>90</v>
      </c>
      <c r="Q92" s="66">
        <f>2305</f>
        <v>2305</v>
      </c>
      <c r="R92" s="67" t="s">
        <v>51</v>
      </c>
      <c r="S92" s="68">
        <f>2256.43</f>
        <v>2256.4299999999998</v>
      </c>
      <c r="T92" s="65">
        <f>77257</f>
        <v>77257</v>
      </c>
      <c r="U92" s="65">
        <f>21920</f>
        <v>21920</v>
      </c>
      <c r="V92" s="65">
        <f>174524741</f>
        <v>174524741</v>
      </c>
      <c r="W92" s="65">
        <f>50197238</f>
        <v>50197238</v>
      </c>
      <c r="X92" s="69">
        <f>21</f>
        <v>21</v>
      </c>
    </row>
    <row r="93" spans="1:24">
      <c r="A93" s="60" t="s">
        <v>853</v>
      </c>
      <c r="B93" s="60" t="s">
        <v>322</v>
      </c>
      <c r="C93" s="60" t="s">
        <v>323</v>
      </c>
      <c r="D93" s="60" t="s">
        <v>324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11890</f>
        <v>11890</v>
      </c>
      <c r="L93" s="67" t="s">
        <v>840</v>
      </c>
      <c r="M93" s="66">
        <f>12340</f>
        <v>12340</v>
      </c>
      <c r="N93" s="67" t="s">
        <v>48</v>
      </c>
      <c r="O93" s="66">
        <f>11170</f>
        <v>11170</v>
      </c>
      <c r="P93" s="67" t="s">
        <v>51</v>
      </c>
      <c r="Q93" s="66">
        <f>11170</f>
        <v>11170</v>
      </c>
      <c r="R93" s="67" t="s">
        <v>51</v>
      </c>
      <c r="S93" s="68">
        <f>11691.43</f>
        <v>11691.43</v>
      </c>
      <c r="T93" s="65">
        <f>1588</f>
        <v>1588</v>
      </c>
      <c r="U93" s="65" t="str">
        <f>"－"</f>
        <v>－</v>
      </c>
      <c r="V93" s="65">
        <f>18558350</f>
        <v>18558350</v>
      </c>
      <c r="W93" s="65" t="str">
        <f>"－"</f>
        <v>－</v>
      </c>
      <c r="X93" s="69">
        <f>21</f>
        <v>21</v>
      </c>
    </row>
    <row r="94" spans="1:24">
      <c r="A94" s="60" t="s">
        <v>853</v>
      </c>
      <c r="B94" s="60" t="s">
        <v>325</v>
      </c>
      <c r="C94" s="60" t="s">
        <v>326</v>
      </c>
      <c r="D94" s="60" t="s">
        <v>327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8230</f>
        <v>8230</v>
      </c>
      <c r="L94" s="67" t="s">
        <v>840</v>
      </c>
      <c r="M94" s="66">
        <f>8260</f>
        <v>8260</v>
      </c>
      <c r="N94" s="67" t="s">
        <v>91</v>
      </c>
      <c r="O94" s="66">
        <f>7970</f>
        <v>7970</v>
      </c>
      <c r="P94" s="67" t="s">
        <v>820</v>
      </c>
      <c r="Q94" s="66">
        <f>8050</f>
        <v>8050</v>
      </c>
      <c r="R94" s="67" t="s">
        <v>50</v>
      </c>
      <c r="S94" s="68">
        <f>8098.89</f>
        <v>8098.89</v>
      </c>
      <c r="T94" s="65">
        <f>312</f>
        <v>312</v>
      </c>
      <c r="U94" s="65" t="str">
        <f>"－"</f>
        <v>－</v>
      </c>
      <c r="V94" s="65">
        <f>2540790</f>
        <v>2540790</v>
      </c>
      <c r="W94" s="65" t="str">
        <f>"－"</f>
        <v>－</v>
      </c>
      <c r="X94" s="69">
        <f>18</f>
        <v>18</v>
      </c>
    </row>
    <row r="95" spans="1:24">
      <c r="A95" s="60" t="s">
        <v>853</v>
      </c>
      <c r="B95" s="60" t="s">
        <v>328</v>
      </c>
      <c r="C95" s="60" t="s">
        <v>329</v>
      </c>
      <c r="D95" s="60" t="s">
        <v>330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6060</f>
        <v>6060</v>
      </c>
      <c r="L95" s="67" t="s">
        <v>840</v>
      </c>
      <c r="M95" s="66">
        <f>6660</f>
        <v>6660</v>
      </c>
      <c r="N95" s="67" t="s">
        <v>95</v>
      </c>
      <c r="O95" s="66">
        <f>5980</f>
        <v>5980</v>
      </c>
      <c r="P95" s="67" t="s">
        <v>833</v>
      </c>
      <c r="Q95" s="66">
        <f>6440</f>
        <v>6440</v>
      </c>
      <c r="R95" s="67" t="s">
        <v>51</v>
      </c>
      <c r="S95" s="68">
        <f>6136.67</f>
        <v>6136.67</v>
      </c>
      <c r="T95" s="65">
        <f>4052766</f>
        <v>4052766</v>
      </c>
      <c r="U95" s="65">
        <f>51378</f>
        <v>51378</v>
      </c>
      <c r="V95" s="65">
        <f>25287287860</f>
        <v>25287287860</v>
      </c>
      <c r="W95" s="65">
        <f>322533100</f>
        <v>322533100</v>
      </c>
      <c r="X95" s="69">
        <f>21</f>
        <v>21</v>
      </c>
    </row>
    <row r="96" spans="1:24">
      <c r="A96" s="60" t="s">
        <v>853</v>
      </c>
      <c r="B96" s="60" t="s">
        <v>331</v>
      </c>
      <c r="C96" s="60" t="s">
        <v>332</v>
      </c>
      <c r="D96" s="60" t="s">
        <v>333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2740</f>
        <v>2740</v>
      </c>
      <c r="L96" s="67" t="s">
        <v>840</v>
      </c>
      <c r="M96" s="66">
        <f>3140</f>
        <v>3140</v>
      </c>
      <c r="N96" s="67" t="s">
        <v>95</v>
      </c>
      <c r="O96" s="66">
        <f>2687</f>
        <v>2687</v>
      </c>
      <c r="P96" s="67" t="s">
        <v>48</v>
      </c>
      <c r="Q96" s="66">
        <f>2905</f>
        <v>2905</v>
      </c>
      <c r="R96" s="67" t="s">
        <v>51</v>
      </c>
      <c r="S96" s="68">
        <f>2833.52</f>
        <v>2833.52</v>
      </c>
      <c r="T96" s="65">
        <f>1369381</f>
        <v>1369381</v>
      </c>
      <c r="U96" s="65">
        <f>8022</f>
        <v>8022</v>
      </c>
      <c r="V96" s="65">
        <f>4021520062</f>
        <v>4021520062</v>
      </c>
      <c r="W96" s="65">
        <f>22422942</f>
        <v>22422942</v>
      </c>
      <c r="X96" s="69">
        <f>21</f>
        <v>21</v>
      </c>
    </row>
    <row r="97" spans="1:24">
      <c r="A97" s="60" t="s">
        <v>853</v>
      </c>
      <c r="B97" s="60" t="s">
        <v>334</v>
      </c>
      <c r="C97" s="60" t="s">
        <v>335</v>
      </c>
      <c r="D97" s="60" t="s">
        <v>336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6060</f>
        <v>6060</v>
      </c>
      <c r="L97" s="67" t="s">
        <v>840</v>
      </c>
      <c r="M97" s="66">
        <f>8800</f>
        <v>8800</v>
      </c>
      <c r="N97" s="67" t="s">
        <v>95</v>
      </c>
      <c r="O97" s="66">
        <f>6000</f>
        <v>6000</v>
      </c>
      <c r="P97" s="67" t="s">
        <v>840</v>
      </c>
      <c r="Q97" s="66">
        <f>7600</f>
        <v>7600</v>
      </c>
      <c r="R97" s="67" t="s">
        <v>51</v>
      </c>
      <c r="S97" s="68">
        <f>6865.71</f>
        <v>6865.71</v>
      </c>
      <c r="T97" s="65">
        <f>934371</f>
        <v>934371</v>
      </c>
      <c r="U97" s="65">
        <f>480</f>
        <v>480</v>
      </c>
      <c r="V97" s="65">
        <f>6803085860</f>
        <v>6803085860</v>
      </c>
      <c r="W97" s="65">
        <f>3354580</f>
        <v>3354580</v>
      </c>
      <c r="X97" s="69">
        <f>21</f>
        <v>21</v>
      </c>
    </row>
    <row r="98" spans="1:24">
      <c r="A98" s="60" t="s">
        <v>853</v>
      </c>
      <c r="B98" s="60" t="s">
        <v>337</v>
      </c>
      <c r="C98" s="60" t="s">
        <v>338</v>
      </c>
      <c r="D98" s="60" t="s">
        <v>339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61200</f>
        <v>61200</v>
      </c>
      <c r="L98" s="67" t="s">
        <v>840</v>
      </c>
      <c r="M98" s="66">
        <f>77900</f>
        <v>77900</v>
      </c>
      <c r="N98" s="67" t="s">
        <v>95</v>
      </c>
      <c r="O98" s="66">
        <f>61100</f>
        <v>61100</v>
      </c>
      <c r="P98" s="67" t="s">
        <v>840</v>
      </c>
      <c r="Q98" s="66">
        <f>65400</f>
        <v>65400</v>
      </c>
      <c r="R98" s="67" t="s">
        <v>51</v>
      </c>
      <c r="S98" s="68">
        <f>64857.14</f>
        <v>64857.14</v>
      </c>
      <c r="T98" s="65">
        <f>9164</f>
        <v>9164</v>
      </c>
      <c r="U98" s="65">
        <f>4</f>
        <v>4</v>
      </c>
      <c r="V98" s="65">
        <f>639177700</f>
        <v>639177700</v>
      </c>
      <c r="W98" s="65">
        <f>263700</f>
        <v>263700</v>
      </c>
      <c r="X98" s="69">
        <f>21</f>
        <v>21</v>
      </c>
    </row>
    <row r="99" spans="1:24">
      <c r="A99" s="60" t="s">
        <v>853</v>
      </c>
      <c r="B99" s="60" t="s">
        <v>340</v>
      </c>
      <c r="C99" s="60" t="s">
        <v>341</v>
      </c>
      <c r="D99" s="60" t="s">
        <v>342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10</v>
      </c>
      <c r="K99" s="66">
        <f>11080</f>
        <v>11080</v>
      </c>
      <c r="L99" s="67" t="s">
        <v>840</v>
      </c>
      <c r="M99" s="66">
        <f>12020</f>
        <v>12020</v>
      </c>
      <c r="N99" s="67" t="s">
        <v>150</v>
      </c>
      <c r="O99" s="66">
        <f>11010</f>
        <v>11010</v>
      </c>
      <c r="P99" s="67" t="s">
        <v>840</v>
      </c>
      <c r="Q99" s="66">
        <f>11490</f>
        <v>11490</v>
      </c>
      <c r="R99" s="67" t="s">
        <v>51</v>
      </c>
      <c r="S99" s="68">
        <f>11495.71</f>
        <v>11495.71</v>
      </c>
      <c r="T99" s="65">
        <f>2192310</f>
        <v>2192310</v>
      </c>
      <c r="U99" s="65">
        <f>20800</f>
        <v>20800</v>
      </c>
      <c r="V99" s="65">
        <f>25248744395</f>
        <v>25248744395</v>
      </c>
      <c r="W99" s="65">
        <f>241317695</f>
        <v>241317695</v>
      </c>
      <c r="X99" s="69">
        <f>21</f>
        <v>21</v>
      </c>
    </row>
    <row r="100" spans="1:24">
      <c r="A100" s="60" t="s">
        <v>853</v>
      </c>
      <c r="B100" s="60" t="s">
        <v>343</v>
      </c>
      <c r="C100" s="60" t="s">
        <v>344</v>
      </c>
      <c r="D100" s="60" t="s">
        <v>345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</v>
      </c>
      <c r="K100" s="66">
        <f>27160</f>
        <v>27160</v>
      </c>
      <c r="L100" s="67" t="s">
        <v>840</v>
      </c>
      <c r="M100" s="66">
        <f>28220</f>
        <v>28220</v>
      </c>
      <c r="N100" s="67" t="s">
        <v>86</v>
      </c>
      <c r="O100" s="66">
        <f>26580</f>
        <v>26580</v>
      </c>
      <c r="P100" s="67" t="s">
        <v>61</v>
      </c>
      <c r="Q100" s="66">
        <f>26920</f>
        <v>26920</v>
      </c>
      <c r="R100" s="67" t="s">
        <v>51</v>
      </c>
      <c r="S100" s="68">
        <f>27467.14</f>
        <v>27467.14</v>
      </c>
      <c r="T100" s="65">
        <f>314649</f>
        <v>314649</v>
      </c>
      <c r="U100" s="65">
        <f>43760</f>
        <v>43760</v>
      </c>
      <c r="V100" s="65">
        <f>8644848055</f>
        <v>8644848055</v>
      </c>
      <c r="W100" s="65">
        <f>1192979635</f>
        <v>1192979635</v>
      </c>
      <c r="X100" s="69">
        <f>21</f>
        <v>21</v>
      </c>
    </row>
    <row r="101" spans="1:24">
      <c r="A101" s="60" t="s">
        <v>853</v>
      </c>
      <c r="B101" s="60" t="s">
        <v>346</v>
      </c>
      <c r="C101" s="60" t="s">
        <v>347</v>
      </c>
      <c r="D101" s="60" t="s">
        <v>348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3620</f>
        <v>3620</v>
      </c>
      <c r="L101" s="67" t="s">
        <v>840</v>
      </c>
      <c r="M101" s="66">
        <f>3815</f>
        <v>3815</v>
      </c>
      <c r="N101" s="67" t="s">
        <v>150</v>
      </c>
      <c r="O101" s="66">
        <f>3600</f>
        <v>3600</v>
      </c>
      <c r="P101" s="67" t="s">
        <v>840</v>
      </c>
      <c r="Q101" s="66">
        <f>3685</f>
        <v>3685</v>
      </c>
      <c r="R101" s="67" t="s">
        <v>51</v>
      </c>
      <c r="S101" s="68">
        <f>3701.9</f>
        <v>3701.9</v>
      </c>
      <c r="T101" s="65">
        <f>933490</f>
        <v>933490</v>
      </c>
      <c r="U101" s="65">
        <f>14700</f>
        <v>14700</v>
      </c>
      <c r="V101" s="65">
        <f>3465549094</f>
        <v>3465549094</v>
      </c>
      <c r="W101" s="65">
        <f>55509794</f>
        <v>55509794</v>
      </c>
      <c r="X101" s="69">
        <f>21</f>
        <v>21</v>
      </c>
    </row>
    <row r="102" spans="1:24">
      <c r="A102" s="60" t="s">
        <v>853</v>
      </c>
      <c r="B102" s="60" t="s">
        <v>349</v>
      </c>
      <c r="C102" s="60" t="s">
        <v>350</v>
      </c>
      <c r="D102" s="60" t="s">
        <v>351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2402</f>
        <v>2402</v>
      </c>
      <c r="L102" s="67" t="s">
        <v>840</v>
      </c>
      <c r="M102" s="66">
        <f>2529</f>
        <v>2529</v>
      </c>
      <c r="N102" s="67" t="s">
        <v>150</v>
      </c>
      <c r="O102" s="66">
        <f>2391</f>
        <v>2391</v>
      </c>
      <c r="P102" s="67" t="s">
        <v>840</v>
      </c>
      <c r="Q102" s="66">
        <f>2455</f>
        <v>2455</v>
      </c>
      <c r="R102" s="67" t="s">
        <v>51</v>
      </c>
      <c r="S102" s="68">
        <f>2457.9</f>
        <v>2457.9</v>
      </c>
      <c r="T102" s="65">
        <f>122720</f>
        <v>122720</v>
      </c>
      <c r="U102" s="65">
        <f>20140</f>
        <v>20140</v>
      </c>
      <c r="V102" s="65">
        <f>302039384</f>
        <v>302039384</v>
      </c>
      <c r="W102" s="65">
        <f>49959284</f>
        <v>49959284</v>
      </c>
      <c r="X102" s="69">
        <f>21</f>
        <v>21</v>
      </c>
    </row>
    <row r="103" spans="1:24">
      <c r="A103" s="60" t="s">
        <v>853</v>
      </c>
      <c r="B103" s="60" t="s">
        <v>352</v>
      </c>
      <c r="C103" s="60" t="s">
        <v>353</v>
      </c>
      <c r="D103" s="60" t="s">
        <v>354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10</v>
      </c>
      <c r="K103" s="66">
        <f>4335</f>
        <v>4335</v>
      </c>
      <c r="L103" s="67" t="s">
        <v>840</v>
      </c>
      <c r="M103" s="66">
        <f>4560</f>
        <v>4560</v>
      </c>
      <c r="N103" s="67" t="s">
        <v>49</v>
      </c>
      <c r="O103" s="66">
        <f>4115</f>
        <v>4115</v>
      </c>
      <c r="P103" s="67" t="s">
        <v>814</v>
      </c>
      <c r="Q103" s="66">
        <f>4390</f>
        <v>4390</v>
      </c>
      <c r="R103" s="67" t="s">
        <v>51</v>
      </c>
      <c r="S103" s="68">
        <f>4416.67</f>
        <v>4416.67</v>
      </c>
      <c r="T103" s="65">
        <f>22160</f>
        <v>22160</v>
      </c>
      <c r="U103" s="65" t="str">
        <f>"－"</f>
        <v>－</v>
      </c>
      <c r="V103" s="65">
        <f>96634300</f>
        <v>96634300</v>
      </c>
      <c r="W103" s="65" t="str">
        <f>"－"</f>
        <v>－</v>
      </c>
      <c r="X103" s="69">
        <f>21</f>
        <v>21</v>
      </c>
    </row>
    <row r="104" spans="1:24">
      <c r="A104" s="60" t="s">
        <v>853</v>
      </c>
      <c r="B104" s="60" t="s">
        <v>355</v>
      </c>
      <c r="C104" s="60" t="s">
        <v>356</v>
      </c>
      <c r="D104" s="60" t="s">
        <v>357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f>11800</f>
        <v>11800</v>
      </c>
      <c r="L104" s="67" t="s">
        <v>840</v>
      </c>
      <c r="M104" s="66">
        <f>11960</f>
        <v>11960</v>
      </c>
      <c r="N104" s="67" t="s">
        <v>840</v>
      </c>
      <c r="O104" s="66">
        <f>9500</f>
        <v>9500</v>
      </c>
      <c r="P104" s="67" t="s">
        <v>51</v>
      </c>
      <c r="Q104" s="66">
        <f>9770</f>
        <v>9770</v>
      </c>
      <c r="R104" s="67" t="s">
        <v>51</v>
      </c>
      <c r="S104" s="68">
        <f>10775.24</f>
        <v>10775.24</v>
      </c>
      <c r="T104" s="65">
        <f>6051472</f>
        <v>6051472</v>
      </c>
      <c r="U104" s="65">
        <f>4813</f>
        <v>4813</v>
      </c>
      <c r="V104" s="65">
        <f>65428426480</f>
        <v>65428426480</v>
      </c>
      <c r="W104" s="65">
        <f>51674450</f>
        <v>51674450</v>
      </c>
      <c r="X104" s="69">
        <f>21</f>
        <v>21</v>
      </c>
    </row>
    <row r="105" spans="1:24">
      <c r="A105" s="60" t="s">
        <v>853</v>
      </c>
      <c r="B105" s="60" t="s">
        <v>358</v>
      </c>
      <c r="C105" s="60" t="s">
        <v>359</v>
      </c>
      <c r="D105" s="60" t="s">
        <v>360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2083</f>
        <v>2083</v>
      </c>
      <c r="L105" s="67" t="s">
        <v>840</v>
      </c>
      <c r="M105" s="66">
        <f>2206</f>
        <v>2206</v>
      </c>
      <c r="N105" s="67" t="s">
        <v>150</v>
      </c>
      <c r="O105" s="66">
        <f>2075</f>
        <v>2075</v>
      </c>
      <c r="P105" s="67" t="s">
        <v>840</v>
      </c>
      <c r="Q105" s="66">
        <f>2131</f>
        <v>2131</v>
      </c>
      <c r="R105" s="67" t="s">
        <v>51</v>
      </c>
      <c r="S105" s="68">
        <f>2144.86</f>
        <v>2144.86</v>
      </c>
      <c r="T105" s="65">
        <f>89030</f>
        <v>89030</v>
      </c>
      <c r="U105" s="65" t="str">
        <f>"－"</f>
        <v>－</v>
      </c>
      <c r="V105" s="65">
        <f>191238250</f>
        <v>191238250</v>
      </c>
      <c r="W105" s="65" t="str">
        <f>"－"</f>
        <v>－</v>
      </c>
      <c r="X105" s="69">
        <f>21</f>
        <v>21</v>
      </c>
    </row>
    <row r="106" spans="1:24">
      <c r="A106" s="60" t="s">
        <v>853</v>
      </c>
      <c r="B106" s="60" t="s">
        <v>361</v>
      </c>
      <c r="C106" s="60" t="s">
        <v>362</v>
      </c>
      <c r="D106" s="60" t="s">
        <v>363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10</v>
      </c>
      <c r="K106" s="66">
        <f>1229</f>
        <v>1229</v>
      </c>
      <c r="L106" s="67" t="s">
        <v>840</v>
      </c>
      <c r="M106" s="66">
        <f>1300</f>
        <v>1300</v>
      </c>
      <c r="N106" s="67" t="s">
        <v>48</v>
      </c>
      <c r="O106" s="66">
        <f>1210</f>
        <v>1210</v>
      </c>
      <c r="P106" s="67" t="s">
        <v>61</v>
      </c>
      <c r="Q106" s="66">
        <f>1226</f>
        <v>1226</v>
      </c>
      <c r="R106" s="67" t="s">
        <v>51</v>
      </c>
      <c r="S106" s="68">
        <f>1244.38</f>
        <v>1244.3800000000001</v>
      </c>
      <c r="T106" s="65">
        <f>190120</f>
        <v>190120</v>
      </c>
      <c r="U106" s="65">
        <f>19740</f>
        <v>19740</v>
      </c>
      <c r="V106" s="65">
        <f>237886454</f>
        <v>237886454</v>
      </c>
      <c r="W106" s="65">
        <f>24796414</f>
        <v>24796414</v>
      </c>
      <c r="X106" s="69">
        <f>21</f>
        <v>21</v>
      </c>
    </row>
    <row r="107" spans="1:24">
      <c r="A107" s="60" t="s">
        <v>853</v>
      </c>
      <c r="B107" s="60" t="s">
        <v>364</v>
      </c>
      <c r="C107" s="60" t="s">
        <v>365</v>
      </c>
      <c r="D107" s="60" t="s">
        <v>366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33250</f>
        <v>33250</v>
      </c>
      <c r="L107" s="67" t="s">
        <v>840</v>
      </c>
      <c r="M107" s="66">
        <f>35050</f>
        <v>35050</v>
      </c>
      <c r="N107" s="67" t="s">
        <v>150</v>
      </c>
      <c r="O107" s="66">
        <f>33050</f>
        <v>33050</v>
      </c>
      <c r="P107" s="67" t="s">
        <v>840</v>
      </c>
      <c r="Q107" s="66">
        <f>33850</f>
        <v>33850</v>
      </c>
      <c r="R107" s="67" t="s">
        <v>51</v>
      </c>
      <c r="S107" s="68">
        <f>34004.76</f>
        <v>34004.76</v>
      </c>
      <c r="T107" s="65">
        <f>124640</f>
        <v>124640</v>
      </c>
      <c r="U107" s="65" t="str">
        <f>"－"</f>
        <v>－</v>
      </c>
      <c r="V107" s="65">
        <f>4234368500</f>
        <v>4234368500</v>
      </c>
      <c r="W107" s="65" t="str">
        <f>"－"</f>
        <v>－</v>
      </c>
      <c r="X107" s="69">
        <f>21</f>
        <v>21</v>
      </c>
    </row>
    <row r="108" spans="1:24">
      <c r="A108" s="60" t="s">
        <v>853</v>
      </c>
      <c r="B108" s="60" t="s">
        <v>367</v>
      </c>
      <c r="C108" s="60" t="s">
        <v>368</v>
      </c>
      <c r="D108" s="60" t="s">
        <v>369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2925</f>
        <v>2925</v>
      </c>
      <c r="L108" s="67" t="s">
        <v>840</v>
      </c>
      <c r="M108" s="66">
        <f>3030</f>
        <v>3030</v>
      </c>
      <c r="N108" s="67" t="s">
        <v>48</v>
      </c>
      <c r="O108" s="66">
        <f>2721</f>
        <v>2721</v>
      </c>
      <c r="P108" s="67" t="s">
        <v>51</v>
      </c>
      <c r="Q108" s="66">
        <f>2725</f>
        <v>2725</v>
      </c>
      <c r="R108" s="67" t="s">
        <v>51</v>
      </c>
      <c r="S108" s="68">
        <f>2888.05</f>
        <v>2888.05</v>
      </c>
      <c r="T108" s="65">
        <f>6760</f>
        <v>6760</v>
      </c>
      <c r="U108" s="65">
        <f>2</f>
        <v>2</v>
      </c>
      <c r="V108" s="65">
        <f>19373307</f>
        <v>19373307</v>
      </c>
      <c r="W108" s="65">
        <f>5742</f>
        <v>5742</v>
      </c>
      <c r="X108" s="69">
        <f>21</f>
        <v>21</v>
      </c>
    </row>
    <row r="109" spans="1:24">
      <c r="A109" s="60" t="s">
        <v>853</v>
      </c>
      <c r="B109" s="60" t="s">
        <v>370</v>
      </c>
      <c r="C109" s="60" t="s">
        <v>371</v>
      </c>
      <c r="D109" s="60" t="s">
        <v>372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3835</f>
        <v>3835</v>
      </c>
      <c r="L109" s="67" t="s">
        <v>840</v>
      </c>
      <c r="M109" s="66">
        <f>4090</f>
        <v>4090</v>
      </c>
      <c r="N109" s="67" t="s">
        <v>150</v>
      </c>
      <c r="O109" s="66">
        <f>3785</f>
        <v>3785</v>
      </c>
      <c r="P109" s="67" t="s">
        <v>840</v>
      </c>
      <c r="Q109" s="66">
        <f>3950</f>
        <v>3950</v>
      </c>
      <c r="R109" s="67" t="s">
        <v>51</v>
      </c>
      <c r="S109" s="68">
        <f>3975.24</f>
        <v>3975.24</v>
      </c>
      <c r="T109" s="65">
        <f>6082</f>
        <v>6082</v>
      </c>
      <c r="U109" s="65" t="str">
        <f>"－"</f>
        <v>－</v>
      </c>
      <c r="V109" s="65">
        <f>24192965</f>
        <v>24192965</v>
      </c>
      <c r="W109" s="65" t="str">
        <f>"－"</f>
        <v>－</v>
      </c>
      <c r="X109" s="69">
        <f>21</f>
        <v>21</v>
      </c>
    </row>
    <row r="110" spans="1:24">
      <c r="A110" s="60" t="s">
        <v>853</v>
      </c>
      <c r="B110" s="60" t="s">
        <v>373</v>
      </c>
      <c r="C110" s="60" t="s">
        <v>374</v>
      </c>
      <c r="D110" s="60" t="s">
        <v>375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2419</f>
        <v>2419</v>
      </c>
      <c r="L110" s="67" t="s">
        <v>840</v>
      </c>
      <c r="M110" s="66">
        <f>2627</f>
        <v>2627</v>
      </c>
      <c r="N110" s="67" t="s">
        <v>72</v>
      </c>
      <c r="O110" s="66">
        <f>2316</f>
        <v>2316</v>
      </c>
      <c r="P110" s="67" t="s">
        <v>833</v>
      </c>
      <c r="Q110" s="66">
        <f>2453</f>
        <v>2453</v>
      </c>
      <c r="R110" s="67" t="s">
        <v>51</v>
      </c>
      <c r="S110" s="68">
        <f>2493.62</f>
        <v>2493.62</v>
      </c>
      <c r="T110" s="65">
        <f>275087</f>
        <v>275087</v>
      </c>
      <c r="U110" s="65">
        <f>241</f>
        <v>241</v>
      </c>
      <c r="V110" s="65">
        <f>680820304</f>
        <v>680820304</v>
      </c>
      <c r="W110" s="65">
        <f>621547</f>
        <v>621547</v>
      </c>
      <c r="X110" s="69">
        <f>21</f>
        <v>21</v>
      </c>
    </row>
    <row r="111" spans="1:24">
      <c r="A111" s="60" t="s">
        <v>853</v>
      </c>
      <c r="B111" s="60" t="s">
        <v>376</v>
      </c>
      <c r="C111" s="60" t="s">
        <v>845</v>
      </c>
      <c r="D111" s="60" t="s">
        <v>378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f>44100</f>
        <v>44100</v>
      </c>
      <c r="L111" s="67" t="s">
        <v>840</v>
      </c>
      <c r="M111" s="66">
        <f>44550</f>
        <v>44550</v>
      </c>
      <c r="N111" s="67" t="s">
        <v>48</v>
      </c>
      <c r="O111" s="66">
        <f>43650</f>
        <v>43650</v>
      </c>
      <c r="P111" s="67" t="s">
        <v>51</v>
      </c>
      <c r="Q111" s="66">
        <f>43800</f>
        <v>43800</v>
      </c>
      <c r="R111" s="67" t="s">
        <v>51</v>
      </c>
      <c r="S111" s="68">
        <f>44047.62</f>
        <v>44047.62</v>
      </c>
      <c r="T111" s="65">
        <f>8313</f>
        <v>8313</v>
      </c>
      <c r="U111" s="65">
        <f>18</f>
        <v>18</v>
      </c>
      <c r="V111" s="65">
        <f>366373500</f>
        <v>366373500</v>
      </c>
      <c r="W111" s="65">
        <f>790000</f>
        <v>790000</v>
      </c>
      <c r="X111" s="69">
        <f>21</f>
        <v>21</v>
      </c>
    </row>
    <row r="112" spans="1:24">
      <c r="A112" s="60" t="s">
        <v>853</v>
      </c>
      <c r="B112" s="60" t="s">
        <v>379</v>
      </c>
      <c r="C112" s="60" t="s">
        <v>380</v>
      </c>
      <c r="D112" s="60" t="s">
        <v>381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f>1226</f>
        <v>1226</v>
      </c>
      <c r="L112" s="67" t="s">
        <v>840</v>
      </c>
      <c r="M112" s="66">
        <f>1226</f>
        <v>1226</v>
      </c>
      <c r="N112" s="67" t="s">
        <v>840</v>
      </c>
      <c r="O112" s="66">
        <f>1152</f>
        <v>1152</v>
      </c>
      <c r="P112" s="67" t="s">
        <v>833</v>
      </c>
      <c r="Q112" s="66">
        <f>1204</f>
        <v>1204</v>
      </c>
      <c r="R112" s="67" t="s">
        <v>51</v>
      </c>
      <c r="S112" s="68">
        <f>1185.2</f>
        <v>1185.2</v>
      </c>
      <c r="T112" s="65">
        <f>360</f>
        <v>360</v>
      </c>
      <c r="U112" s="65" t="str">
        <f>"－"</f>
        <v>－</v>
      </c>
      <c r="V112" s="65">
        <f>423160</f>
        <v>423160</v>
      </c>
      <c r="W112" s="65" t="str">
        <f>"－"</f>
        <v>－</v>
      </c>
      <c r="X112" s="69">
        <f>5</f>
        <v>5</v>
      </c>
    </row>
    <row r="113" spans="1:24">
      <c r="A113" s="60" t="s">
        <v>853</v>
      </c>
      <c r="B113" s="60" t="s">
        <v>382</v>
      </c>
      <c r="C113" s="60" t="s">
        <v>383</v>
      </c>
      <c r="D113" s="60" t="s">
        <v>384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15210</f>
        <v>15210</v>
      </c>
      <c r="L113" s="67" t="s">
        <v>840</v>
      </c>
      <c r="M113" s="66">
        <f>15800</f>
        <v>15800</v>
      </c>
      <c r="N113" s="67" t="s">
        <v>86</v>
      </c>
      <c r="O113" s="66">
        <f>13930</f>
        <v>13930</v>
      </c>
      <c r="P113" s="67" t="s">
        <v>51</v>
      </c>
      <c r="Q113" s="66">
        <f>13940</f>
        <v>13940</v>
      </c>
      <c r="R113" s="67" t="s">
        <v>51</v>
      </c>
      <c r="S113" s="68">
        <f>15198.57</f>
        <v>15198.57</v>
      </c>
      <c r="T113" s="65">
        <f>2384400</f>
        <v>2384400</v>
      </c>
      <c r="U113" s="65">
        <f>3600</f>
        <v>3600</v>
      </c>
      <c r="V113" s="65">
        <f>36264242670</f>
        <v>36264242670</v>
      </c>
      <c r="W113" s="65">
        <f>51697170</f>
        <v>51697170</v>
      </c>
      <c r="X113" s="69">
        <f>21</f>
        <v>21</v>
      </c>
    </row>
    <row r="114" spans="1:24">
      <c r="A114" s="60" t="s">
        <v>853</v>
      </c>
      <c r="B114" s="60" t="s">
        <v>385</v>
      </c>
      <c r="C114" s="60" t="s">
        <v>386</v>
      </c>
      <c r="D114" s="60" t="s">
        <v>387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f>2945</f>
        <v>2945</v>
      </c>
      <c r="L114" s="67" t="s">
        <v>840</v>
      </c>
      <c r="M114" s="66">
        <f>3060</f>
        <v>3060</v>
      </c>
      <c r="N114" s="67" t="s">
        <v>51</v>
      </c>
      <c r="O114" s="66">
        <f>2883</f>
        <v>2883</v>
      </c>
      <c r="P114" s="67" t="s">
        <v>86</v>
      </c>
      <c r="Q114" s="66">
        <f>3060</f>
        <v>3060</v>
      </c>
      <c r="R114" s="67" t="s">
        <v>51</v>
      </c>
      <c r="S114" s="68">
        <f>2940.62</f>
        <v>2940.62</v>
      </c>
      <c r="T114" s="65">
        <f>621510</f>
        <v>621510</v>
      </c>
      <c r="U114" s="65">
        <f>284310</f>
        <v>284310</v>
      </c>
      <c r="V114" s="65">
        <f>1834329432</f>
        <v>1834329432</v>
      </c>
      <c r="W114" s="65">
        <f>840461722</f>
        <v>840461722</v>
      </c>
      <c r="X114" s="69">
        <f>21</f>
        <v>21</v>
      </c>
    </row>
    <row r="115" spans="1:24">
      <c r="A115" s="60" t="s">
        <v>853</v>
      </c>
      <c r="B115" s="60" t="s">
        <v>388</v>
      </c>
      <c r="C115" s="60" t="s">
        <v>389</v>
      </c>
      <c r="D115" s="60" t="s">
        <v>390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19110</f>
        <v>19110</v>
      </c>
      <c r="L115" s="67" t="s">
        <v>840</v>
      </c>
      <c r="M115" s="66">
        <f>20130</f>
        <v>20130</v>
      </c>
      <c r="N115" s="67" t="s">
        <v>86</v>
      </c>
      <c r="O115" s="66">
        <f>17970</f>
        <v>17970</v>
      </c>
      <c r="P115" s="67" t="s">
        <v>51</v>
      </c>
      <c r="Q115" s="66">
        <f>18020</f>
        <v>18020</v>
      </c>
      <c r="R115" s="67" t="s">
        <v>51</v>
      </c>
      <c r="S115" s="68">
        <f>19392.38</f>
        <v>19392.38</v>
      </c>
      <c r="T115" s="65">
        <f>131356317</f>
        <v>131356317</v>
      </c>
      <c r="U115" s="65">
        <f>121832</f>
        <v>121832</v>
      </c>
      <c r="V115" s="65">
        <f>2546163514458</f>
        <v>2546163514458</v>
      </c>
      <c r="W115" s="65">
        <f>2352321038</f>
        <v>2352321038</v>
      </c>
      <c r="X115" s="69">
        <f>21</f>
        <v>21</v>
      </c>
    </row>
    <row r="116" spans="1:24">
      <c r="A116" s="60" t="s">
        <v>853</v>
      </c>
      <c r="B116" s="60" t="s">
        <v>391</v>
      </c>
      <c r="C116" s="60" t="s">
        <v>392</v>
      </c>
      <c r="D116" s="60" t="s">
        <v>393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</v>
      </c>
      <c r="K116" s="66">
        <f>1382</f>
        <v>1382</v>
      </c>
      <c r="L116" s="67" t="s">
        <v>840</v>
      </c>
      <c r="M116" s="66">
        <f>1418</f>
        <v>1418</v>
      </c>
      <c r="N116" s="67" t="s">
        <v>51</v>
      </c>
      <c r="O116" s="66">
        <f>1343</f>
        <v>1343</v>
      </c>
      <c r="P116" s="67" t="s">
        <v>86</v>
      </c>
      <c r="Q116" s="66">
        <f>1417</f>
        <v>1417</v>
      </c>
      <c r="R116" s="67" t="s">
        <v>51</v>
      </c>
      <c r="S116" s="68">
        <f>1369.43</f>
        <v>1369.43</v>
      </c>
      <c r="T116" s="65">
        <f>23630629</f>
        <v>23630629</v>
      </c>
      <c r="U116" s="65">
        <f>7085</f>
        <v>7085</v>
      </c>
      <c r="V116" s="65">
        <f>32510638308</f>
        <v>32510638308</v>
      </c>
      <c r="W116" s="65">
        <f>9726837</f>
        <v>9726837</v>
      </c>
      <c r="X116" s="69">
        <f>21</f>
        <v>21</v>
      </c>
    </row>
    <row r="117" spans="1:24">
      <c r="A117" s="60" t="s">
        <v>853</v>
      </c>
      <c r="B117" s="60" t="s">
        <v>394</v>
      </c>
      <c r="C117" s="60" t="s">
        <v>395</v>
      </c>
      <c r="D117" s="60" t="s">
        <v>396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9240</f>
        <v>9240</v>
      </c>
      <c r="L117" s="67" t="s">
        <v>840</v>
      </c>
      <c r="M117" s="66">
        <f>12390</f>
        <v>12390</v>
      </c>
      <c r="N117" s="67" t="s">
        <v>100</v>
      </c>
      <c r="O117" s="66">
        <f>9130</f>
        <v>9130</v>
      </c>
      <c r="P117" s="67" t="s">
        <v>833</v>
      </c>
      <c r="Q117" s="66">
        <f>9670</f>
        <v>9670</v>
      </c>
      <c r="R117" s="67" t="s">
        <v>51</v>
      </c>
      <c r="S117" s="68">
        <f>10469.52</f>
        <v>10469.52</v>
      </c>
      <c r="T117" s="65">
        <f>29750</f>
        <v>29750</v>
      </c>
      <c r="U117" s="65" t="str">
        <f>"－"</f>
        <v>－</v>
      </c>
      <c r="V117" s="65">
        <f>320704700</f>
        <v>320704700</v>
      </c>
      <c r="W117" s="65" t="str">
        <f>"－"</f>
        <v>－</v>
      </c>
      <c r="X117" s="69">
        <f>21</f>
        <v>21</v>
      </c>
    </row>
    <row r="118" spans="1:24">
      <c r="A118" s="60" t="s">
        <v>853</v>
      </c>
      <c r="B118" s="60" t="s">
        <v>397</v>
      </c>
      <c r="C118" s="60" t="s">
        <v>398</v>
      </c>
      <c r="D118" s="60" t="s">
        <v>399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f>7880</f>
        <v>7880</v>
      </c>
      <c r="L118" s="67" t="s">
        <v>840</v>
      </c>
      <c r="M118" s="66">
        <f>7880</f>
        <v>7880</v>
      </c>
      <c r="N118" s="67" t="s">
        <v>840</v>
      </c>
      <c r="O118" s="66">
        <f>6880</f>
        <v>6880</v>
      </c>
      <c r="P118" s="67" t="s">
        <v>100</v>
      </c>
      <c r="Q118" s="66">
        <f>7250</f>
        <v>7250</v>
      </c>
      <c r="R118" s="67" t="s">
        <v>51</v>
      </c>
      <c r="S118" s="68">
        <f>7224.76</f>
        <v>7224.76</v>
      </c>
      <c r="T118" s="65">
        <f>19590</f>
        <v>19590</v>
      </c>
      <c r="U118" s="65">
        <f>130</f>
        <v>130</v>
      </c>
      <c r="V118" s="65">
        <f>141440600</f>
        <v>141440600</v>
      </c>
      <c r="W118" s="65">
        <f>1011400</f>
        <v>1011400</v>
      </c>
      <c r="X118" s="69">
        <f>21</f>
        <v>21</v>
      </c>
    </row>
    <row r="119" spans="1:24">
      <c r="A119" s="60" t="s">
        <v>853</v>
      </c>
      <c r="B119" s="60" t="s">
        <v>400</v>
      </c>
      <c r="C119" s="60" t="s">
        <v>401</v>
      </c>
      <c r="D119" s="60" t="s">
        <v>402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1449</f>
        <v>1449</v>
      </c>
      <c r="L119" s="67" t="s">
        <v>50</v>
      </c>
      <c r="M119" s="66">
        <f>1450</f>
        <v>1450</v>
      </c>
      <c r="N119" s="67" t="s">
        <v>51</v>
      </c>
      <c r="O119" s="66">
        <f>1449</f>
        <v>1449</v>
      </c>
      <c r="P119" s="67" t="s">
        <v>50</v>
      </c>
      <c r="Q119" s="66">
        <f>1450</f>
        <v>1450</v>
      </c>
      <c r="R119" s="67" t="s">
        <v>51</v>
      </c>
      <c r="S119" s="68">
        <f>1449.5</f>
        <v>1449.5</v>
      </c>
      <c r="T119" s="65">
        <f>40</f>
        <v>40</v>
      </c>
      <c r="U119" s="65" t="str">
        <f>"－"</f>
        <v>－</v>
      </c>
      <c r="V119" s="65">
        <f>57990</f>
        <v>57990</v>
      </c>
      <c r="W119" s="65" t="str">
        <f>"－"</f>
        <v>－</v>
      </c>
      <c r="X119" s="69">
        <f>2</f>
        <v>2</v>
      </c>
    </row>
    <row r="120" spans="1:24">
      <c r="A120" s="60" t="s">
        <v>853</v>
      </c>
      <c r="B120" s="60" t="s">
        <v>403</v>
      </c>
      <c r="C120" s="60" t="s">
        <v>404</v>
      </c>
      <c r="D120" s="60" t="s">
        <v>405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f>619</f>
        <v>619</v>
      </c>
      <c r="L120" s="67" t="s">
        <v>840</v>
      </c>
      <c r="M120" s="66">
        <f>860</f>
        <v>860</v>
      </c>
      <c r="N120" s="67" t="s">
        <v>100</v>
      </c>
      <c r="O120" s="66">
        <f>605</f>
        <v>605</v>
      </c>
      <c r="P120" s="67" t="s">
        <v>840</v>
      </c>
      <c r="Q120" s="66">
        <f>651</f>
        <v>651</v>
      </c>
      <c r="R120" s="67" t="s">
        <v>51</v>
      </c>
      <c r="S120" s="68">
        <f>691.81</f>
        <v>691.81</v>
      </c>
      <c r="T120" s="65">
        <f>47420</f>
        <v>47420</v>
      </c>
      <c r="U120" s="65" t="str">
        <f>"－"</f>
        <v>－</v>
      </c>
      <c r="V120" s="65">
        <f>34059510</f>
        <v>34059510</v>
      </c>
      <c r="W120" s="65" t="str">
        <f>"－"</f>
        <v>－</v>
      </c>
      <c r="X120" s="69">
        <f>21</f>
        <v>21</v>
      </c>
    </row>
    <row r="121" spans="1:24">
      <c r="A121" s="60" t="s">
        <v>853</v>
      </c>
      <c r="B121" s="60" t="s">
        <v>406</v>
      </c>
      <c r="C121" s="60" t="s">
        <v>407</v>
      </c>
      <c r="D121" s="60" t="s">
        <v>408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10</v>
      </c>
      <c r="K121" s="66">
        <f>603</f>
        <v>603</v>
      </c>
      <c r="L121" s="67" t="s">
        <v>840</v>
      </c>
      <c r="M121" s="66">
        <f>774</f>
        <v>774</v>
      </c>
      <c r="N121" s="67" t="s">
        <v>100</v>
      </c>
      <c r="O121" s="66">
        <f>603</f>
        <v>603</v>
      </c>
      <c r="P121" s="67" t="s">
        <v>840</v>
      </c>
      <c r="Q121" s="66">
        <f>650</f>
        <v>650</v>
      </c>
      <c r="R121" s="67" t="s">
        <v>51</v>
      </c>
      <c r="S121" s="68">
        <f>671.25</f>
        <v>671.25</v>
      </c>
      <c r="T121" s="65">
        <f>26170</f>
        <v>26170</v>
      </c>
      <c r="U121" s="65" t="str">
        <f>"－"</f>
        <v>－</v>
      </c>
      <c r="V121" s="65">
        <f>18129480</f>
        <v>18129480</v>
      </c>
      <c r="W121" s="65" t="str">
        <f>"－"</f>
        <v>－</v>
      </c>
      <c r="X121" s="69">
        <f>20</f>
        <v>20</v>
      </c>
    </row>
    <row r="122" spans="1:24">
      <c r="A122" s="60" t="s">
        <v>853</v>
      </c>
      <c r="B122" s="60" t="s">
        <v>409</v>
      </c>
      <c r="C122" s="60" t="s">
        <v>410</v>
      </c>
      <c r="D122" s="60" t="s">
        <v>411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</v>
      </c>
      <c r="K122" s="66">
        <f>18170</f>
        <v>18170</v>
      </c>
      <c r="L122" s="67" t="s">
        <v>840</v>
      </c>
      <c r="M122" s="66">
        <f>18690</f>
        <v>18690</v>
      </c>
      <c r="N122" s="67" t="s">
        <v>72</v>
      </c>
      <c r="O122" s="66">
        <f>16880</f>
        <v>16880</v>
      </c>
      <c r="P122" s="67" t="s">
        <v>51</v>
      </c>
      <c r="Q122" s="66">
        <f>16890</f>
        <v>16890</v>
      </c>
      <c r="R122" s="67" t="s">
        <v>51</v>
      </c>
      <c r="S122" s="68">
        <f>18002.38</f>
        <v>18002.38</v>
      </c>
      <c r="T122" s="65">
        <f>31897</f>
        <v>31897</v>
      </c>
      <c r="U122" s="65">
        <f>41</f>
        <v>41</v>
      </c>
      <c r="V122" s="65">
        <f>568144980</f>
        <v>568144980</v>
      </c>
      <c r="W122" s="65">
        <f>712690</f>
        <v>712690</v>
      </c>
      <c r="X122" s="69">
        <f>21</f>
        <v>21</v>
      </c>
    </row>
    <row r="123" spans="1:24">
      <c r="A123" s="60" t="s">
        <v>853</v>
      </c>
      <c r="B123" s="60" t="s">
        <v>412</v>
      </c>
      <c r="C123" s="60" t="s">
        <v>413</v>
      </c>
      <c r="D123" s="60" t="s">
        <v>414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f>1800</f>
        <v>1800</v>
      </c>
      <c r="L123" s="67" t="s">
        <v>840</v>
      </c>
      <c r="M123" s="66">
        <f>1831</f>
        <v>1831</v>
      </c>
      <c r="N123" s="67" t="s">
        <v>48</v>
      </c>
      <c r="O123" s="66">
        <f>1730</f>
        <v>1730</v>
      </c>
      <c r="P123" s="67" t="s">
        <v>51</v>
      </c>
      <c r="Q123" s="66">
        <f>1732</f>
        <v>1732</v>
      </c>
      <c r="R123" s="67" t="s">
        <v>51</v>
      </c>
      <c r="S123" s="68">
        <f>1798.57</f>
        <v>1798.57</v>
      </c>
      <c r="T123" s="65">
        <f>146240</f>
        <v>146240</v>
      </c>
      <c r="U123" s="65" t="str">
        <f>"－"</f>
        <v>－</v>
      </c>
      <c r="V123" s="65">
        <f>262839510</f>
        <v>262839510</v>
      </c>
      <c r="W123" s="65" t="str">
        <f>"－"</f>
        <v>－</v>
      </c>
      <c r="X123" s="69">
        <f>21</f>
        <v>21</v>
      </c>
    </row>
    <row r="124" spans="1:24">
      <c r="A124" s="60" t="s">
        <v>853</v>
      </c>
      <c r="B124" s="60" t="s">
        <v>415</v>
      </c>
      <c r="C124" s="60" t="s">
        <v>416</v>
      </c>
      <c r="D124" s="60" t="s">
        <v>417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f>20340</f>
        <v>20340</v>
      </c>
      <c r="L124" s="67" t="s">
        <v>840</v>
      </c>
      <c r="M124" s="66">
        <f>21440</f>
        <v>21440</v>
      </c>
      <c r="N124" s="67" t="s">
        <v>86</v>
      </c>
      <c r="O124" s="66">
        <f>19150</f>
        <v>19150</v>
      </c>
      <c r="P124" s="67" t="s">
        <v>51</v>
      </c>
      <c r="Q124" s="66">
        <f>19150</f>
        <v>19150</v>
      </c>
      <c r="R124" s="67" t="s">
        <v>51</v>
      </c>
      <c r="S124" s="68">
        <f>20637.62</f>
        <v>20637.62</v>
      </c>
      <c r="T124" s="65">
        <f>9603530</f>
        <v>9603530</v>
      </c>
      <c r="U124" s="65">
        <f>3900</f>
        <v>3900</v>
      </c>
      <c r="V124" s="65">
        <f>198312756207</f>
        <v>198312756207</v>
      </c>
      <c r="W124" s="65">
        <f>82192007</f>
        <v>82192007</v>
      </c>
      <c r="X124" s="69">
        <f>21</f>
        <v>21</v>
      </c>
    </row>
    <row r="125" spans="1:24">
      <c r="A125" s="60" t="s">
        <v>853</v>
      </c>
      <c r="B125" s="60" t="s">
        <v>418</v>
      </c>
      <c r="C125" s="60" t="s">
        <v>419</v>
      </c>
      <c r="D125" s="60" t="s">
        <v>420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3690</f>
        <v>3690</v>
      </c>
      <c r="L125" s="67" t="s">
        <v>840</v>
      </c>
      <c r="M125" s="66">
        <f>3780</f>
        <v>3780</v>
      </c>
      <c r="N125" s="67" t="s">
        <v>51</v>
      </c>
      <c r="O125" s="66">
        <f>3580</f>
        <v>3580</v>
      </c>
      <c r="P125" s="67" t="s">
        <v>150</v>
      </c>
      <c r="Q125" s="66">
        <f>3775</f>
        <v>3775</v>
      </c>
      <c r="R125" s="67" t="s">
        <v>51</v>
      </c>
      <c r="S125" s="68">
        <f>3650.24</f>
        <v>3650.24</v>
      </c>
      <c r="T125" s="65">
        <f>609840</f>
        <v>609840</v>
      </c>
      <c r="U125" s="65">
        <f>410</f>
        <v>410</v>
      </c>
      <c r="V125" s="65">
        <f>2228138400</f>
        <v>2228138400</v>
      </c>
      <c r="W125" s="65">
        <f>1520350</f>
        <v>1520350</v>
      </c>
      <c r="X125" s="69">
        <f>21</f>
        <v>21</v>
      </c>
    </row>
    <row r="126" spans="1:24">
      <c r="A126" s="60" t="s">
        <v>853</v>
      </c>
      <c r="B126" s="60" t="s">
        <v>421</v>
      </c>
      <c r="C126" s="60" t="s">
        <v>422</v>
      </c>
      <c r="D126" s="60" t="s">
        <v>423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f>603</f>
        <v>603</v>
      </c>
      <c r="L126" s="67" t="s">
        <v>814</v>
      </c>
      <c r="M126" s="66">
        <f>690</f>
        <v>690</v>
      </c>
      <c r="N126" s="67" t="s">
        <v>100</v>
      </c>
      <c r="O126" s="66">
        <f>603</f>
        <v>603</v>
      </c>
      <c r="P126" s="67" t="s">
        <v>814</v>
      </c>
      <c r="Q126" s="66">
        <f>646</f>
        <v>646</v>
      </c>
      <c r="R126" s="67" t="s">
        <v>50</v>
      </c>
      <c r="S126" s="68">
        <f>643.42</f>
        <v>643.41999999999996</v>
      </c>
      <c r="T126" s="65">
        <f>1560</f>
        <v>1560</v>
      </c>
      <c r="U126" s="65" t="str">
        <f>"－"</f>
        <v>－</v>
      </c>
      <c r="V126" s="65">
        <f>1003760</f>
        <v>1003760</v>
      </c>
      <c r="W126" s="65" t="str">
        <f>"－"</f>
        <v>－</v>
      </c>
      <c r="X126" s="69">
        <f>12</f>
        <v>12</v>
      </c>
    </row>
    <row r="127" spans="1:24">
      <c r="A127" s="60" t="s">
        <v>853</v>
      </c>
      <c r="B127" s="60" t="s">
        <v>424</v>
      </c>
      <c r="C127" s="60" t="s">
        <v>425</v>
      </c>
      <c r="D127" s="60" t="s">
        <v>841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f>1222</f>
        <v>1222</v>
      </c>
      <c r="L127" s="67" t="s">
        <v>840</v>
      </c>
      <c r="M127" s="66">
        <f>1296</f>
        <v>1296</v>
      </c>
      <c r="N127" s="67" t="s">
        <v>820</v>
      </c>
      <c r="O127" s="66">
        <f>1199</f>
        <v>1199</v>
      </c>
      <c r="P127" s="67" t="s">
        <v>51</v>
      </c>
      <c r="Q127" s="66">
        <f>1244</f>
        <v>1244</v>
      </c>
      <c r="R127" s="67" t="s">
        <v>51</v>
      </c>
      <c r="S127" s="68">
        <f>1234.47</f>
        <v>1234.47</v>
      </c>
      <c r="T127" s="65">
        <f>41180</f>
        <v>41180</v>
      </c>
      <c r="U127" s="65" t="str">
        <f>"－"</f>
        <v>－</v>
      </c>
      <c r="V127" s="65">
        <f>50909920</f>
        <v>50909920</v>
      </c>
      <c r="W127" s="65" t="str">
        <f>"－"</f>
        <v>－</v>
      </c>
      <c r="X127" s="69">
        <f>15</f>
        <v>15</v>
      </c>
    </row>
    <row r="128" spans="1:24">
      <c r="A128" s="60" t="s">
        <v>853</v>
      </c>
      <c r="B128" s="60" t="s">
        <v>427</v>
      </c>
      <c r="C128" s="60" t="s">
        <v>428</v>
      </c>
      <c r="D128" s="60" t="s">
        <v>429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f>1460</f>
        <v>1460</v>
      </c>
      <c r="L128" s="67" t="s">
        <v>840</v>
      </c>
      <c r="M128" s="66">
        <f>1460</f>
        <v>1460</v>
      </c>
      <c r="N128" s="67" t="s">
        <v>840</v>
      </c>
      <c r="O128" s="66">
        <f>1387</f>
        <v>1387</v>
      </c>
      <c r="P128" s="67" t="s">
        <v>51</v>
      </c>
      <c r="Q128" s="66">
        <f>1387</f>
        <v>1387</v>
      </c>
      <c r="R128" s="67" t="s">
        <v>51</v>
      </c>
      <c r="S128" s="68">
        <f>1414.58</f>
        <v>1414.58</v>
      </c>
      <c r="T128" s="65">
        <f>3927</f>
        <v>3927</v>
      </c>
      <c r="U128" s="65" t="str">
        <f>"－"</f>
        <v>－</v>
      </c>
      <c r="V128" s="65">
        <f>5500071</f>
        <v>5500071</v>
      </c>
      <c r="W128" s="65" t="str">
        <f>"－"</f>
        <v>－</v>
      </c>
      <c r="X128" s="69">
        <f>19</f>
        <v>19</v>
      </c>
    </row>
    <row r="129" spans="1:24">
      <c r="A129" s="60" t="s">
        <v>853</v>
      </c>
      <c r="B129" s="60" t="s">
        <v>430</v>
      </c>
      <c r="C129" s="60" t="s">
        <v>431</v>
      </c>
      <c r="D129" s="60" t="s">
        <v>432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14080</f>
        <v>14080</v>
      </c>
      <c r="L129" s="67" t="s">
        <v>840</v>
      </c>
      <c r="M129" s="66">
        <f>14390</f>
        <v>14390</v>
      </c>
      <c r="N129" s="67" t="s">
        <v>86</v>
      </c>
      <c r="O129" s="66">
        <f>13550</f>
        <v>13550</v>
      </c>
      <c r="P129" s="67" t="s">
        <v>51</v>
      </c>
      <c r="Q129" s="66">
        <f>13570</f>
        <v>13570</v>
      </c>
      <c r="R129" s="67" t="s">
        <v>51</v>
      </c>
      <c r="S129" s="68">
        <f>14124.76</f>
        <v>14124.76</v>
      </c>
      <c r="T129" s="65">
        <f>57221</f>
        <v>57221</v>
      </c>
      <c r="U129" s="65">
        <f>68</f>
        <v>68</v>
      </c>
      <c r="V129" s="65">
        <f>809289960</f>
        <v>809289960</v>
      </c>
      <c r="W129" s="65">
        <f>952880</f>
        <v>952880</v>
      </c>
      <c r="X129" s="69">
        <f>21</f>
        <v>21</v>
      </c>
    </row>
    <row r="130" spans="1:24">
      <c r="A130" s="60" t="s">
        <v>853</v>
      </c>
      <c r="B130" s="60" t="s">
        <v>433</v>
      </c>
      <c r="C130" s="60" t="s">
        <v>434</v>
      </c>
      <c r="D130" s="60" t="s">
        <v>435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</v>
      </c>
      <c r="K130" s="66">
        <f>1298</f>
        <v>1298</v>
      </c>
      <c r="L130" s="67" t="s">
        <v>840</v>
      </c>
      <c r="M130" s="66">
        <f>1315</f>
        <v>1315</v>
      </c>
      <c r="N130" s="67" t="s">
        <v>48</v>
      </c>
      <c r="O130" s="66">
        <f>1235</f>
        <v>1235</v>
      </c>
      <c r="P130" s="67" t="s">
        <v>51</v>
      </c>
      <c r="Q130" s="66">
        <f>1235</f>
        <v>1235</v>
      </c>
      <c r="R130" s="67" t="s">
        <v>51</v>
      </c>
      <c r="S130" s="68">
        <f>1290.19</f>
        <v>1290.19</v>
      </c>
      <c r="T130" s="65">
        <f>137648</f>
        <v>137648</v>
      </c>
      <c r="U130" s="65">
        <f>1</f>
        <v>1</v>
      </c>
      <c r="V130" s="65">
        <f>177356270</f>
        <v>177356270</v>
      </c>
      <c r="W130" s="65">
        <f>1247</f>
        <v>1247</v>
      </c>
      <c r="X130" s="69">
        <f>21</f>
        <v>21</v>
      </c>
    </row>
    <row r="131" spans="1:24">
      <c r="A131" s="60" t="s">
        <v>853</v>
      </c>
      <c r="B131" s="60" t="s">
        <v>436</v>
      </c>
      <c r="C131" s="60" t="s">
        <v>437</v>
      </c>
      <c r="D131" s="60" t="s">
        <v>438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f>14530</f>
        <v>14530</v>
      </c>
      <c r="L131" s="67" t="s">
        <v>840</v>
      </c>
      <c r="M131" s="66">
        <f>14730</f>
        <v>14730</v>
      </c>
      <c r="N131" s="67" t="s">
        <v>48</v>
      </c>
      <c r="O131" s="66">
        <f>13760</f>
        <v>13760</v>
      </c>
      <c r="P131" s="67" t="s">
        <v>51</v>
      </c>
      <c r="Q131" s="66">
        <f>13760</f>
        <v>13760</v>
      </c>
      <c r="R131" s="67" t="s">
        <v>51</v>
      </c>
      <c r="S131" s="68">
        <f>14468.57</f>
        <v>14468.57</v>
      </c>
      <c r="T131" s="65">
        <f>33606</f>
        <v>33606</v>
      </c>
      <c r="U131" s="65">
        <f>3540</f>
        <v>3540</v>
      </c>
      <c r="V131" s="65">
        <f>488650260</f>
        <v>488650260</v>
      </c>
      <c r="W131" s="65">
        <f>50931870</f>
        <v>50931870</v>
      </c>
      <c r="X131" s="69">
        <f>21</f>
        <v>21</v>
      </c>
    </row>
    <row r="132" spans="1:24">
      <c r="A132" s="60" t="s">
        <v>853</v>
      </c>
      <c r="B132" s="60" t="s">
        <v>439</v>
      </c>
      <c r="C132" s="60" t="s">
        <v>440</v>
      </c>
      <c r="D132" s="60" t="s">
        <v>441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f>1704</f>
        <v>1704</v>
      </c>
      <c r="L132" s="67" t="s">
        <v>840</v>
      </c>
      <c r="M132" s="66">
        <f>1747</f>
        <v>1747</v>
      </c>
      <c r="N132" s="67" t="s">
        <v>48</v>
      </c>
      <c r="O132" s="66">
        <f>1662</f>
        <v>1662</v>
      </c>
      <c r="P132" s="67" t="s">
        <v>49</v>
      </c>
      <c r="Q132" s="66">
        <f>1687</f>
        <v>1687</v>
      </c>
      <c r="R132" s="67" t="s">
        <v>51</v>
      </c>
      <c r="S132" s="68">
        <f>1699.48</f>
        <v>1699.48</v>
      </c>
      <c r="T132" s="65">
        <f>1437250</f>
        <v>1437250</v>
      </c>
      <c r="U132" s="65">
        <f>209000</f>
        <v>209000</v>
      </c>
      <c r="V132" s="65">
        <f>2446356010</f>
        <v>2446356010</v>
      </c>
      <c r="W132" s="65">
        <f>355052620</f>
        <v>355052620</v>
      </c>
      <c r="X132" s="69">
        <f>21</f>
        <v>21</v>
      </c>
    </row>
    <row r="133" spans="1:24">
      <c r="A133" s="60" t="s">
        <v>853</v>
      </c>
      <c r="B133" s="60" t="s">
        <v>442</v>
      </c>
      <c r="C133" s="60" t="s">
        <v>443</v>
      </c>
      <c r="D133" s="60" t="s">
        <v>444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10</v>
      </c>
      <c r="K133" s="66">
        <f>1375</f>
        <v>1375</v>
      </c>
      <c r="L133" s="67" t="s">
        <v>833</v>
      </c>
      <c r="M133" s="66">
        <f>1391</f>
        <v>1391</v>
      </c>
      <c r="N133" s="67" t="s">
        <v>86</v>
      </c>
      <c r="O133" s="66">
        <f>1339</f>
        <v>1339</v>
      </c>
      <c r="P133" s="67" t="s">
        <v>51</v>
      </c>
      <c r="Q133" s="66">
        <f>1339</f>
        <v>1339</v>
      </c>
      <c r="R133" s="67" t="s">
        <v>51</v>
      </c>
      <c r="S133" s="68">
        <f>1368.6</f>
        <v>1368.6</v>
      </c>
      <c r="T133" s="65">
        <f>140</f>
        <v>140</v>
      </c>
      <c r="U133" s="65" t="str">
        <f>"－"</f>
        <v>－</v>
      </c>
      <c r="V133" s="65">
        <f>192380</f>
        <v>192380</v>
      </c>
      <c r="W133" s="65" t="str">
        <f>"－"</f>
        <v>－</v>
      </c>
      <c r="X133" s="69">
        <f>5</f>
        <v>5</v>
      </c>
    </row>
    <row r="134" spans="1:24">
      <c r="A134" s="60" t="s">
        <v>853</v>
      </c>
      <c r="B134" s="60" t="s">
        <v>445</v>
      </c>
      <c r="C134" s="60" t="s">
        <v>446</v>
      </c>
      <c r="D134" s="60" t="s">
        <v>447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10</v>
      </c>
      <c r="K134" s="66">
        <f>1710</f>
        <v>1710</v>
      </c>
      <c r="L134" s="67" t="s">
        <v>840</v>
      </c>
      <c r="M134" s="66">
        <f>1746</f>
        <v>1746</v>
      </c>
      <c r="N134" s="67" t="s">
        <v>48</v>
      </c>
      <c r="O134" s="66">
        <f>1680</f>
        <v>1680</v>
      </c>
      <c r="P134" s="67" t="s">
        <v>49</v>
      </c>
      <c r="Q134" s="66">
        <f>1702</f>
        <v>1702</v>
      </c>
      <c r="R134" s="67" t="s">
        <v>51</v>
      </c>
      <c r="S134" s="68">
        <f>1709.71</f>
        <v>1709.71</v>
      </c>
      <c r="T134" s="65">
        <f>996410</f>
        <v>996410</v>
      </c>
      <c r="U134" s="65">
        <f>191320</f>
        <v>191320</v>
      </c>
      <c r="V134" s="65">
        <f>1714953600</f>
        <v>1714953600</v>
      </c>
      <c r="W134" s="65">
        <f>326480120</f>
        <v>326480120</v>
      </c>
      <c r="X134" s="69">
        <f>21</f>
        <v>21</v>
      </c>
    </row>
    <row r="135" spans="1:24">
      <c r="A135" s="60" t="s">
        <v>853</v>
      </c>
      <c r="B135" s="60" t="s">
        <v>448</v>
      </c>
      <c r="C135" s="60" t="s">
        <v>449</v>
      </c>
      <c r="D135" s="60" t="s">
        <v>450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</v>
      </c>
      <c r="K135" s="66">
        <f>15000</f>
        <v>15000</v>
      </c>
      <c r="L135" s="67" t="s">
        <v>51</v>
      </c>
      <c r="M135" s="66">
        <f>15000</f>
        <v>15000</v>
      </c>
      <c r="N135" s="67" t="s">
        <v>51</v>
      </c>
      <c r="O135" s="66">
        <f>15000</f>
        <v>15000</v>
      </c>
      <c r="P135" s="67" t="s">
        <v>51</v>
      </c>
      <c r="Q135" s="66">
        <f>15000</f>
        <v>15000</v>
      </c>
      <c r="R135" s="67" t="s">
        <v>51</v>
      </c>
      <c r="S135" s="68">
        <f>15000</f>
        <v>15000</v>
      </c>
      <c r="T135" s="65">
        <f>1</f>
        <v>1</v>
      </c>
      <c r="U135" s="65" t="str">
        <f>"－"</f>
        <v>－</v>
      </c>
      <c r="V135" s="65">
        <f>15000</f>
        <v>15000</v>
      </c>
      <c r="W135" s="65" t="str">
        <f>"－"</f>
        <v>－</v>
      </c>
      <c r="X135" s="69">
        <f>1</f>
        <v>1</v>
      </c>
    </row>
    <row r="136" spans="1:24">
      <c r="A136" s="60" t="s">
        <v>853</v>
      </c>
      <c r="B136" s="60" t="s">
        <v>451</v>
      </c>
      <c r="C136" s="60" t="s">
        <v>452</v>
      </c>
      <c r="D136" s="60" t="s">
        <v>453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14490</f>
        <v>14490</v>
      </c>
      <c r="L136" s="67" t="s">
        <v>840</v>
      </c>
      <c r="M136" s="66">
        <f>14500</f>
        <v>14500</v>
      </c>
      <c r="N136" s="67" t="s">
        <v>48</v>
      </c>
      <c r="O136" s="66">
        <f>13790</f>
        <v>13790</v>
      </c>
      <c r="P136" s="67" t="s">
        <v>51</v>
      </c>
      <c r="Q136" s="66">
        <f>13790</f>
        <v>13790</v>
      </c>
      <c r="R136" s="67" t="s">
        <v>51</v>
      </c>
      <c r="S136" s="68">
        <f>14295</f>
        <v>14295</v>
      </c>
      <c r="T136" s="65">
        <f>5107</f>
        <v>5107</v>
      </c>
      <c r="U136" s="65" t="str">
        <f>"－"</f>
        <v>－</v>
      </c>
      <c r="V136" s="65">
        <f>73485090</f>
        <v>73485090</v>
      </c>
      <c r="W136" s="65" t="str">
        <f>"－"</f>
        <v>－</v>
      </c>
      <c r="X136" s="69">
        <f>20</f>
        <v>20</v>
      </c>
    </row>
    <row r="137" spans="1:24">
      <c r="A137" s="60" t="s">
        <v>853</v>
      </c>
      <c r="B137" s="60" t="s">
        <v>457</v>
      </c>
      <c r="C137" s="60" t="s">
        <v>458</v>
      </c>
      <c r="D137" s="60" t="s">
        <v>459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100</v>
      </c>
      <c r="K137" s="66">
        <f>123</f>
        <v>123</v>
      </c>
      <c r="L137" s="67" t="s">
        <v>840</v>
      </c>
      <c r="M137" s="66">
        <f>126</f>
        <v>126</v>
      </c>
      <c r="N137" s="67" t="s">
        <v>48</v>
      </c>
      <c r="O137" s="66">
        <f>109</f>
        <v>109</v>
      </c>
      <c r="P137" s="67" t="s">
        <v>51</v>
      </c>
      <c r="Q137" s="66">
        <f>109</f>
        <v>109</v>
      </c>
      <c r="R137" s="67" t="s">
        <v>51</v>
      </c>
      <c r="S137" s="68">
        <f>119.52</f>
        <v>119.52</v>
      </c>
      <c r="T137" s="65">
        <f>26716100</f>
        <v>26716100</v>
      </c>
      <c r="U137" s="65">
        <f>27100</f>
        <v>27100</v>
      </c>
      <c r="V137" s="65">
        <f>3200575060</f>
        <v>3200575060</v>
      </c>
      <c r="W137" s="65">
        <f>3287560</f>
        <v>3287560</v>
      </c>
      <c r="X137" s="69">
        <f>21</f>
        <v>21</v>
      </c>
    </row>
    <row r="138" spans="1:24">
      <c r="A138" s="60" t="s">
        <v>853</v>
      </c>
      <c r="B138" s="60" t="s">
        <v>460</v>
      </c>
      <c r="C138" s="60" t="s">
        <v>461</v>
      </c>
      <c r="D138" s="60" t="s">
        <v>462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</v>
      </c>
      <c r="K138" s="66">
        <f>26990</f>
        <v>26990</v>
      </c>
      <c r="L138" s="67" t="s">
        <v>840</v>
      </c>
      <c r="M138" s="66">
        <f>26990</f>
        <v>26990</v>
      </c>
      <c r="N138" s="67" t="s">
        <v>840</v>
      </c>
      <c r="O138" s="66">
        <f>25100</f>
        <v>25100</v>
      </c>
      <c r="P138" s="67" t="s">
        <v>95</v>
      </c>
      <c r="Q138" s="66">
        <f>25260</f>
        <v>25260</v>
      </c>
      <c r="R138" s="67" t="s">
        <v>51</v>
      </c>
      <c r="S138" s="68">
        <f>26021.18</f>
        <v>26021.18</v>
      </c>
      <c r="T138" s="65">
        <f>1476</f>
        <v>1476</v>
      </c>
      <c r="U138" s="65" t="str">
        <f>"－"</f>
        <v>－</v>
      </c>
      <c r="V138" s="65">
        <f>38975390</f>
        <v>38975390</v>
      </c>
      <c r="W138" s="65" t="str">
        <f>"－"</f>
        <v>－</v>
      </c>
      <c r="X138" s="69">
        <f>17</f>
        <v>17</v>
      </c>
    </row>
    <row r="139" spans="1:24">
      <c r="A139" s="60" t="s">
        <v>853</v>
      </c>
      <c r="B139" s="60" t="s">
        <v>463</v>
      </c>
      <c r="C139" s="60" t="s">
        <v>464</v>
      </c>
      <c r="D139" s="60" t="s">
        <v>465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8720</f>
        <v>8720</v>
      </c>
      <c r="L139" s="67" t="s">
        <v>840</v>
      </c>
      <c r="M139" s="66">
        <f>8750</f>
        <v>8750</v>
      </c>
      <c r="N139" s="67" t="s">
        <v>833</v>
      </c>
      <c r="O139" s="66">
        <f>7580</f>
        <v>7580</v>
      </c>
      <c r="P139" s="67" t="s">
        <v>51</v>
      </c>
      <c r="Q139" s="66">
        <f>7610</f>
        <v>7610</v>
      </c>
      <c r="R139" s="67" t="s">
        <v>51</v>
      </c>
      <c r="S139" s="68">
        <f>8201.9</f>
        <v>8201.9</v>
      </c>
      <c r="T139" s="65">
        <f>13736</f>
        <v>13736</v>
      </c>
      <c r="U139" s="65">
        <f>3</f>
        <v>3</v>
      </c>
      <c r="V139" s="65">
        <f>112421760</f>
        <v>112421760</v>
      </c>
      <c r="W139" s="65">
        <f>24990</f>
        <v>24990</v>
      </c>
      <c r="X139" s="69">
        <f>21</f>
        <v>21</v>
      </c>
    </row>
    <row r="140" spans="1:24">
      <c r="A140" s="60" t="s">
        <v>853</v>
      </c>
      <c r="B140" s="60" t="s">
        <v>466</v>
      </c>
      <c r="C140" s="60" t="s">
        <v>467</v>
      </c>
      <c r="D140" s="60" t="s">
        <v>468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18880</f>
        <v>18880</v>
      </c>
      <c r="L140" s="67" t="s">
        <v>840</v>
      </c>
      <c r="M140" s="66">
        <f>18930</f>
        <v>18930</v>
      </c>
      <c r="N140" s="67" t="s">
        <v>48</v>
      </c>
      <c r="O140" s="66">
        <f>16790</f>
        <v>16790</v>
      </c>
      <c r="P140" s="67" t="s">
        <v>51</v>
      </c>
      <c r="Q140" s="66">
        <f>16790</f>
        <v>16790</v>
      </c>
      <c r="R140" s="67" t="s">
        <v>51</v>
      </c>
      <c r="S140" s="68">
        <f>18241.5</f>
        <v>18241.5</v>
      </c>
      <c r="T140" s="65">
        <f>3896</f>
        <v>3896</v>
      </c>
      <c r="U140" s="65">
        <f>4</f>
        <v>4</v>
      </c>
      <c r="V140" s="65">
        <f>70575640</f>
        <v>70575640</v>
      </c>
      <c r="W140" s="65">
        <f>70180</f>
        <v>70180</v>
      </c>
      <c r="X140" s="69">
        <f>20</f>
        <v>20</v>
      </c>
    </row>
    <row r="141" spans="1:24">
      <c r="A141" s="60" t="s">
        <v>853</v>
      </c>
      <c r="B141" s="60" t="s">
        <v>469</v>
      </c>
      <c r="C141" s="60" t="s">
        <v>470</v>
      </c>
      <c r="D141" s="60" t="s">
        <v>471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23130</f>
        <v>23130</v>
      </c>
      <c r="L141" s="67" t="s">
        <v>833</v>
      </c>
      <c r="M141" s="66">
        <f>23250</f>
        <v>23250</v>
      </c>
      <c r="N141" s="67" t="s">
        <v>48</v>
      </c>
      <c r="O141" s="66">
        <f>21580</f>
        <v>21580</v>
      </c>
      <c r="P141" s="67" t="s">
        <v>51</v>
      </c>
      <c r="Q141" s="66">
        <f>21580</f>
        <v>21580</v>
      </c>
      <c r="R141" s="67" t="s">
        <v>51</v>
      </c>
      <c r="S141" s="68">
        <f>22699.29</f>
        <v>22699.29</v>
      </c>
      <c r="T141" s="65">
        <f>236</f>
        <v>236</v>
      </c>
      <c r="U141" s="65" t="str">
        <f t="shared" ref="U141:U151" si="4">"－"</f>
        <v>－</v>
      </c>
      <c r="V141" s="65">
        <f>5396930</f>
        <v>5396930</v>
      </c>
      <c r="W141" s="65" t="str">
        <f t="shared" ref="W141:W151" si="5">"－"</f>
        <v>－</v>
      </c>
      <c r="X141" s="69">
        <f>14</f>
        <v>14</v>
      </c>
    </row>
    <row r="142" spans="1:24">
      <c r="A142" s="60" t="s">
        <v>853</v>
      </c>
      <c r="B142" s="60" t="s">
        <v>472</v>
      </c>
      <c r="C142" s="60" t="s">
        <v>473</v>
      </c>
      <c r="D142" s="60" t="s">
        <v>474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26200</f>
        <v>26200</v>
      </c>
      <c r="L142" s="67" t="s">
        <v>840</v>
      </c>
      <c r="M142" s="66">
        <f>26210</f>
        <v>26210</v>
      </c>
      <c r="N142" s="67" t="s">
        <v>840</v>
      </c>
      <c r="O142" s="66">
        <f>23700</f>
        <v>23700</v>
      </c>
      <c r="P142" s="67" t="s">
        <v>72</v>
      </c>
      <c r="Q142" s="66">
        <f>23930</f>
        <v>23930</v>
      </c>
      <c r="R142" s="67" t="s">
        <v>51</v>
      </c>
      <c r="S142" s="68">
        <f>24669.05</f>
        <v>24669.05</v>
      </c>
      <c r="T142" s="65">
        <f>5987</f>
        <v>5987</v>
      </c>
      <c r="U142" s="65" t="str">
        <f t="shared" si="4"/>
        <v>－</v>
      </c>
      <c r="V142" s="65">
        <f>146914920</f>
        <v>146914920</v>
      </c>
      <c r="W142" s="65" t="str">
        <f t="shared" si="5"/>
        <v>－</v>
      </c>
      <c r="X142" s="69">
        <f>21</f>
        <v>21</v>
      </c>
    </row>
    <row r="143" spans="1:24">
      <c r="A143" s="60" t="s">
        <v>853</v>
      </c>
      <c r="B143" s="60" t="s">
        <v>475</v>
      </c>
      <c r="C143" s="60" t="s">
        <v>476</v>
      </c>
      <c r="D143" s="60" t="s">
        <v>477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17640</f>
        <v>17640</v>
      </c>
      <c r="L143" s="67" t="s">
        <v>840</v>
      </c>
      <c r="M143" s="66">
        <f>17990</f>
        <v>17990</v>
      </c>
      <c r="N143" s="67" t="s">
        <v>48</v>
      </c>
      <c r="O143" s="66">
        <f>15670</f>
        <v>15670</v>
      </c>
      <c r="P143" s="67" t="s">
        <v>51</v>
      </c>
      <c r="Q143" s="66">
        <f>15670</f>
        <v>15670</v>
      </c>
      <c r="R143" s="67" t="s">
        <v>51</v>
      </c>
      <c r="S143" s="68">
        <f>17124.76</f>
        <v>17124.759999999998</v>
      </c>
      <c r="T143" s="65">
        <f>2277</f>
        <v>2277</v>
      </c>
      <c r="U143" s="65" t="str">
        <f t="shared" si="4"/>
        <v>－</v>
      </c>
      <c r="V143" s="65">
        <f>38586490</f>
        <v>38586490</v>
      </c>
      <c r="W143" s="65" t="str">
        <f t="shared" si="5"/>
        <v>－</v>
      </c>
      <c r="X143" s="69">
        <f>21</f>
        <v>21</v>
      </c>
    </row>
    <row r="144" spans="1:24">
      <c r="A144" s="60" t="s">
        <v>853</v>
      </c>
      <c r="B144" s="60" t="s">
        <v>478</v>
      </c>
      <c r="C144" s="60" t="s">
        <v>479</v>
      </c>
      <c r="D144" s="60" t="s">
        <v>480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10750</f>
        <v>10750</v>
      </c>
      <c r="L144" s="67" t="s">
        <v>840</v>
      </c>
      <c r="M144" s="66">
        <f>11220</f>
        <v>11220</v>
      </c>
      <c r="N144" s="67" t="s">
        <v>72</v>
      </c>
      <c r="O144" s="66">
        <f>9960</f>
        <v>9960</v>
      </c>
      <c r="P144" s="67" t="s">
        <v>51</v>
      </c>
      <c r="Q144" s="66">
        <f>10020</f>
        <v>10020</v>
      </c>
      <c r="R144" s="67" t="s">
        <v>51</v>
      </c>
      <c r="S144" s="68">
        <f>10724.29</f>
        <v>10724.29</v>
      </c>
      <c r="T144" s="65">
        <f>9701</f>
        <v>9701</v>
      </c>
      <c r="U144" s="65" t="str">
        <f t="shared" si="4"/>
        <v>－</v>
      </c>
      <c r="V144" s="65">
        <f>104607700</f>
        <v>104607700</v>
      </c>
      <c r="W144" s="65" t="str">
        <f t="shared" si="5"/>
        <v>－</v>
      </c>
      <c r="X144" s="69">
        <f>21</f>
        <v>21</v>
      </c>
    </row>
    <row r="145" spans="1:24">
      <c r="A145" s="60" t="s">
        <v>853</v>
      </c>
      <c r="B145" s="60" t="s">
        <v>481</v>
      </c>
      <c r="C145" s="60" t="s">
        <v>482</v>
      </c>
      <c r="D145" s="60" t="s">
        <v>483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32450</f>
        <v>32450</v>
      </c>
      <c r="L145" s="67" t="s">
        <v>840</v>
      </c>
      <c r="M145" s="66">
        <f>33250</f>
        <v>33250</v>
      </c>
      <c r="N145" s="67" t="s">
        <v>820</v>
      </c>
      <c r="O145" s="66">
        <f>30400</f>
        <v>30400</v>
      </c>
      <c r="P145" s="67" t="s">
        <v>51</v>
      </c>
      <c r="Q145" s="66">
        <f>30400</f>
        <v>30400</v>
      </c>
      <c r="R145" s="67" t="s">
        <v>51</v>
      </c>
      <c r="S145" s="68">
        <f>32239.29</f>
        <v>32239.29</v>
      </c>
      <c r="T145" s="65">
        <f>87</f>
        <v>87</v>
      </c>
      <c r="U145" s="65" t="str">
        <f t="shared" si="4"/>
        <v>－</v>
      </c>
      <c r="V145" s="65">
        <f>2824000</f>
        <v>2824000</v>
      </c>
      <c r="W145" s="65" t="str">
        <f t="shared" si="5"/>
        <v>－</v>
      </c>
      <c r="X145" s="69">
        <f>14</f>
        <v>14</v>
      </c>
    </row>
    <row r="146" spans="1:24">
      <c r="A146" s="60" t="s">
        <v>853</v>
      </c>
      <c r="B146" s="60" t="s">
        <v>484</v>
      </c>
      <c r="C146" s="60" t="s">
        <v>485</v>
      </c>
      <c r="D146" s="60" t="s">
        <v>486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20780</f>
        <v>20780</v>
      </c>
      <c r="L146" s="67" t="s">
        <v>840</v>
      </c>
      <c r="M146" s="66">
        <f>21450</f>
        <v>21450</v>
      </c>
      <c r="N146" s="67" t="s">
        <v>119</v>
      </c>
      <c r="O146" s="66">
        <f>20070</f>
        <v>20070</v>
      </c>
      <c r="P146" s="67" t="s">
        <v>51</v>
      </c>
      <c r="Q146" s="66">
        <f>20070</f>
        <v>20070</v>
      </c>
      <c r="R146" s="67" t="s">
        <v>51</v>
      </c>
      <c r="S146" s="68">
        <f>20823</f>
        <v>20823</v>
      </c>
      <c r="T146" s="65">
        <f>1266</f>
        <v>1266</v>
      </c>
      <c r="U146" s="65" t="str">
        <f t="shared" si="4"/>
        <v>－</v>
      </c>
      <c r="V146" s="65">
        <f>26210470</f>
        <v>26210470</v>
      </c>
      <c r="W146" s="65" t="str">
        <f t="shared" si="5"/>
        <v>－</v>
      </c>
      <c r="X146" s="69">
        <f>20</f>
        <v>20</v>
      </c>
    </row>
    <row r="147" spans="1:24">
      <c r="A147" s="60" t="s">
        <v>853</v>
      </c>
      <c r="B147" s="60" t="s">
        <v>487</v>
      </c>
      <c r="C147" s="60" t="s">
        <v>488</v>
      </c>
      <c r="D147" s="60" t="s">
        <v>489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24040</f>
        <v>24040</v>
      </c>
      <c r="L147" s="67" t="s">
        <v>840</v>
      </c>
      <c r="M147" s="66">
        <f>25110</f>
        <v>25110</v>
      </c>
      <c r="N147" s="67" t="s">
        <v>61</v>
      </c>
      <c r="O147" s="66">
        <f>23550</f>
        <v>23550</v>
      </c>
      <c r="P147" s="67" t="s">
        <v>51</v>
      </c>
      <c r="Q147" s="66">
        <f>23550</f>
        <v>23550</v>
      </c>
      <c r="R147" s="67" t="s">
        <v>51</v>
      </c>
      <c r="S147" s="68">
        <f>24240</f>
        <v>24240</v>
      </c>
      <c r="T147" s="65">
        <f>4693</f>
        <v>4693</v>
      </c>
      <c r="U147" s="65" t="str">
        <f t="shared" si="4"/>
        <v>－</v>
      </c>
      <c r="V147" s="65">
        <f>114040690</f>
        <v>114040690</v>
      </c>
      <c r="W147" s="65" t="str">
        <f t="shared" si="5"/>
        <v>－</v>
      </c>
      <c r="X147" s="69">
        <f>21</f>
        <v>21</v>
      </c>
    </row>
    <row r="148" spans="1:24">
      <c r="A148" s="60" t="s">
        <v>853</v>
      </c>
      <c r="B148" s="60" t="s">
        <v>490</v>
      </c>
      <c r="C148" s="60" t="s">
        <v>491</v>
      </c>
      <c r="D148" s="60" t="s">
        <v>492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6500</f>
        <v>6500</v>
      </c>
      <c r="L148" s="67" t="s">
        <v>840</v>
      </c>
      <c r="M148" s="66">
        <f>6500</f>
        <v>6500</v>
      </c>
      <c r="N148" s="67" t="s">
        <v>840</v>
      </c>
      <c r="O148" s="66">
        <f>5680</f>
        <v>5680</v>
      </c>
      <c r="P148" s="67" t="s">
        <v>51</v>
      </c>
      <c r="Q148" s="66">
        <f>5680</f>
        <v>5680</v>
      </c>
      <c r="R148" s="67" t="s">
        <v>51</v>
      </c>
      <c r="S148" s="68">
        <f>6205.24</f>
        <v>6205.24</v>
      </c>
      <c r="T148" s="65">
        <f>4870</f>
        <v>4870</v>
      </c>
      <c r="U148" s="65" t="str">
        <f t="shared" si="4"/>
        <v>－</v>
      </c>
      <c r="V148" s="65">
        <f>30268950</f>
        <v>30268950</v>
      </c>
      <c r="W148" s="65" t="str">
        <f t="shared" si="5"/>
        <v>－</v>
      </c>
      <c r="X148" s="69">
        <f>21</f>
        <v>21</v>
      </c>
    </row>
    <row r="149" spans="1:24">
      <c r="A149" s="60" t="s">
        <v>853</v>
      </c>
      <c r="B149" s="60" t="s">
        <v>493</v>
      </c>
      <c r="C149" s="60" t="s">
        <v>494</v>
      </c>
      <c r="D149" s="60" t="s">
        <v>495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15040</f>
        <v>15040</v>
      </c>
      <c r="L149" s="67" t="s">
        <v>840</v>
      </c>
      <c r="M149" s="66">
        <f>15040</f>
        <v>15040</v>
      </c>
      <c r="N149" s="67" t="s">
        <v>840</v>
      </c>
      <c r="O149" s="66">
        <f>11820</f>
        <v>11820</v>
      </c>
      <c r="P149" s="67" t="s">
        <v>51</v>
      </c>
      <c r="Q149" s="66">
        <f>11820</f>
        <v>11820</v>
      </c>
      <c r="R149" s="67" t="s">
        <v>51</v>
      </c>
      <c r="S149" s="68">
        <f>13696.19</f>
        <v>13696.19</v>
      </c>
      <c r="T149" s="65">
        <f>12181</f>
        <v>12181</v>
      </c>
      <c r="U149" s="65" t="str">
        <f t="shared" si="4"/>
        <v>－</v>
      </c>
      <c r="V149" s="65">
        <f>160654280</f>
        <v>160654280</v>
      </c>
      <c r="W149" s="65" t="str">
        <f t="shared" si="5"/>
        <v>－</v>
      </c>
      <c r="X149" s="69">
        <f>21</f>
        <v>21</v>
      </c>
    </row>
    <row r="150" spans="1:24">
      <c r="A150" s="60" t="s">
        <v>853</v>
      </c>
      <c r="B150" s="60" t="s">
        <v>496</v>
      </c>
      <c r="C150" s="60" t="s">
        <v>497</v>
      </c>
      <c r="D150" s="60" t="s">
        <v>498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30050</f>
        <v>30050</v>
      </c>
      <c r="L150" s="67" t="s">
        <v>840</v>
      </c>
      <c r="M150" s="66">
        <f>30200</f>
        <v>30200</v>
      </c>
      <c r="N150" s="67" t="s">
        <v>100</v>
      </c>
      <c r="O150" s="66">
        <f>27910</f>
        <v>27910</v>
      </c>
      <c r="P150" s="67" t="s">
        <v>51</v>
      </c>
      <c r="Q150" s="66">
        <f>27910</f>
        <v>27910</v>
      </c>
      <c r="R150" s="67" t="s">
        <v>51</v>
      </c>
      <c r="S150" s="68">
        <f>29414.44</f>
        <v>29414.44</v>
      </c>
      <c r="T150" s="65">
        <f>446</f>
        <v>446</v>
      </c>
      <c r="U150" s="65" t="str">
        <f t="shared" si="4"/>
        <v>－</v>
      </c>
      <c r="V150" s="65">
        <f>13078330</f>
        <v>13078330</v>
      </c>
      <c r="W150" s="65" t="str">
        <f t="shared" si="5"/>
        <v>－</v>
      </c>
      <c r="X150" s="69">
        <f>18</f>
        <v>18</v>
      </c>
    </row>
    <row r="151" spans="1:24">
      <c r="A151" s="60" t="s">
        <v>853</v>
      </c>
      <c r="B151" s="60" t="s">
        <v>499</v>
      </c>
      <c r="C151" s="60" t="s">
        <v>500</v>
      </c>
      <c r="D151" s="60" t="s">
        <v>501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20500</f>
        <v>20500</v>
      </c>
      <c r="L151" s="67" t="s">
        <v>48</v>
      </c>
      <c r="M151" s="66">
        <f>20500</f>
        <v>20500</v>
      </c>
      <c r="N151" s="67" t="s">
        <v>48</v>
      </c>
      <c r="O151" s="66">
        <f>19740</f>
        <v>19740</v>
      </c>
      <c r="P151" s="67" t="s">
        <v>51</v>
      </c>
      <c r="Q151" s="66">
        <f>19740</f>
        <v>19740</v>
      </c>
      <c r="R151" s="67" t="s">
        <v>51</v>
      </c>
      <c r="S151" s="68">
        <f>20266.67</f>
        <v>20266.669999999998</v>
      </c>
      <c r="T151" s="65">
        <f>47</f>
        <v>47</v>
      </c>
      <c r="U151" s="65" t="str">
        <f t="shared" si="4"/>
        <v>－</v>
      </c>
      <c r="V151" s="65">
        <f>955420</f>
        <v>955420</v>
      </c>
      <c r="W151" s="65" t="str">
        <f t="shared" si="5"/>
        <v>－</v>
      </c>
      <c r="X151" s="69">
        <f>9</f>
        <v>9</v>
      </c>
    </row>
    <row r="152" spans="1:24">
      <c r="A152" s="60" t="s">
        <v>853</v>
      </c>
      <c r="B152" s="60" t="s">
        <v>502</v>
      </c>
      <c r="C152" s="60" t="s">
        <v>503</v>
      </c>
      <c r="D152" s="60" t="s">
        <v>504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7030</f>
        <v>7030</v>
      </c>
      <c r="L152" s="67" t="s">
        <v>840</v>
      </c>
      <c r="M152" s="66">
        <f>7300</f>
        <v>7300</v>
      </c>
      <c r="N152" s="67" t="s">
        <v>820</v>
      </c>
      <c r="O152" s="66">
        <f>5690</f>
        <v>5690</v>
      </c>
      <c r="P152" s="67" t="s">
        <v>51</v>
      </c>
      <c r="Q152" s="66">
        <f>5690</f>
        <v>5690</v>
      </c>
      <c r="R152" s="67" t="s">
        <v>51</v>
      </c>
      <c r="S152" s="68">
        <f>6469.05</f>
        <v>6469.05</v>
      </c>
      <c r="T152" s="65">
        <f>81869</f>
        <v>81869</v>
      </c>
      <c r="U152" s="65">
        <f>18</f>
        <v>18</v>
      </c>
      <c r="V152" s="65">
        <f>512429240</f>
        <v>512429240</v>
      </c>
      <c r="W152" s="65">
        <f>110160</f>
        <v>110160</v>
      </c>
      <c r="X152" s="69">
        <f>21</f>
        <v>21</v>
      </c>
    </row>
    <row r="153" spans="1:24">
      <c r="A153" s="60" t="s">
        <v>853</v>
      </c>
      <c r="B153" s="60" t="s">
        <v>505</v>
      </c>
      <c r="C153" s="60" t="s">
        <v>506</v>
      </c>
      <c r="D153" s="60" t="s">
        <v>507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f>10710</f>
        <v>10710</v>
      </c>
      <c r="L153" s="67" t="s">
        <v>840</v>
      </c>
      <c r="M153" s="66">
        <f>10950</f>
        <v>10950</v>
      </c>
      <c r="N153" s="67" t="s">
        <v>100</v>
      </c>
      <c r="O153" s="66">
        <f>9800</f>
        <v>9800</v>
      </c>
      <c r="P153" s="67" t="s">
        <v>51</v>
      </c>
      <c r="Q153" s="66">
        <f>9800</f>
        <v>9800</v>
      </c>
      <c r="R153" s="67" t="s">
        <v>51</v>
      </c>
      <c r="S153" s="68">
        <f>10465.79</f>
        <v>10465.790000000001</v>
      </c>
      <c r="T153" s="65">
        <f>2321</f>
        <v>2321</v>
      </c>
      <c r="U153" s="65" t="str">
        <f>"－"</f>
        <v>－</v>
      </c>
      <c r="V153" s="65">
        <f>23925780</f>
        <v>23925780</v>
      </c>
      <c r="W153" s="65" t="str">
        <f>"－"</f>
        <v>－</v>
      </c>
      <c r="X153" s="69">
        <f>19</f>
        <v>19</v>
      </c>
    </row>
    <row r="154" spans="1:24">
      <c r="A154" s="60" t="s">
        <v>853</v>
      </c>
      <c r="B154" s="60" t="s">
        <v>508</v>
      </c>
      <c r="C154" s="60" t="s">
        <v>509</v>
      </c>
      <c r="D154" s="60" t="s">
        <v>510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f>24500</f>
        <v>24500</v>
      </c>
      <c r="L154" s="67" t="s">
        <v>840</v>
      </c>
      <c r="M154" s="66">
        <f>24500</f>
        <v>24500</v>
      </c>
      <c r="N154" s="67" t="s">
        <v>840</v>
      </c>
      <c r="O154" s="66">
        <f>20970</f>
        <v>20970</v>
      </c>
      <c r="P154" s="67" t="s">
        <v>51</v>
      </c>
      <c r="Q154" s="66">
        <f>20970</f>
        <v>20970</v>
      </c>
      <c r="R154" s="67" t="s">
        <v>51</v>
      </c>
      <c r="S154" s="68">
        <f>22734.76</f>
        <v>22734.76</v>
      </c>
      <c r="T154" s="65">
        <f>3827</f>
        <v>3827</v>
      </c>
      <c r="U154" s="65" t="str">
        <f>"－"</f>
        <v>－</v>
      </c>
      <c r="V154" s="65">
        <f>86499210</f>
        <v>86499210</v>
      </c>
      <c r="W154" s="65" t="str">
        <f>"－"</f>
        <v>－</v>
      </c>
      <c r="X154" s="69">
        <f>21</f>
        <v>21</v>
      </c>
    </row>
    <row r="155" spans="1:24">
      <c r="A155" s="60" t="s">
        <v>853</v>
      </c>
      <c r="B155" s="60" t="s">
        <v>511</v>
      </c>
      <c r="C155" s="60" t="s">
        <v>512</v>
      </c>
      <c r="D155" s="60" t="s">
        <v>513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10</v>
      </c>
      <c r="K155" s="66">
        <f>827</f>
        <v>827</v>
      </c>
      <c r="L155" s="67" t="s">
        <v>840</v>
      </c>
      <c r="M155" s="66">
        <f>845</f>
        <v>845</v>
      </c>
      <c r="N155" s="67" t="s">
        <v>72</v>
      </c>
      <c r="O155" s="66">
        <f>776</f>
        <v>776</v>
      </c>
      <c r="P155" s="67" t="s">
        <v>51</v>
      </c>
      <c r="Q155" s="66">
        <f>776</f>
        <v>776</v>
      </c>
      <c r="R155" s="67" t="s">
        <v>51</v>
      </c>
      <c r="S155" s="68">
        <f>822.24</f>
        <v>822.24</v>
      </c>
      <c r="T155" s="65">
        <f>257320</f>
        <v>257320</v>
      </c>
      <c r="U155" s="65" t="str">
        <f>"－"</f>
        <v>－</v>
      </c>
      <c r="V155" s="65">
        <f>210515990</f>
        <v>210515990</v>
      </c>
      <c r="W155" s="65" t="str">
        <f>"－"</f>
        <v>－</v>
      </c>
      <c r="X155" s="69">
        <f>21</f>
        <v>21</v>
      </c>
    </row>
    <row r="156" spans="1:24">
      <c r="A156" s="60" t="s">
        <v>853</v>
      </c>
      <c r="B156" s="60" t="s">
        <v>514</v>
      </c>
      <c r="C156" s="60" t="s">
        <v>515</v>
      </c>
      <c r="D156" s="60" t="s">
        <v>516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1996</f>
        <v>1996</v>
      </c>
      <c r="L156" s="67" t="s">
        <v>840</v>
      </c>
      <c r="M156" s="66">
        <f>2011</f>
        <v>2011</v>
      </c>
      <c r="N156" s="67" t="s">
        <v>100</v>
      </c>
      <c r="O156" s="66">
        <f>1898</f>
        <v>1898</v>
      </c>
      <c r="P156" s="67" t="s">
        <v>51</v>
      </c>
      <c r="Q156" s="66">
        <f>1898</f>
        <v>1898</v>
      </c>
      <c r="R156" s="67" t="s">
        <v>51</v>
      </c>
      <c r="S156" s="68">
        <f>1977.57</f>
        <v>1977.57</v>
      </c>
      <c r="T156" s="65">
        <f>2420</f>
        <v>2420</v>
      </c>
      <c r="U156" s="65" t="str">
        <f>"－"</f>
        <v>－</v>
      </c>
      <c r="V156" s="65">
        <f>4658450</f>
        <v>4658450</v>
      </c>
      <c r="W156" s="65" t="str">
        <f>"－"</f>
        <v>－</v>
      </c>
      <c r="X156" s="69">
        <f>14</f>
        <v>14</v>
      </c>
    </row>
    <row r="157" spans="1:24">
      <c r="A157" s="60" t="s">
        <v>853</v>
      </c>
      <c r="B157" s="60" t="s">
        <v>517</v>
      </c>
      <c r="C157" s="60" t="s">
        <v>518</v>
      </c>
      <c r="D157" s="60" t="s">
        <v>519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10</v>
      </c>
      <c r="K157" s="66">
        <f>2012</f>
        <v>2012</v>
      </c>
      <c r="L157" s="67" t="s">
        <v>840</v>
      </c>
      <c r="M157" s="66">
        <f>2024</f>
        <v>2024</v>
      </c>
      <c r="N157" s="67" t="s">
        <v>48</v>
      </c>
      <c r="O157" s="66">
        <f>1903</f>
        <v>1903</v>
      </c>
      <c r="P157" s="67" t="s">
        <v>51</v>
      </c>
      <c r="Q157" s="66">
        <f>1903</f>
        <v>1903</v>
      </c>
      <c r="R157" s="67" t="s">
        <v>51</v>
      </c>
      <c r="S157" s="68">
        <f>1991.95</f>
        <v>1991.95</v>
      </c>
      <c r="T157" s="65">
        <f>28070</f>
        <v>28070</v>
      </c>
      <c r="U157" s="65">
        <f>13800</f>
        <v>13800</v>
      </c>
      <c r="V157" s="65">
        <f>56435623</f>
        <v>56435623</v>
      </c>
      <c r="W157" s="65">
        <f>27875523</f>
        <v>27875523</v>
      </c>
      <c r="X157" s="69">
        <f>20</f>
        <v>20</v>
      </c>
    </row>
    <row r="158" spans="1:24">
      <c r="A158" s="60" t="s">
        <v>853</v>
      </c>
      <c r="B158" s="60" t="s">
        <v>520</v>
      </c>
      <c r="C158" s="60" t="s">
        <v>521</v>
      </c>
      <c r="D158" s="60" t="s">
        <v>522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10</v>
      </c>
      <c r="K158" s="66">
        <f>1177</f>
        <v>1177</v>
      </c>
      <c r="L158" s="67" t="s">
        <v>814</v>
      </c>
      <c r="M158" s="66">
        <f>1181</f>
        <v>1181</v>
      </c>
      <c r="N158" s="67" t="s">
        <v>309</v>
      </c>
      <c r="O158" s="66">
        <f>1121</f>
        <v>1121</v>
      </c>
      <c r="P158" s="67" t="s">
        <v>51</v>
      </c>
      <c r="Q158" s="66">
        <f>1121</f>
        <v>1121</v>
      </c>
      <c r="R158" s="67" t="s">
        <v>51</v>
      </c>
      <c r="S158" s="68">
        <f>1163.45</f>
        <v>1163.45</v>
      </c>
      <c r="T158" s="65">
        <f>460</f>
        <v>460</v>
      </c>
      <c r="U158" s="65" t="str">
        <f>"－"</f>
        <v>－</v>
      </c>
      <c r="V158" s="65">
        <f>533780</f>
        <v>533780</v>
      </c>
      <c r="W158" s="65" t="str">
        <f>"－"</f>
        <v>－</v>
      </c>
      <c r="X158" s="69">
        <f>11</f>
        <v>11</v>
      </c>
    </row>
    <row r="159" spans="1:24">
      <c r="A159" s="60" t="s">
        <v>853</v>
      </c>
      <c r="B159" s="60" t="s">
        <v>523</v>
      </c>
      <c r="C159" s="60" t="s">
        <v>524</v>
      </c>
      <c r="D159" s="60" t="s">
        <v>525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</v>
      </c>
      <c r="K159" s="66">
        <f>2392</f>
        <v>2392</v>
      </c>
      <c r="L159" s="67" t="s">
        <v>840</v>
      </c>
      <c r="M159" s="66">
        <f>2520</f>
        <v>2520</v>
      </c>
      <c r="N159" s="67" t="s">
        <v>150</v>
      </c>
      <c r="O159" s="66">
        <f>2378</f>
        <v>2378</v>
      </c>
      <c r="P159" s="67" t="s">
        <v>840</v>
      </c>
      <c r="Q159" s="66">
        <f>2435</f>
        <v>2435</v>
      </c>
      <c r="R159" s="67" t="s">
        <v>51</v>
      </c>
      <c r="S159" s="68">
        <f>2445.57</f>
        <v>2445.5700000000002</v>
      </c>
      <c r="T159" s="65">
        <f>2293415</f>
        <v>2293415</v>
      </c>
      <c r="U159" s="65">
        <f>166412</f>
        <v>166412</v>
      </c>
      <c r="V159" s="65">
        <f>5612224952</f>
        <v>5612224952</v>
      </c>
      <c r="W159" s="65">
        <f>405568289</f>
        <v>405568289</v>
      </c>
      <c r="X159" s="69">
        <f>21</f>
        <v>21</v>
      </c>
    </row>
    <row r="160" spans="1:24">
      <c r="A160" s="60" t="s">
        <v>853</v>
      </c>
      <c r="B160" s="60" t="s">
        <v>526</v>
      </c>
      <c r="C160" s="60" t="s">
        <v>527</v>
      </c>
      <c r="D160" s="60" t="s">
        <v>528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2742</f>
        <v>2742</v>
      </c>
      <c r="L160" s="67" t="s">
        <v>840</v>
      </c>
      <c r="M160" s="66">
        <f>2745</f>
        <v>2745</v>
      </c>
      <c r="N160" s="67" t="s">
        <v>840</v>
      </c>
      <c r="O160" s="66">
        <f>2656</f>
        <v>2656</v>
      </c>
      <c r="P160" s="67" t="s">
        <v>51</v>
      </c>
      <c r="Q160" s="66">
        <f>2660</f>
        <v>2660</v>
      </c>
      <c r="R160" s="67" t="s">
        <v>51</v>
      </c>
      <c r="S160" s="68">
        <f>2707.76</f>
        <v>2707.76</v>
      </c>
      <c r="T160" s="65">
        <f>655138</f>
        <v>655138</v>
      </c>
      <c r="U160" s="65">
        <f>401000</f>
        <v>401000</v>
      </c>
      <c r="V160" s="65">
        <f>1753712288</f>
        <v>1753712288</v>
      </c>
      <c r="W160" s="65">
        <f>1069870100</f>
        <v>1069870100</v>
      </c>
      <c r="X160" s="69">
        <f>21</f>
        <v>21</v>
      </c>
    </row>
    <row r="161" spans="1:24">
      <c r="A161" s="60" t="s">
        <v>853</v>
      </c>
      <c r="B161" s="60" t="s">
        <v>529</v>
      </c>
      <c r="C161" s="60" t="s">
        <v>530</v>
      </c>
      <c r="D161" s="60" t="s">
        <v>531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2157</f>
        <v>2157</v>
      </c>
      <c r="L161" s="67" t="s">
        <v>840</v>
      </c>
      <c r="M161" s="66">
        <f>2278</f>
        <v>2278</v>
      </c>
      <c r="N161" s="67" t="s">
        <v>150</v>
      </c>
      <c r="O161" s="66">
        <f>2149</f>
        <v>2149</v>
      </c>
      <c r="P161" s="67" t="s">
        <v>840</v>
      </c>
      <c r="Q161" s="66">
        <f>2196</f>
        <v>2196</v>
      </c>
      <c r="R161" s="67" t="s">
        <v>51</v>
      </c>
      <c r="S161" s="68">
        <f>2209.1</f>
        <v>2209.1</v>
      </c>
      <c r="T161" s="65">
        <f>270930</f>
        <v>270930</v>
      </c>
      <c r="U161" s="65">
        <f>228000</f>
        <v>228000</v>
      </c>
      <c r="V161" s="65">
        <f>599948736</f>
        <v>599948736</v>
      </c>
      <c r="W161" s="65">
        <f>505147600</f>
        <v>505147600</v>
      </c>
      <c r="X161" s="69">
        <f>21</f>
        <v>21</v>
      </c>
    </row>
    <row r="162" spans="1:24">
      <c r="A162" s="60" t="s">
        <v>853</v>
      </c>
      <c r="B162" s="60" t="s">
        <v>532</v>
      </c>
      <c r="C162" s="60" t="s">
        <v>533</v>
      </c>
      <c r="D162" s="60" t="s">
        <v>534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1749</f>
        <v>1749</v>
      </c>
      <c r="L162" s="67" t="s">
        <v>840</v>
      </c>
      <c r="M162" s="66">
        <f>1890</f>
        <v>1890</v>
      </c>
      <c r="N162" s="67" t="s">
        <v>309</v>
      </c>
      <c r="O162" s="66">
        <f>1727</f>
        <v>1727</v>
      </c>
      <c r="P162" s="67" t="s">
        <v>840</v>
      </c>
      <c r="Q162" s="66">
        <f>1832</f>
        <v>1832</v>
      </c>
      <c r="R162" s="67" t="s">
        <v>51</v>
      </c>
      <c r="S162" s="68">
        <f>1836.43</f>
        <v>1836.43</v>
      </c>
      <c r="T162" s="65">
        <f>66770</f>
        <v>66770</v>
      </c>
      <c r="U162" s="65">
        <f>53</f>
        <v>53</v>
      </c>
      <c r="V162" s="65">
        <f>122893463</f>
        <v>122893463</v>
      </c>
      <c r="W162" s="65">
        <f>96546</f>
        <v>96546</v>
      </c>
      <c r="X162" s="69">
        <f>21</f>
        <v>21</v>
      </c>
    </row>
    <row r="163" spans="1:24">
      <c r="A163" s="60" t="s">
        <v>853</v>
      </c>
      <c r="B163" s="60" t="s">
        <v>535</v>
      </c>
      <c r="C163" s="60" t="s">
        <v>536</v>
      </c>
      <c r="D163" s="60" t="s">
        <v>537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1756</f>
        <v>1756</v>
      </c>
      <c r="L163" s="67" t="s">
        <v>840</v>
      </c>
      <c r="M163" s="66">
        <f>1828</f>
        <v>1828</v>
      </c>
      <c r="N163" s="67" t="s">
        <v>48</v>
      </c>
      <c r="O163" s="66">
        <f>1686</f>
        <v>1686</v>
      </c>
      <c r="P163" s="67" t="s">
        <v>61</v>
      </c>
      <c r="Q163" s="66">
        <f>1741</f>
        <v>1741</v>
      </c>
      <c r="R163" s="67" t="s">
        <v>51</v>
      </c>
      <c r="S163" s="68">
        <f>1740</f>
        <v>1740</v>
      </c>
      <c r="T163" s="65">
        <f>367650</f>
        <v>367650</v>
      </c>
      <c r="U163" s="65" t="str">
        <f>"－"</f>
        <v>－</v>
      </c>
      <c r="V163" s="65">
        <f>640914499</f>
        <v>640914499</v>
      </c>
      <c r="W163" s="65" t="str">
        <f>"－"</f>
        <v>－</v>
      </c>
      <c r="X163" s="69">
        <f>21</f>
        <v>21</v>
      </c>
    </row>
    <row r="164" spans="1:24">
      <c r="A164" s="60" t="s">
        <v>853</v>
      </c>
      <c r="B164" s="60" t="s">
        <v>538</v>
      </c>
      <c r="C164" s="60" t="s">
        <v>539</v>
      </c>
      <c r="D164" s="60" t="s">
        <v>540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9020</f>
        <v>9020</v>
      </c>
      <c r="L164" s="67" t="s">
        <v>840</v>
      </c>
      <c r="M164" s="66">
        <f>9120</f>
        <v>9120</v>
      </c>
      <c r="N164" s="67" t="s">
        <v>65</v>
      </c>
      <c r="O164" s="66">
        <f>8720</f>
        <v>8720</v>
      </c>
      <c r="P164" s="67" t="s">
        <v>49</v>
      </c>
      <c r="Q164" s="66">
        <f>8910</f>
        <v>8910</v>
      </c>
      <c r="R164" s="67" t="s">
        <v>51</v>
      </c>
      <c r="S164" s="68">
        <f>8910.95</f>
        <v>8910.9500000000007</v>
      </c>
      <c r="T164" s="65">
        <f>22678</f>
        <v>22678</v>
      </c>
      <c r="U164" s="65">
        <f>100</f>
        <v>100</v>
      </c>
      <c r="V164" s="65">
        <f>202725970</f>
        <v>202725970</v>
      </c>
      <c r="W164" s="65">
        <f>877800</f>
        <v>877800</v>
      </c>
      <c r="X164" s="69">
        <f>21</f>
        <v>21</v>
      </c>
    </row>
    <row r="165" spans="1:24">
      <c r="A165" s="60" t="s">
        <v>853</v>
      </c>
      <c r="B165" s="60" t="s">
        <v>541</v>
      </c>
      <c r="C165" s="60" t="s">
        <v>542</v>
      </c>
      <c r="D165" s="60" t="s">
        <v>543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100</v>
      </c>
      <c r="K165" s="66">
        <f>114</f>
        <v>114</v>
      </c>
      <c r="L165" s="67" t="s">
        <v>840</v>
      </c>
      <c r="M165" s="66">
        <f>116</f>
        <v>116</v>
      </c>
      <c r="N165" s="67" t="s">
        <v>48</v>
      </c>
      <c r="O165" s="66">
        <f>110</f>
        <v>110</v>
      </c>
      <c r="P165" s="67" t="s">
        <v>51</v>
      </c>
      <c r="Q165" s="66">
        <f>111</f>
        <v>111</v>
      </c>
      <c r="R165" s="67" t="s">
        <v>51</v>
      </c>
      <c r="S165" s="68">
        <f>114.1</f>
        <v>114.1</v>
      </c>
      <c r="T165" s="65">
        <f>20400</f>
        <v>20400</v>
      </c>
      <c r="U165" s="65" t="str">
        <f>"－"</f>
        <v>－</v>
      </c>
      <c r="V165" s="65">
        <f>2324600</f>
        <v>2324600</v>
      </c>
      <c r="W165" s="65" t="str">
        <f>"－"</f>
        <v>－</v>
      </c>
      <c r="X165" s="69">
        <f>20</f>
        <v>20</v>
      </c>
    </row>
    <row r="166" spans="1:24">
      <c r="A166" s="60" t="s">
        <v>853</v>
      </c>
      <c r="B166" s="60" t="s">
        <v>544</v>
      </c>
      <c r="C166" s="60" t="s">
        <v>545</v>
      </c>
      <c r="D166" s="60" t="s">
        <v>546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</v>
      </c>
      <c r="K166" s="66">
        <f>854</f>
        <v>854</v>
      </c>
      <c r="L166" s="67" t="s">
        <v>840</v>
      </c>
      <c r="M166" s="66">
        <f>890</f>
        <v>890</v>
      </c>
      <c r="N166" s="67" t="s">
        <v>309</v>
      </c>
      <c r="O166" s="66">
        <f>836</f>
        <v>836</v>
      </c>
      <c r="P166" s="67" t="s">
        <v>61</v>
      </c>
      <c r="Q166" s="66">
        <f>842</f>
        <v>842</v>
      </c>
      <c r="R166" s="67" t="s">
        <v>51</v>
      </c>
      <c r="S166" s="68">
        <f>865.52</f>
        <v>865.52</v>
      </c>
      <c r="T166" s="65">
        <f>71958677</f>
        <v>71958677</v>
      </c>
      <c r="U166" s="65">
        <f>111842</f>
        <v>111842</v>
      </c>
      <c r="V166" s="65">
        <f>62212421015</f>
        <v>62212421015</v>
      </c>
      <c r="W166" s="65">
        <f>97469912</f>
        <v>97469912</v>
      </c>
      <c r="X166" s="69">
        <f>21</f>
        <v>21</v>
      </c>
    </row>
    <row r="167" spans="1:24">
      <c r="A167" s="60" t="s">
        <v>853</v>
      </c>
      <c r="B167" s="60" t="s">
        <v>737</v>
      </c>
      <c r="C167" s="60" t="s">
        <v>738</v>
      </c>
      <c r="D167" s="60" t="s">
        <v>739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f>18900</f>
        <v>18900</v>
      </c>
      <c r="L167" s="67" t="s">
        <v>840</v>
      </c>
      <c r="M167" s="66">
        <f>26600</f>
        <v>26600</v>
      </c>
      <c r="N167" s="67" t="s">
        <v>245</v>
      </c>
      <c r="O167" s="66">
        <f>18260</f>
        <v>18260</v>
      </c>
      <c r="P167" s="67" t="s">
        <v>833</v>
      </c>
      <c r="Q167" s="66">
        <f>20800</f>
        <v>20800</v>
      </c>
      <c r="R167" s="67" t="s">
        <v>51</v>
      </c>
      <c r="S167" s="68">
        <f>19790</f>
        <v>19790</v>
      </c>
      <c r="T167" s="65">
        <f>16708</f>
        <v>16708</v>
      </c>
      <c r="U167" s="65" t="str">
        <f>"－"</f>
        <v>－</v>
      </c>
      <c r="V167" s="65">
        <f>353736040</f>
        <v>353736040</v>
      </c>
      <c r="W167" s="65" t="str">
        <f>"－"</f>
        <v>－</v>
      </c>
      <c r="X167" s="69">
        <f>21</f>
        <v>21</v>
      </c>
    </row>
    <row r="168" spans="1:24">
      <c r="A168" s="60" t="s">
        <v>853</v>
      </c>
      <c r="B168" s="60" t="s">
        <v>740</v>
      </c>
      <c r="C168" s="60" t="s">
        <v>741</v>
      </c>
      <c r="D168" s="60" t="s">
        <v>742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10</v>
      </c>
      <c r="K168" s="66">
        <f>1918</f>
        <v>1918</v>
      </c>
      <c r="L168" s="67" t="s">
        <v>840</v>
      </c>
      <c r="M168" s="66">
        <f>2886</f>
        <v>2886</v>
      </c>
      <c r="N168" s="67" t="s">
        <v>245</v>
      </c>
      <c r="O168" s="66">
        <f>1865</f>
        <v>1865</v>
      </c>
      <c r="P168" s="67" t="s">
        <v>833</v>
      </c>
      <c r="Q168" s="66">
        <f>2365</f>
        <v>2365</v>
      </c>
      <c r="R168" s="67" t="s">
        <v>51</v>
      </c>
      <c r="S168" s="68">
        <f>2111</f>
        <v>2111</v>
      </c>
      <c r="T168" s="65">
        <f>115830</f>
        <v>115830</v>
      </c>
      <c r="U168" s="65" t="str">
        <f>"－"</f>
        <v>－</v>
      </c>
      <c r="V168" s="65">
        <f>271445720</f>
        <v>271445720</v>
      </c>
      <c r="W168" s="65" t="str">
        <f>"－"</f>
        <v>－</v>
      </c>
      <c r="X168" s="69">
        <f>21</f>
        <v>21</v>
      </c>
    </row>
    <row r="169" spans="1:24">
      <c r="A169" s="60" t="s">
        <v>853</v>
      </c>
      <c r="B169" s="60" t="s">
        <v>743</v>
      </c>
      <c r="C169" s="60" t="s">
        <v>744</v>
      </c>
      <c r="D169" s="60" t="s">
        <v>745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</v>
      </c>
      <c r="K169" s="66">
        <f>10090</f>
        <v>10090</v>
      </c>
      <c r="L169" s="67" t="s">
        <v>840</v>
      </c>
      <c r="M169" s="66">
        <f>10490</f>
        <v>10490</v>
      </c>
      <c r="N169" s="67" t="s">
        <v>95</v>
      </c>
      <c r="O169" s="66">
        <f>8750</f>
        <v>8750</v>
      </c>
      <c r="P169" s="67" t="s">
        <v>820</v>
      </c>
      <c r="Q169" s="66">
        <f>9340</f>
        <v>9340</v>
      </c>
      <c r="R169" s="67" t="s">
        <v>51</v>
      </c>
      <c r="S169" s="68">
        <f>9263.81</f>
        <v>9263.81</v>
      </c>
      <c r="T169" s="65">
        <f>14329</f>
        <v>14329</v>
      </c>
      <c r="U169" s="65" t="str">
        <f>"－"</f>
        <v>－</v>
      </c>
      <c r="V169" s="65">
        <f>134783690</f>
        <v>134783690</v>
      </c>
      <c r="W169" s="65" t="str">
        <f>"－"</f>
        <v>－</v>
      </c>
      <c r="X169" s="69">
        <f>21</f>
        <v>21</v>
      </c>
    </row>
    <row r="170" spans="1:24">
      <c r="A170" s="60" t="s">
        <v>853</v>
      </c>
      <c r="B170" s="60" t="s">
        <v>746</v>
      </c>
      <c r="C170" s="60" t="s">
        <v>747</v>
      </c>
      <c r="D170" s="60" t="s">
        <v>748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</v>
      </c>
      <c r="K170" s="66">
        <f>22390</f>
        <v>22390</v>
      </c>
      <c r="L170" s="67" t="s">
        <v>840</v>
      </c>
      <c r="M170" s="66">
        <f>24780</f>
        <v>24780</v>
      </c>
      <c r="N170" s="67" t="s">
        <v>245</v>
      </c>
      <c r="O170" s="66">
        <f>20000</f>
        <v>20000</v>
      </c>
      <c r="P170" s="67" t="s">
        <v>65</v>
      </c>
      <c r="Q170" s="66">
        <f>22500</f>
        <v>22500</v>
      </c>
      <c r="R170" s="67" t="s">
        <v>50</v>
      </c>
      <c r="S170" s="68">
        <f>21795.56</f>
        <v>21795.56</v>
      </c>
      <c r="T170" s="65">
        <f>386</f>
        <v>386</v>
      </c>
      <c r="U170" s="65" t="str">
        <f>"－"</f>
        <v>－</v>
      </c>
      <c r="V170" s="65">
        <f>8697420</f>
        <v>8697420</v>
      </c>
      <c r="W170" s="65" t="str">
        <f>"－"</f>
        <v>－</v>
      </c>
      <c r="X170" s="69">
        <f>18</f>
        <v>18</v>
      </c>
    </row>
    <row r="171" spans="1:24">
      <c r="A171" s="60" t="s">
        <v>853</v>
      </c>
      <c r="B171" s="60" t="s">
        <v>749</v>
      </c>
      <c r="C171" s="60" t="s">
        <v>750</v>
      </c>
      <c r="D171" s="60" t="s">
        <v>751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</v>
      </c>
      <c r="K171" s="66">
        <f>14240</f>
        <v>14240</v>
      </c>
      <c r="L171" s="67" t="s">
        <v>820</v>
      </c>
      <c r="M171" s="66">
        <f>16580</f>
        <v>16580</v>
      </c>
      <c r="N171" s="67" t="s">
        <v>95</v>
      </c>
      <c r="O171" s="66">
        <f>14240</f>
        <v>14240</v>
      </c>
      <c r="P171" s="67" t="s">
        <v>820</v>
      </c>
      <c r="Q171" s="66">
        <f>15770</f>
        <v>15770</v>
      </c>
      <c r="R171" s="67" t="s">
        <v>50</v>
      </c>
      <c r="S171" s="68">
        <f>15370</f>
        <v>15370</v>
      </c>
      <c r="T171" s="65">
        <f>99</f>
        <v>99</v>
      </c>
      <c r="U171" s="65" t="str">
        <f>"－"</f>
        <v>－</v>
      </c>
      <c r="V171" s="65">
        <f>1541170</f>
        <v>1541170</v>
      </c>
      <c r="W171" s="65" t="str">
        <f>"－"</f>
        <v>－</v>
      </c>
      <c r="X171" s="69">
        <f>6</f>
        <v>6</v>
      </c>
    </row>
    <row r="172" spans="1:24">
      <c r="A172" s="60" t="s">
        <v>853</v>
      </c>
      <c r="B172" s="60" t="s">
        <v>547</v>
      </c>
      <c r="C172" s="60" t="s">
        <v>548</v>
      </c>
      <c r="D172" s="60" t="s">
        <v>549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10</v>
      </c>
      <c r="K172" s="66">
        <f>51300</f>
        <v>51300</v>
      </c>
      <c r="L172" s="67" t="s">
        <v>840</v>
      </c>
      <c r="M172" s="66">
        <f>51800</f>
        <v>51800</v>
      </c>
      <c r="N172" s="67" t="s">
        <v>309</v>
      </c>
      <c r="O172" s="66">
        <f>50800</f>
        <v>50800</v>
      </c>
      <c r="P172" s="67" t="s">
        <v>61</v>
      </c>
      <c r="Q172" s="66">
        <f>51500</f>
        <v>51500</v>
      </c>
      <c r="R172" s="67" t="s">
        <v>51</v>
      </c>
      <c r="S172" s="68">
        <f>51352.38</f>
        <v>51352.38</v>
      </c>
      <c r="T172" s="65">
        <f>16650</f>
        <v>16650</v>
      </c>
      <c r="U172" s="65">
        <f>7900</f>
        <v>7900</v>
      </c>
      <c r="V172" s="65">
        <f>857034350</f>
        <v>857034350</v>
      </c>
      <c r="W172" s="65">
        <f>406163350</f>
        <v>406163350</v>
      </c>
      <c r="X172" s="69">
        <f>21</f>
        <v>21</v>
      </c>
    </row>
    <row r="173" spans="1:24">
      <c r="A173" s="60" t="s">
        <v>853</v>
      </c>
      <c r="B173" s="60" t="s">
        <v>550</v>
      </c>
      <c r="C173" s="60" t="s">
        <v>551</v>
      </c>
      <c r="D173" s="60" t="s">
        <v>552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100</v>
      </c>
      <c r="K173" s="66">
        <f>132</f>
        <v>132</v>
      </c>
      <c r="L173" s="67" t="s">
        <v>840</v>
      </c>
      <c r="M173" s="66">
        <f>144</f>
        <v>144</v>
      </c>
      <c r="N173" s="67" t="s">
        <v>150</v>
      </c>
      <c r="O173" s="66">
        <f>130</f>
        <v>130</v>
      </c>
      <c r="P173" s="67" t="s">
        <v>840</v>
      </c>
      <c r="Q173" s="66">
        <f>139</f>
        <v>139</v>
      </c>
      <c r="R173" s="67" t="s">
        <v>51</v>
      </c>
      <c r="S173" s="68">
        <f>138.48</f>
        <v>138.47999999999999</v>
      </c>
      <c r="T173" s="65">
        <f>8597100</f>
        <v>8597100</v>
      </c>
      <c r="U173" s="65">
        <f>23300</f>
        <v>23300</v>
      </c>
      <c r="V173" s="65">
        <f>1193344250</f>
        <v>1193344250</v>
      </c>
      <c r="W173" s="65">
        <f>3215050</f>
        <v>3215050</v>
      </c>
      <c r="X173" s="69">
        <f>21</f>
        <v>21</v>
      </c>
    </row>
    <row r="174" spans="1:24">
      <c r="A174" s="60" t="s">
        <v>853</v>
      </c>
      <c r="B174" s="60" t="s">
        <v>553</v>
      </c>
      <c r="C174" s="60" t="s">
        <v>554</v>
      </c>
      <c r="D174" s="60" t="s">
        <v>555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</v>
      </c>
      <c r="K174" s="66">
        <f>24770</f>
        <v>24770</v>
      </c>
      <c r="L174" s="67" t="s">
        <v>840</v>
      </c>
      <c r="M174" s="66">
        <f>25770</f>
        <v>25770</v>
      </c>
      <c r="N174" s="67" t="s">
        <v>150</v>
      </c>
      <c r="O174" s="66">
        <f>24300</f>
        <v>24300</v>
      </c>
      <c r="P174" s="67" t="s">
        <v>61</v>
      </c>
      <c r="Q174" s="66">
        <f>24470</f>
        <v>24470</v>
      </c>
      <c r="R174" s="67" t="s">
        <v>51</v>
      </c>
      <c r="S174" s="68">
        <f>25050.95</f>
        <v>25050.95</v>
      </c>
      <c r="T174" s="65">
        <f>5300</f>
        <v>5300</v>
      </c>
      <c r="U174" s="65">
        <f>10</f>
        <v>10</v>
      </c>
      <c r="V174" s="65">
        <f>132682200</f>
        <v>132682200</v>
      </c>
      <c r="W174" s="65">
        <f>248100</f>
        <v>248100</v>
      </c>
      <c r="X174" s="69">
        <f>21</f>
        <v>21</v>
      </c>
    </row>
    <row r="175" spans="1:24">
      <c r="A175" s="60" t="s">
        <v>853</v>
      </c>
      <c r="B175" s="60" t="s">
        <v>556</v>
      </c>
      <c r="C175" s="60" t="s">
        <v>557</v>
      </c>
      <c r="D175" s="60" t="s">
        <v>558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2466</f>
        <v>2466</v>
      </c>
      <c r="L175" s="67" t="s">
        <v>840</v>
      </c>
      <c r="M175" s="66">
        <f>2605</f>
        <v>2605</v>
      </c>
      <c r="N175" s="67" t="s">
        <v>150</v>
      </c>
      <c r="O175" s="66">
        <f>2452</f>
        <v>2452</v>
      </c>
      <c r="P175" s="67" t="s">
        <v>840</v>
      </c>
      <c r="Q175" s="66">
        <f>2507</f>
        <v>2507</v>
      </c>
      <c r="R175" s="67" t="s">
        <v>51</v>
      </c>
      <c r="S175" s="68">
        <f>2525.71</f>
        <v>2525.71</v>
      </c>
      <c r="T175" s="65">
        <f>70980</f>
        <v>70980</v>
      </c>
      <c r="U175" s="65" t="str">
        <f>"－"</f>
        <v>－</v>
      </c>
      <c r="V175" s="65">
        <f>179612980</f>
        <v>179612980</v>
      </c>
      <c r="W175" s="65" t="str">
        <f>"－"</f>
        <v>－</v>
      </c>
      <c r="X175" s="69">
        <f>21</f>
        <v>21</v>
      </c>
    </row>
    <row r="176" spans="1:24">
      <c r="A176" s="60" t="s">
        <v>853</v>
      </c>
      <c r="B176" s="60" t="s">
        <v>559</v>
      </c>
      <c r="C176" s="60" t="s">
        <v>560</v>
      </c>
      <c r="D176" s="60" t="s">
        <v>561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1352</f>
        <v>1352</v>
      </c>
      <c r="L176" s="67" t="s">
        <v>840</v>
      </c>
      <c r="M176" s="66">
        <f>1476</f>
        <v>1476</v>
      </c>
      <c r="N176" s="67" t="s">
        <v>150</v>
      </c>
      <c r="O176" s="66">
        <f>1345</f>
        <v>1345</v>
      </c>
      <c r="P176" s="67" t="s">
        <v>833</v>
      </c>
      <c r="Q176" s="66">
        <f>1426</f>
        <v>1426</v>
      </c>
      <c r="R176" s="67" t="s">
        <v>51</v>
      </c>
      <c r="S176" s="68">
        <f>1431.76</f>
        <v>1431.76</v>
      </c>
      <c r="T176" s="65">
        <f>186850</f>
        <v>186850</v>
      </c>
      <c r="U176" s="65">
        <f>260</f>
        <v>260</v>
      </c>
      <c r="V176" s="65">
        <f>266689780</f>
        <v>266689780</v>
      </c>
      <c r="W176" s="65">
        <f>370490</f>
        <v>370490</v>
      </c>
      <c r="X176" s="69">
        <f>21</f>
        <v>21</v>
      </c>
    </row>
    <row r="177" spans="1:24">
      <c r="A177" s="60" t="s">
        <v>853</v>
      </c>
      <c r="B177" s="60" t="s">
        <v>562</v>
      </c>
      <c r="C177" s="60" t="s">
        <v>854</v>
      </c>
      <c r="D177" s="60" t="s">
        <v>855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100</v>
      </c>
      <c r="K177" s="66">
        <f>152</f>
        <v>152</v>
      </c>
      <c r="L177" s="67" t="s">
        <v>840</v>
      </c>
      <c r="M177" s="66">
        <f>190</f>
        <v>190</v>
      </c>
      <c r="N177" s="67" t="s">
        <v>95</v>
      </c>
      <c r="O177" s="66">
        <f>151</f>
        <v>151</v>
      </c>
      <c r="P177" s="67" t="s">
        <v>840</v>
      </c>
      <c r="Q177" s="66">
        <f>167</f>
        <v>167</v>
      </c>
      <c r="R177" s="67" t="s">
        <v>51</v>
      </c>
      <c r="S177" s="68">
        <f>158.38</f>
        <v>158.38</v>
      </c>
      <c r="T177" s="65">
        <f>767200</f>
        <v>767200</v>
      </c>
      <c r="U177" s="65" t="str">
        <f t="shared" ref="U177:U193" si="6">"－"</f>
        <v>－</v>
      </c>
      <c r="V177" s="65">
        <f>129852900</f>
        <v>129852900</v>
      </c>
      <c r="W177" s="65" t="str">
        <f t="shared" ref="W177:W193" si="7">"－"</f>
        <v>－</v>
      </c>
      <c r="X177" s="69">
        <f>21</f>
        <v>21</v>
      </c>
    </row>
    <row r="178" spans="1:24">
      <c r="A178" s="60" t="s">
        <v>853</v>
      </c>
      <c r="B178" s="60" t="s">
        <v>565</v>
      </c>
      <c r="C178" s="60" t="s">
        <v>566</v>
      </c>
      <c r="D178" s="60" t="s">
        <v>567</v>
      </c>
      <c r="E178" s="61" t="s">
        <v>46</v>
      </c>
      <c r="F178" s="62" t="s">
        <v>46</v>
      </c>
      <c r="G178" s="63" t="s">
        <v>46</v>
      </c>
      <c r="H178" s="64" t="s">
        <v>843</v>
      </c>
      <c r="I178" s="64"/>
      <c r="J178" s="65">
        <v>10</v>
      </c>
      <c r="K178" s="66">
        <f>5300</f>
        <v>5300</v>
      </c>
      <c r="L178" s="67" t="s">
        <v>840</v>
      </c>
      <c r="M178" s="66">
        <f>6350</f>
        <v>6350</v>
      </c>
      <c r="N178" s="67" t="s">
        <v>95</v>
      </c>
      <c r="O178" s="66">
        <f>5060</f>
        <v>5060</v>
      </c>
      <c r="P178" s="67" t="s">
        <v>833</v>
      </c>
      <c r="Q178" s="66">
        <f>6000</f>
        <v>6000</v>
      </c>
      <c r="R178" s="67" t="s">
        <v>51</v>
      </c>
      <c r="S178" s="68">
        <f>5532.86</f>
        <v>5532.86</v>
      </c>
      <c r="T178" s="65">
        <f>9270</f>
        <v>9270</v>
      </c>
      <c r="U178" s="65" t="str">
        <f t="shared" si="6"/>
        <v>－</v>
      </c>
      <c r="V178" s="65">
        <f>52876800</f>
        <v>52876800</v>
      </c>
      <c r="W178" s="65" t="str">
        <f t="shared" si="7"/>
        <v>－</v>
      </c>
      <c r="X178" s="69">
        <f>21</f>
        <v>21</v>
      </c>
    </row>
    <row r="179" spans="1:24">
      <c r="A179" s="60" t="s">
        <v>853</v>
      </c>
      <c r="B179" s="60" t="s">
        <v>752</v>
      </c>
      <c r="C179" s="60" t="s">
        <v>753</v>
      </c>
      <c r="D179" s="60" t="s">
        <v>754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f>704</f>
        <v>704</v>
      </c>
      <c r="L179" s="67" t="s">
        <v>79</v>
      </c>
      <c r="M179" s="66">
        <f>732</f>
        <v>732</v>
      </c>
      <c r="N179" s="67" t="s">
        <v>50</v>
      </c>
      <c r="O179" s="66">
        <f>704</f>
        <v>704</v>
      </c>
      <c r="P179" s="67" t="s">
        <v>79</v>
      </c>
      <c r="Q179" s="66">
        <f>732</f>
        <v>732</v>
      </c>
      <c r="R179" s="67" t="s">
        <v>50</v>
      </c>
      <c r="S179" s="68">
        <f>718</f>
        <v>718</v>
      </c>
      <c r="T179" s="65">
        <f>90</f>
        <v>90</v>
      </c>
      <c r="U179" s="65" t="str">
        <f t="shared" si="6"/>
        <v>－</v>
      </c>
      <c r="V179" s="65">
        <f>64200</f>
        <v>64200</v>
      </c>
      <c r="W179" s="65" t="str">
        <f t="shared" si="7"/>
        <v>－</v>
      </c>
      <c r="X179" s="69">
        <f>2</f>
        <v>2</v>
      </c>
    </row>
    <row r="180" spans="1:24">
      <c r="A180" s="60" t="s">
        <v>853</v>
      </c>
      <c r="B180" s="60" t="s">
        <v>755</v>
      </c>
      <c r="C180" s="60" t="s">
        <v>756</v>
      </c>
      <c r="D180" s="60" t="s">
        <v>757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>
        <f>268</f>
        <v>268</v>
      </c>
      <c r="L180" s="67" t="s">
        <v>840</v>
      </c>
      <c r="M180" s="66">
        <f>278</f>
        <v>278</v>
      </c>
      <c r="N180" s="67" t="s">
        <v>48</v>
      </c>
      <c r="O180" s="66">
        <f>207</f>
        <v>207</v>
      </c>
      <c r="P180" s="67" t="s">
        <v>51</v>
      </c>
      <c r="Q180" s="66">
        <f>210</f>
        <v>210</v>
      </c>
      <c r="R180" s="67" t="s">
        <v>51</v>
      </c>
      <c r="S180" s="68">
        <f>237.2</f>
        <v>237.2</v>
      </c>
      <c r="T180" s="65">
        <f>32640</f>
        <v>32640</v>
      </c>
      <c r="U180" s="65" t="str">
        <f t="shared" si="6"/>
        <v>－</v>
      </c>
      <c r="V180" s="65">
        <f>7732440</f>
        <v>7732440</v>
      </c>
      <c r="W180" s="65" t="str">
        <f t="shared" si="7"/>
        <v>－</v>
      </c>
      <c r="X180" s="69">
        <f>20</f>
        <v>20</v>
      </c>
    </row>
    <row r="181" spans="1:24">
      <c r="A181" s="60" t="s">
        <v>853</v>
      </c>
      <c r="B181" s="60" t="s">
        <v>758</v>
      </c>
      <c r="C181" s="60" t="s">
        <v>759</v>
      </c>
      <c r="D181" s="60" t="s">
        <v>760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1115</f>
        <v>1115</v>
      </c>
      <c r="L181" s="67" t="s">
        <v>100</v>
      </c>
      <c r="M181" s="66">
        <f>1203</f>
        <v>1203</v>
      </c>
      <c r="N181" s="67" t="s">
        <v>50</v>
      </c>
      <c r="O181" s="66">
        <f>1115</f>
        <v>1115</v>
      </c>
      <c r="P181" s="67" t="s">
        <v>100</v>
      </c>
      <c r="Q181" s="66">
        <f>1156</f>
        <v>1156</v>
      </c>
      <c r="R181" s="67" t="s">
        <v>50</v>
      </c>
      <c r="S181" s="68">
        <f>1148.75</f>
        <v>1148.75</v>
      </c>
      <c r="T181" s="65">
        <f>150</f>
        <v>150</v>
      </c>
      <c r="U181" s="65" t="str">
        <f t="shared" si="6"/>
        <v>－</v>
      </c>
      <c r="V181" s="65">
        <f>173500</f>
        <v>173500</v>
      </c>
      <c r="W181" s="65" t="str">
        <f t="shared" si="7"/>
        <v>－</v>
      </c>
      <c r="X181" s="69">
        <f>4</f>
        <v>4</v>
      </c>
    </row>
    <row r="182" spans="1:24">
      <c r="A182" s="60" t="s">
        <v>853</v>
      </c>
      <c r="B182" s="60" t="s">
        <v>761</v>
      </c>
      <c r="C182" s="60" t="s">
        <v>762</v>
      </c>
      <c r="D182" s="60" t="s">
        <v>763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</v>
      </c>
      <c r="K182" s="66">
        <f>420</f>
        <v>420</v>
      </c>
      <c r="L182" s="67" t="s">
        <v>840</v>
      </c>
      <c r="M182" s="66">
        <f>443</f>
        <v>443</v>
      </c>
      <c r="N182" s="67" t="s">
        <v>48</v>
      </c>
      <c r="O182" s="66">
        <f>393</f>
        <v>393</v>
      </c>
      <c r="P182" s="67" t="s">
        <v>50</v>
      </c>
      <c r="Q182" s="66">
        <f>398</f>
        <v>398</v>
      </c>
      <c r="R182" s="67" t="s">
        <v>51</v>
      </c>
      <c r="S182" s="68">
        <f>410.29</f>
        <v>410.29</v>
      </c>
      <c r="T182" s="65">
        <f>18220</f>
        <v>18220</v>
      </c>
      <c r="U182" s="65" t="str">
        <f t="shared" si="6"/>
        <v>－</v>
      </c>
      <c r="V182" s="65">
        <f>7463460</f>
        <v>7463460</v>
      </c>
      <c r="W182" s="65" t="str">
        <f t="shared" si="7"/>
        <v>－</v>
      </c>
      <c r="X182" s="69">
        <f>21</f>
        <v>21</v>
      </c>
    </row>
    <row r="183" spans="1:24">
      <c r="A183" s="60" t="s">
        <v>853</v>
      </c>
      <c r="B183" s="60" t="s">
        <v>764</v>
      </c>
      <c r="C183" s="60" t="s">
        <v>765</v>
      </c>
      <c r="D183" s="60" t="s">
        <v>766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</v>
      </c>
      <c r="K183" s="66">
        <f>275</f>
        <v>275</v>
      </c>
      <c r="L183" s="67" t="s">
        <v>840</v>
      </c>
      <c r="M183" s="66">
        <f>288</f>
        <v>288</v>
      </c>
      <c r="N183" s="67" t="s">
        <v>119</v>
      </c>
      <c r="O183" s="66">
        <f>266</f>
        <v>266</v>
      </c>
      <c r="P183" s="67" t="s">
        <v>51</v>
      </c>
      <c r="Q183" s="66">
        <f>271</f>
        <v>271</v>
      </c>
      <c r="R183" s="67" t="s">
        <v>51</v>
      </c>
      <c r="S183" s="68">
        <f>281.95</f>
        <v>281.95</v>
      </c>
      <c r="T183" s="65">
        <f>821100</f>
        <v>821100</v>
      </c>
      <c r="U183" s="65" t="str">
        <f t="shared" si="6"/>
        <v>－</v>
      </c>
      <c r="V183" s="65">
        <f>230873160</f>
        <v>230873160</v>
      </c>
      <c r="W183" s="65" t="str">
        <f t="shared" si="7"/>
        <v>－</v>
      </c>
      <c r="X183" s="69">
        <f>21</f>
        <v>21</v>
      </c>
    </row>
    <row r="184" spans="1:24">
      <c r="A184" s="60" t="s">
        <v>853</v>
      </c>
      <c r="B184" s="60" t="s">
        <v>767</v>
      </c>
      <c r="C184" s="60" t="s">
        <v>768</v>
      </c>
      <c r="D184" s="60" t="s">
        <v>769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100</v>
      </c>
      <c r="K184" s="66">
        <f>1</f>
        <v>1</v>
      </c>
      <c r="L184" s="67" t="s">
        <v>840</v>
      </c>
      <c r="M184" s="66">
        <f>2</f>
        <v>2</v>
      </c>
      <c r="N184" s="67" t="s">
        <v>840</v>
      </c>
      <c r="O184" s="66">
        <f>1</f>
        <v>1</v>
      </c>
      <c r="P184" s="67" t="s">
        <v>840</v>
      </c>
      <c r="Q184" s="66">
        <f>2</f>
        <v>2</v>
      </c>
      <c r="R184" s="67" t="s">
        <v>51</v>
      </c>
      <c r="S184" s="68">
        <f>1.67</f>
        <v>1.67</v>
      </c>
      <c r="T184" s="65">
        <f>69650900</f>
        <v>69650900</v>
      </c>
      <c r="U184" s="65" t="str">
        <f t="shared" si="6"/>
        <v>－</v>
      </c>
      <c r="V184" s="65">
        <f>123575100</f>
        <v>123575100</v>
      </c>
      <c r="W184" s="65" t="str">
        <f t="shared" si="7"/>
        <v>－</v>
      </c>
      <c r="X184" s="69">
        <f>21</f>
        <v>21</v>
      </c>
    </row>
    <row r="185" spans="1:24">
      <c r="A185" s="60" t="s">
        <v>853</v>
      </c>
      <c r="B185" s="60" t="s">
        <v>770</v>
      </c>
      <c r="C185" s="60" t="s">
        <v>771</v>
      </c>
      <c r="D185" s="60" t="s">
        <v>772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10</v>
      </c>
      <c r="K185" s="66">
        <f>401</f>
        <v>401</v>
      </c>
      <c r="L185" s="67" t="s">
        <v>840</v>
      </c>
      <c r="M185" s="66">
        <f>419</f>
        <v>419</v>
      </c>
      <c r="N185" s="67" t="s">
        <v>309</v>
      </c>
      <c r="O185" s="66">
        <f>393</f>
        <v>393</v>
      </c>
      <c r="P185" s="67" t="s">
        <v>61</v>
      </c>
      <c r="Q185" s="66">
        <f>394</f>
        <v>394</v>
      </c>
      <c r="R185" s="67" t="s">
        <v>51</v>
      </c>
      <c r="S185" s="68">
        <f>406.38</f>
        <v>406.38</v>
      </c>
      <c r="T185" s="65">
        <f>2957800</f>
        <v>2957800</v>
      </c>
      <c r="U185" s="65" t="str">
        <f t="shared" si="6"/>
        <v>－</v>
      </c>
      <c r="V185" s="65">
        <f>1204667640</f>
        <v>1204667640</v>
      </c>
      <c r="W185" s="65" t="str">
        <f t="shared" si="7"/>
        <v>－</v>
      </c>
      <c r="X185" s="69">
        <f>21</f>
        <v>21</v>
      </c>
    </row>
    <row r="186" spans="1:24">
      <c r="A186" s="60" t="s">
        <v>853</v>
      </c>
      <c r="B186" s="60" t="s">
        <v>773</v>
      </c>
      <c r="C186" s="60" t="s">
        <v>774</v>
      </c>
      <c r="D186" s="60" t="s">
        <v>775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</v>
      </c>
      <c r="K186" s="66">
        <f>1960</f>
        <v>1960</v>
      </c>
      <c r="L186" s="67" t="s">
        <v>840</v>
      </c>
      <c r="M186" s="66">
        <f>2007</f>
        <v>2007</v>
      </c>
      <c r="N186" s="67" t="s">
        <v>833</v>
      </c>
      <c r="O186" s="66">
        <f>1616</f>
        <v>1616</v>
      </c>
      <c r="P186" s="67" t="s">
        <v>61</v>
      </c>
      <c r="Q186" s="66">
        <f>1625</f>
        <v>1625</v>
      </c>
      <c r="R186" s="67" t="s">
        <v>51</v>
      </c>
      <c r="S186" s="68">
        <f>1732.7</f>
        <v>1732.7</v>
      </c>
      <c r="T186" s="65">
        <f>3036</f>
        <v>3036</v>
      </c>
      <c r="U186" s="65" t="str">
        <f t="shared" si="6"/>
        <v>－</v>
      </c>
      <c r="V186" s="65">
        <f>5375747</f>
        <v>5375747</v>
      </c>
      <c r="W186" s="65" t="str">
        <f t="shared" si="7"/>
        <v>－</v>
      </c>
      <c r="X186" s="69">
        <f>20</f>
        <v>20</v>
      </c>
    </row>
    <row r="187" spans="1:24">
      <c r="A187" s="60" t="s">
        <v>853</v>
      </c>
      <c r="B187" s="60" t="s">
        <v>776</v>
      </c>
      <c r="C187" s="60" t="s">
        <v>777</v>
      </c>
      <c r="D187" s="60" t="s">
        <v>778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100</v>
      </c>
      <c r="K187" s="66">
        <f>247</f>
        <v>247</v>
      </c>
      <c r="L187" s="67" t="s">
        <v>833</v>
      </c>
      <c r="M187" s="66">
        <f>288</f>
        <v>288</v>
      </c>
      <c r="N187" s="67" t="s">
        <v>49</v>
      </c>
      <c r="O187" s="66">
        <f>247</f>
        <v>247</v>
      </c>
      <c r="P187" s="67" t="s">
        <v>833</v>
      </c>
      <c r="Q187" s="66">
        <f>272</f>
        <v>272</v>
      </c>
      <c r="R187" s="67" t="s">
        <v>51</v>
      </c>
      <c r="S187" s="68">
        <f>267.5</f>
        <v>267.5</v>
      </c>
      <c r="T187" s="65">
        <f>2100</f>
        <v>2100</v>
      </c>
      <c r="U187" s="65" t="str">
        <f t="shared" si="6"/>
        <v>－</v>
      </c>
      <c r="V187" s="65">
        <f>558900</f>
        <v>558900</v>
      </c>
      <c r="W187" s="65" t="str">
        <f t="shared" si="7"/>
        <v>－</v>
      </c>
      <c r="X187" s="69">
        <f>8</f>
        <v>8</v>
      </c>
    </row>
    <row r="188" spans="1:24">
      <c r="A188" s="60" t="s">
        <v>853</v>
      </c>
      <c r="B188" s="60" t="s">
        <v>779</v>
      </c>
      <c r="C188" s="60" t="s">
        <v>780</v>
      </c>
      <c r="D188" s="60" t="s">
        <v>781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</v>
      </c>
      <c r="K188" s="66">
        <f>2901</f>
        <v>2901</v>
      </c>
      <c r="L188" s="67" t="s">
        <v>840</v>
      </c>
      <c r="M188" s="66">
        <f>3200</f>
        <v>3200</v>
      </c>
      <c r="N188" s="67" t="s">
        <v>840</v>
      </c>
      <c r="O188" s="66">
        <f>2805</f>
        <v>2805</v>
      </c>
      <c r="P188" s="67" t="s">
        <v>91</v>
      </c>
      <c r="Q188" s="66">
        <f>2878</f>
        <v>2878</v>
      </c>
      <c r="R188" s="67" t="s">
        <v>51</v>
      </c>
      <c r="S188" s="68">
        <f>2912.81</f>
        <v>2912.81</v>
      </c>
      <c r="T188" s="65">
        <f>3050</f>
        <v>3050</v>
      </c>
      <c r="U188" s="65" t="str">
        <f t="shared" si="6"/>
        <v>－</v>
      </c>
      <c r="V188" s="65">
        <f>8953430</f>
        <v>8953430</v>
      </c>
      <c r="W188" s="65" t="str">
        <f t="shared" si="7"/>
        <v>－</v>
      </c>
      <c r="X188" s="69">
        <f>21</f>
        <v>21</v>
      </c>
    </row>
    <row r="189" spans="1:24">
      <c r="A189" s="60" t="s">
        <v>853</v>
      </c>
      <c r="B189" s="60" t="s">
        <v>782</v>
      </c>
      <c r="C189" s="60" t="s">
        <v>783</v>
      </c>
      <c r="D189" s="60" t="s">
        <v>784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</v>
      </c>
      <c r="K189" s="66">
        <f>1315</f>
        <v>1315</v>
      </c>
      <c r="L189" s="67" t="s">
        <v>814</v>
      </c>
      <c r="M189" s="66">
        <f>1428</f>
        <v>1428</v>
      </c>
      <c r="N189" s="67" t="s">
        <v>61</v>
      </c>
      <c r="O189" s="66">
        <f>1315</f>
        <v>1315</v>
      </c>
      <c r="P189" s="67" t="s">
        <v>814</v>
      </c>
      <c r="Q189" s="66">
        <f>1394</f>
        <v>1394</v>
      </c>
      <c r="R189" s="67" t="s">
        <v>50</v>
      </c>
      <c r="S189" s="68">
        <f>1385.83</f>
        <v>1385.83</v>
      </c>
      <c r="T189" s="65">
        <f>520</f>
        <v>520</v>
      </c>
      <c r="U189" s="65" t="str">
        <f t="shared" si="6"/>
        <v>－</v>
      </c>
      <c r="V189" s="65">
        <f>726700</f>
        <v>726700</v>
      </c>
      <c r="W189" s="65" t="str">
        <f t="shared" si="7"/>
        <v>－</v>
      </c>
      <c r="X189" s="69">
        <f>12</f>
        <v>12</v>
      </c>
    </row>
    <row r="190" spans="1:24">
      <c r="A190" s="60" t="s">
        <v>853</v>
      </c>
      <c r="B190" s="60" t="s">
        <v>785</v>
      </c>
      <c r="C190" s="60" t="s">
        <v>786</v>
      </c>
      <c r="D190" s="60" t="s">
        <v>787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100</v>
      </c>
      <c r="K190" s="66">
        <f>63</f>
        <v>63</v>
      </c>
      <c r="L190" s="67" t="s">
        <v>840</v>
      </c>
      <c r="M190" s="66">
        <f>69</f>
        <v>69</v>
      </c>
      <c r="N190" s="67" t="s">
        <v>72</v>
      </c>
      <c r="O190" s="66">
        <f>61</f>
        <v>61</v>
      </c>
      <c r="P190" s="67" t="s">
        <v>100</v>
      </c>
      <c r="Q190" s="66">
        <f>64</f>
        <v>64</v>
      </c>
      <c r="R190" s="67" t="s">
        <v>51</v>
      </c>
      <c r="S190" s="68">
        <f>64.86</f>
        <v>64.86</v>
      </c>
      <c r="T190" s="65">
        <f>14254200</f>
        <v>14254200</v>
      </c>
      <c r="U190" s="65" t="str">
        <f t="shared" si="6"/>
        <v>－</v>
      </c>
      <c r="V190" s="65">
        <f>917733400</f>
        <v>917733400</v>
      </c>
      <c r="W190" s="65" t="str">
        <f t="shared" si="7"/>
        <v>－</v>
      </c>
      <c r="X190" s="69">
        <f>21</f>
        <v>21</v>
      </c>
    </row>
    <row r="191" spans="1:24">
      <c r="A191" s="60" t="s">
        <v>853</v>
      </c>
      <c r="B191" s="60" t="s">
        <v>788</v>
      </c>
      <c r="C191" s="60" t="s">
        <v>789</v>
      </c>
      <c r="D191" s="60" t="s">
        <v>790</v>
      </c>
      <c r="E191" s="61" t="s">
        <v>46</v>
      </c>
      <c r="F191" s="62" t="s">
        <v>46</v>
      </c>
      <c r="G191" s="63" t="s">
        <v>46</v>
      </c>
      <c r="H191" s="64"/>
      <c r="I191" s="64" t="s">
        <v>47</v>
      </c>
      <c r="J191" s="65">
        <v>100</v>
      </c>
      <c r="K191" s="66">
        <f>67</f>
        <v>67</v>
      </c>
      <c r="L191" s="67" t="s">
        <v>840</v>
      </c>
      <c r="M191" s="66">
        <f>70</f>
        <v>70</v>
      </c>
      <c r="N191" s="67" t="s">
        <v>833</v>
      </c>
      <c r="O191" s="66">
        <f>61</f>
        <v>61</v>
      </c>
      <c r="P191" s="67" t="s">
        <v>50</v>
      </c>
      <c r="Q191" s="66">
        <f>62</f>
        <v>62</v>
      </c>
      <c r="R191" s="67" t="s">
        <v>51</v>
      </c>
      <c r="S191" s="68">
        <f>66.19</f>
        <v>66.19</v>
      </c>
      <c r="T191" s="65">
        <f>8251100</f>
        <v>8251100</v>
      </c>
      <c r="U191" s="65" t="str">
        <f t="shared" si="6"/>
        <v>－</v>
      </c>
      <c r="V191" s="65">
        <f>544295800</f>
        <v>544295800</v>
      </c>
      <c r="W191" s="65" t="str">
        <f t="shared" si="7"/>
        <v>－</v>
      </c>
      <c r="X191" s="69">
        <f>21</f>
        <v>21</v>
      </c>
    </row>
    <row r="192" spans="1:24">
      <c r="A192" s="60" t="s">
        <v>853</v>
      </c>
      <c r="B192" s="60" t="s">
        <v>791</v>
      </c>
      <c r="C192" s="60" t="s">
        <v>792</v>
      </c>
      <c r="D192" s="60" t="s">
        <v>793</v>
      </c>
      <c r="E192" s="61" t="s">
        <v>46</v>
      </c>
      <c r="F192" s="62" t="s">
        <v>46</v>
      </c>
      <c r="G192" s="63" t="s">
        <v>46</v>
      </c>
      <c r="H192" s="64"/>
      <c r="I192" s="64" t="s">
        <v>47</v>
      </c>
      <c r="J192" s="65">
        <v>10</v>
      </c>
      <c r="K192" s="66">
        <f>1835</f>
        <v>1835</v>
      </c>
      <c r="L192" s="67" t="s">
        <v>840</v>
      </c>
      <c r="M192" s="66">
        <f>1840</f>
        <v>1840</v>
      </c>
      <c r="N192" s="67" t="s">
        <v>833</v>
      </c>
      <c r="O192" s="66">
        <f>1710</f>
        <v>1710</v>
      </c>
      <c r="P192" s="67" t="s">
        <v>51</v>
      </c>
      <c r="Q192" s="66">
        <f>1710</f>
        <v>1710</v>
      </c>
      <c r="R192" s="67" t="s">
        <v>51</v>
      </c>
      <c r="S192" s="68">
        <f>1763.38</f>
        <v>1763.38</v>
      </c>
      <c r="T192" s="65">
        <f>39520</f>
        <v>39520</v>
      </c>
      <c r="U192" s="65" t="str">
        <f t="shared" si="6"/>
        <v>－</v>
      </c>
      <c r="V192" s="65">
        <f>70341970</f>
        <v>70341970</v>
      </c>
      <c r="W192" s="65" t="str">
        <f t="shared" si="7"/>
        <v>－</v>
      </c>
      <c r="X192" s="69">
        <f>21</f>
        <v>21</v>
      </c>
    </row>
    <row r="193" spans="1:24">
      <c r="A193" s="60" t="s">
        <v>853</v>
      </c>
      <c r="B193" s="60" t="s">
        <v>568</v>
      </c>
      <c r="C193" s="60" t="s">
        <v>569</v>
      </c>
      <c r="D193" s="60" t="s">
        <v>570</v>
      </c>
      <c r="E193" s="61" t="s">
        <v>46</v>
      </c>
      <c r="F193" s="62" t="s">
        <v>46</v>
      </c>
      <c r="G193" s="63" t="s">
        <v>46</v>
      </c>
      <c r="H193" s="64"/>
      <c r="I193" s="64" t="s">
        <v>47</v>
      </c>
      <c r="J193" s="65">
        <v>10</v>
      </c>
      <c r="K193" s="66">
        <f>1448</f>
        <v>1448</v>
      </c>
      <c r="L193" s="67" t="s">
        <v>840</v>
      </c>
      <c r="M193" s="66">
        <f>1478</f>
        <v>1478</v>
      </c>
      <c r="N193" s="67" t="s">
        <v>48</v>
      </c>
      <c r="O193" s="66">
        <f>1327</f>
        <v>1327</v>
      </c>
      <c r="P193" s="67" t="s">
        <v>51</v>
      </c>
      <c r="Q193" s="66">
        <f>1328</f>
        <v>1328</v>
      </c>
      <c r="R193" s="67" t="s">
        <v>51</v>
      </c>
      <c r="S193" s="68">
        <f>1422.1</f>
        <v>1422.1</v>
      </c>
      <c r="T193" s="65">
        <f>106360</f>
        <v>106360</v>
      </c>
      <c r="U193" s="65" t="str">
        <f t="shared" si="6"/>
        <v>－</v>
      </c>
      <c r="V193" s="65">
        <f>151334860</f>
        <v>151334860</v>
      </c>
      <c r="W193" s="65" t="str">
        <f t="shared" si="7"/>
        <v>－</v>
      </c>
      <c r="X193" s="69">
        <f>21</f>
        <v>21</v>
      </c>
    </row>
    <row r="194" spans="1:24">
      <c r="A194" s="60" t="s">
        <v>853</v>
      </c>
      <c r="B194" s="60" t="s">
        <v>571</v>
      </c>
      <c r="C194" s="60" t="s">
        <v>572</v>
      </c>
      <c r="D194" s="60" t="s">
        <v>573</v>
      </c>
      <c r="E194" s="61" t="s">
        <v>46</v>
      </c>
      <c r="F194" s="62" t="s">
        <v>46</v>
      </c>
      <c r="G194" s="63" t="s">
        <v>46</v>
      </c>
      <c r="H194" s="64"/>
      <c r="I194" s="64" t="s">
        <v>47</v>
      </c>
      <c r="J194" s="65">
        <v>10</v>
      </c>
      <c r="K194" s="66">
        <f>105</f>
        <v>105</v>
      </c>
      <c r="L194" s="67" t="s">
        <v>840</v>
      </c>
      <c r="M194" s="66">
        <f>110</f>
        <v>110</v>
      </c>
      <c r="N194" s="67" t="s">
        <v>309</v>
      </c>
      <c r="O194" s="66">
        <f>103</f>
        <v>103</v>
      </c>
      <c r="P194" s="67" t="s">
        <v>61</v>
      </c>
      <c r="Q194" s="66">
        <f>103</f>
        <v>103</v>
      </c>
      <c r="R194" s="67" t="s">
        <v>51</v>
      </c>
      <c r="S194" s="68">
        <f>106.29</f>
        <v>106.29</v>
      </c>
      <c r="T194" s="65">
        <f>302551490</f>
        <v>302551490</v>
      </c>
      <c r="U194" s="65">
        <f>842330</f>
        <v>842330</v>
      </c>
      <c r="V194" s="65">
        <f>32246751577</f>
        <v>32246751577</v>
      </c>
      <c r="W194" s="65">
        <f>89528027</f>
        <v>89528027</v>
      </c>
      <c r="X194" s="69">
        <f>21</f>
        <v>21</v>
      </c>
    </row>
    <row r="195" spans="1:24">
      <c r="A195" s="60" t="s">
        <v>853</v>
      </c>
      <c r="B195" s="60" t="s">
        <v>574</v>
      </c>
      <c r="C195" s="60" t="s">
        <v>575</v>
      </c>
      <c r="D195" s="60" t="s">
        <v>576</v>
      </c>
      <c r="E195" s="61" t="s">
        <v>46</v>
      </c>
      <c r="F195" s="62" t="s">
        <v>46</v>
      </c>
      <c r="G195" s="63" t="s">
        <v>46</v>
      </c>
      <c r="H195" s="64"/>
      <c r="I195" s="64" t="s">
        <v>577</v>
      </c>
      <c r="J195" s="65">
        <v>1</v>
      </c>
      <c r="K195" s="66">
        <f>8880</f>
        <v>8880</v>
      </c>
      <c r="L195" s="67" t="s">
        <v>840</v>
      </c>
      <c r="M195" s="66">
        <f>10690</f>
        <v>10690</v>
      </c>
      <c r="N195" s="67" t="s">
        <v>100</v>
      </c>
      <c r="O195" s="66">
        <f>8630</f>
        <v>8630</v>
      </c>
      <c r="P195" s="67" t="s">
        <v>51</v>
      </c>
      <c r="Q195" s="66">
        <f>8630</f>
        <v>8630</v>
      </c>
      <c r="R195" s="67" t="s">
        <v>51</v>
      </c>
      <c r="S195" s="68">
        <f>9419.05</f>
        <v>9419.0499999999993</v>
      </c>
      <c r="T195" s="65">
        <f>75992</f>
        <v>75992</v>
      </c>
      <c r="U195" s="65" t="str">
        <f>"－"</f>
        <v>－</v>
      </c>
      <c r="V195" s="65">
        <f>738854670</f>
        <v>738854670</v>
      </c>
      <c r="W195" s="65" t="str">
        <f>"－"</f>
        <v>－</v>
      </c>
      <c r="X195" s="69">
        <f>21</f>
        <v>21</v>
      </c>
    </row>
    <row r="196" spans="1:24">
      <c r="A196" s="60" t="s">
        <v>853</v>
      </c>
      <c r="B196" s="60" t="s">
        <v>578</v>
      </c>
      <c r="C196" s="60" t="s">
        <v>579</v>
      </c>
      <c r="D196" s="60" t="s">
        <v>580</v>
      </c>
      <c r="E196" s="61" t="s">
        <v>46</v>
      </c>
      <c r="F196" s="62" t="s">
        <v>46</v>
      </c>
      <c r="G196" s="63" t="s">
        <v>46</v>
      </c>
      <c r="H196" s="64"/>
      <c r="I196" s="64" t="s">
        <v>577</v>
      </c>
      <c r="J196" s="65">
        <v>1</v>
      </c>
      <c r="K196" s="66">
        <f>6490</f>
        <v>6490</v>
      </c>
      <c r="L196" s="67" t="s">
        <v>840</v>
      </c>
      <c r="M196" s="66">
        <f>6580</f>
        <v>6580</v>
      </c>
      <c r="N196" s="67" t="s">
        <v>840</v>
      </c>
      <c r="O196" s="66">
        <f>5840</f>
        <v>5840</v>
      </c>
      <c r="P196" s="67" t="s">
        <v>119</v>
      </c>
      <c r="Q196" s="66">
        <f>6180</f>
        <v>6180</v>
      </c>
      <c r="R196" s="67" t="s">
        <v>51</v>
      </c>
      <c r="S196" s="68">
        <f>6149.52</f>
        <v>6149.52</v>
      </c>
      <c r="T196" s="65">
        <f>6803</f>
        <v>6803</v>
      </c>
      <c r="U196" s="65" t="str">
        <f>"－"</f>
        <v>－</v>
      </c>
      <c r="V196" s="65">
        <f>41898480</f>
        <v>41898480</v>
      </c>
      <c r="W196" s="65" t="str">
        <f>"－"</f>
        <v>－</v>
      </c>
      <c r="X196" s="69">
        <f>21</f>
        <v>21</v>
      </c>
    </row>
    <row r="197" spans="1:24">
      <c r="A197" s="60" t="s">
        <v>853</v>
      </c>
      <c r="B197" s="60" t="s">
        <v>581</v>
      </c>
      <c r="C197" s="60" t="s">
        <v>582</v>
      </c>
      <c r="D197" s="60" t="s">
        <v>583</v>
      </c>
      <c r="E197" s="61" t="s">
        <v>46</v>
      </c>
      <c r="F197" s="62" t="s">
        <v>46</v>
      </c>
      <c r="G197" s="63" t="s">
        <v>46</v>
      </c>
      <c r="H197" s="64"/>
      <c r="I197" s="64" t="s">
        <v>577</v>
      </c>
      <c r="J197" s="65">
        <v>1</v>
      </c>
      <c r="K197" s="66">
        <f>8230</f>
        <v>8230</v>
      </c>
      <c r="L197" s="67" t="s">
        <v>840</v>
      </c>
      <c r="M197" s="66">
        <f>9610</f>
        <v>9610</v>
      </c>
      <c r="N197" s="67" t="s">
        <v>50</v>
      </c>
      <c r="O197" s="66">
        <f>8230</f>
        <v>8230</v>
      </c>
      <c r="P197" s="67" t="s">
        <v>840</v>
      </c>
      <c r="Q197" s="66">
        <f>9280</f>
        <v>9280</v>
      </c>
      <c r="R197" s="67" t="s">
        <v>51</v>
      </c>
      <c r="S197" s="68">
        <f>8890</f>
        <v>8890</v>
      </c>
      <c r="T197" s="65">
        <f>682</f>
        <v>682</v>
      </c>
      <c r="U197" s="65" t="str">
        <f>"－"</f>
        <v>－</v>
      </c>
      <c r="V197" s="65">
        <f>6224830</f>
        <v>6224830</v>
      </c>
      <c r="W197" s="65" t="str">
        <f>"－"</f>
        <v>－</v>
      </c>
      <c r="X197" s="69">
        <f>17</f>
        <v>17</v>
      </c>
    </row>
    <row r="198" spans="1:24">
      <c r="A198" s="60" t="s">
        <v>853</v>
      </c>
      <c r="B198" s="60" t="s">
        <v>584</v>
      </c>
      <c r="C198" s="60" t="s">
        <v>585</v>
      </c>
      <c r="D198" s="60" t="s">
        <v>586</v>
      </c>
      <c r="E198" s="61" t="s">
        <v>46</v>
      </c>
      <c r="F198" s="62" t="s">
        <v>46</v>
      </c>
      <c r="G198" s="63" t="s">
        <v>46</v>
      </c>
      <c r="H198" s="64"/>
      <c r="I198" s="64" t="s">
        <v>577</v>
      </c>
      <c r="J198" s="65">
        <v>1</v>
      </c>
      <c r="K198" s="66">
        <f>8550</f>
        <v>8550</v>
      </c>
      <c r="L198" s="67" t="s">
        <v>840</v>
      </c>
      <c r="M198" s="66">
        <f>8640</f>
        <v>8640</v>
      </c>
      <c r="N198" s="67" t="s">
        <v>840</v>
      </c>
      <c r="O198" s="66">
        <f>7940</f>
        <v>7940</v>
      </c>
      <c r="P198" s="67" t="s">
        <v>245</v>
      </c>
      <c r="Q198" s="66">
        <f>8090</f>
        <v>8090</v>
      </c>
      <c r="R198" s="67" t="s">
        <v>51</v>
      </c>
      <c r="S198" s="68">
        <f>8348.1</f>
        <v>8348.1</v>
      </c>
      <c r="T198" s="65">
        <f>8497</f>
        <v>8497</v>
      </c>
      <c r="U198" s="65" t="str">
        <f>"－"</f>
        <v>－</v>
      </c>
      <c r="V198" s="65">
        <f>70126610</f>
        <v>70126610</v>
      </c>
      <c r="W198" s="65" t="str">
        <f>"－"</f>
        <v>－</v>
      </c>
      <c r="X198" s="69">
        <f>21</f>
        <v>21</v>
      </c>
    </row>
    <row r="199" spans="1:24">
      <c r="A199" s="60" t="s">
        <v>853</v>
      </c>
      <c r="B199" s="60" t="s">
        <v>587</v>
      </c>
      <c r="C199" s="60" t="s">
        <v>588</v>
      </c>
      <c r="D199" s="60" t="s">
        <v>589</v>
      </c>
      <c r="E199" s="61" t="s">
        <v>46</v>
      </c>
      <c r="F199" s="62" t="s">
        <v>46</v>
      </c>
      <c r="G199" s="63" t="s">
        <v>46</v>
      </c>
      <c r="H199" s="64"/>
      <c r="I199" s="64" t="s">
        <v>577</v>
      </c>
      <c r="J199" s="65">
        <v>1</v>
      </c>
      <c r="K199" s="66">
        <f>960</f>
        <v>960</v>
      </c>
      <c r="L199" s="67" t="s">
        <v>840</v>
      </c>
      <c r="M199" s="66">
        <f>999</f>
        <v>999</v>
      </c>
      <c r="N199" s="67" t="s">
        <v>833</v>
      </c>
      <c r="O199" s="66">
        <f>606</f>
        <v>606</v>
      </c>
      <c r="P199" s="67" t="s">
        <v>309</v>
      </c>
      <c r="Q199" s="66">
        <f>715</f>
        <v>715</v>
      </c>
      <c r="R199" s="67" t="s">
        <v>51</v>
      </c>
      <c r="S199" s="68">
        <f>763.19</f>
        <v>763.19</v>
      </c>
      <c r="T199" s="65">
        <f>12694852</f>
        <v>12694852</v>
      </c>
      <c r="U199" s="65">
        <f>2890</f>
        <v>2890</v>
      </c>
      <c r="V199" s="65">
        <f>9964505347</f>
        <v>9964505347</v>
      </c>
      <c r="W199" s="65">
        <f>2338698</f>
        <v>2338698</v>
      </c>
      <c r="X199" s="69">
        <f>21</f>
        <v>21</v>
      </c>
    </row>
    <row r="200" spans="1:24">
      <c r="A200" s="60" t="s">
        <v>853</v>
      </c>
      <c r="B200" s="60" t="s">
        <v>590</v>
      </c>
      <c r="C200" s="60" t="s">
        <v>856</v>
      </c>
      <c r="D200" s="60" t="s">
        <v>857</v>
      </c>
      <c r="E200" s="61" t="s">
        <v>46</v>
      </c>
      <c r="F200" s="62" t="s">
        <v>46</v>
      </c>
      <c r="G200" s="63" t="s">
        <v>46</v>
      </c>
      <c r="H200" s="64"/>
      <c r="I200" s="64" t="s">
        <v>577</v>
      </c>
      <c r="J200" s="65">
        <v>1</v>
      </c>
      <c r="K200" s="66">
        <f>17590</f>
        <v>17590</v>
      </c>
      <c r="L200" s="67" t="s">
        <v>840</v>
      </c>
      <c r="M200" s="66">
        <f>20530</f>
        <v>20530</v>
      </c>
      <c r="N200" s="67" t="s">
        <v>95</v>
      </c>
      <c r="O200" s="66">
        <f>16920</f>
        <v>16920</v>
      </c>
      <c r="P200" s="67" t="s">
        <v>833</v>
      </c>
      <c r="Q200" s="66">
        <f>19740</f>
        <v>19740</v>
      </c>
      <c r="R200" s="67" t="s">
        <v>51</v>
      </c>
      <c r="S200" s="68">
        <f>18113.81</f>
        <v>18113.810000000001</v>
      </c>
      <c r="T200" s="65">
        <f>99190</f>
        <v>99190</v>
      </c>
      <c r="U200" s="65" t="str">
        <f>"－"</f>
        <v>－</v>
      </c>
      <c r="V200" s="65">
        <f>1867830140</f>
        <v>1867830140</v>
      </c>
      <c r="W200" s="65" t="str">
        <f>"－"</f>
        <v>－</v>
      </c>
      <c r="X200" s="69">
        <f>21</f>
        <v>21</v>
      </c>
    </row>
    <row r="201" spans="1:24">
      <c r="A201" s="60" t="s">
        <v>853</v>
      </c>
      <c r="B201" s="60" t="s">
        <v>593</v>
      </c>
      <c r="C201" s="60" t="s">
        <v>858</v>
      </c>
      <c r="D201" s="60" t="s">
        <v>859</v>
      </c>
      <c r="E201" s="61" t="s">
        <v>46</v>
      </c>
      <c r="F201" s="62" t="s">
        <v>46</v>
      </c>
      <c r="G201" s="63" t="s">
        <v>46</v>
      </c>
      <c r="H201" s="64"/>
      <c r="I201" s="64" t="s">
        <v>577</v>
      </c>
      <c r="J201" s="65">
        <v>1</v>
      </c>
      <c r="K201" s="66">
        <f>5900</f>
        <v>5900</v>
      </c>
      <c r="L201" s="67" t="s">
        <v>840</v>
      </c>
      <c r="M201" s="66">
        <f>5980</f>
        <v>5980</v>
      </c>
      <c r="N201" s="67" t="s">
        <v>814</v>
      </c>
      <c r="O201" s="66">
        <f>5430</f>
        <v>5430</v>
      </c>
      <c r="P201" s="67" t="s">
        <v>95</v>
      </c>
      <c r="Q201" s="66">
        <f>5500</f>
        <v>5500</v>
      </c>
      <c r="R201" s="67" t="s">
        <v>51</v>
      </c>
      <c r="S201" s="68">
        <f>5767.14</f>
        <v>5767.14</v>
      </c>
      <c r="T201" s="65">
        <f>10415</f>
        <v>10415</v>
      </c>
      <c r="U201" s="65" t="str">
        <f>"－"</f>
        <v>－</v>
      </c>
      <c r="V201" s="65">
        <f>58940200</f>
        <v>58940200</v>
      </c>
      <c r="W201" s="65" t="str">
        <f>"－"</f>
        <v>－</v>
      </c>
      <c r="X201" s="69">
        <f>21</f>
        <v>21</v>
      </c>
    </row>
    <row r="202" spans="1:24">
      <c r="A202" s="60" t="s">
        <v>853</v>
      </c>
      <c r="B202" s="60" t="s">
        <v>596</v>
      </c>
      <c r="C202" s="60" t="s">
        <v>860</v>
      </c>
      <c r="D202" s="60" t="s">
        <v>861</v>
      </c>
      <c r="E202" s="61" t="s">
        <v>46</v>
      </c>
      <c r="F202" s="62" t="s">
        <v>46</v>
      </c>
      <c r="G202" s="63" t="s">
        <v>46</v>
      </c>
      <c r="H202" s="64"/>
      <c r="I202" s="64" t="s">
        <v>577</v>
      </c>
      <c r="J202" s="65">
        <v>1</v>
      </c>
      <c r="K202" s="66">
        <f>252</f>
        <v>252</v>
      </c>
      <c r="L202" s="67" t="s">
        <v>840</v>
      </c>
      <c r="M202" s="66">
        <f>272</f>
        <v>272</v>
      </c>
      <c r="N202" s="67" t="s">
        <v>309</v>
      </c>
      <c r="O202" s="66">
        <f>248</f>
        <v>248</v>
      </c>
      <c r="P202" s="67" t="s">
        <v>840</v>
      </c>
      <c r="Q202" s="66">
        <f>257</f>
        <v>257</v>
      </c>
      <c r="R202" s="67" t="s">
        <v>51</v>
      </c>
      <c r="S202" s="68">
        <f>260.67</f>
        <v>260.67</v>
      </c>
      <c r="T202" s="65">
        <f>196648678</f>
        <v>196648678</v>
      </c>
      <c r="U202" s="65" t="str">
        <f>"－"</f>
        <v>－</v>
      </c>
      <c r="V202" s="65">
        <f>51297907349</f>
        <v>51297907349</v>
      </c>
      <c r="W202" s="65" t="str">
        <f>"－"</f>
        <v>－</v>
      </c>
      <c r="X202" s="69">
        <f>21</f>
        <v>21</v>
      </c>
    </row>
    <row r="203" spans="1:24">
      <c r="A203" s="60" t="s">
        <v>853</v>
      </c>
      <c r="B203" s="60" t="s">
        <v>599</v>
      </c>
      <c r="C203" s="60" t="s">
        <v>862</v>
      </c>
      <c r="D203" s="60" t="s">
        <v>863</v>
      </c>
      <c r="E203" s="61" t="s">
        <v>46</v>
      </c>
      <c r="F203" s="62" t="s">
        <v>46</v>
      </c>
      <c r="G203" s="63" t="s">
        <v>46</v>
      </c>
      <c r="H203" s="64"/>
      <c r="I203" s="64" t="s">
        <v>577</v>
      </c>
      <c r="J203" s="65">
        <v>1</v>
      </c>
      <c r="K203" s="66">
        <f>6330</f>
        <v>6330</v>
      </c>
      <c r="L203" s="67" t="s">
        <v>840</v>
      </c>
      <c r="M203" s="66">
        <f>6370</f>
        <v>6370</v>
      </c>
      <c r="N203" s="67" t="s">
        <v>840</v>
      </c>
      <c r="O203" s="66">
        <f>5980</f>
        <v>5980</v>
      </c>
      <c r="P203" s="67" t="s">
        <v>95</v>
      </c>
      <c r="Q203" s="66">
        <f>6160</f>
        <v>6160</v>
      </c>
      <c r="R203" s="67" t="s">
        <v>51</v>
      </c>
      <c r="S203" s="68">
        <f>6157.62</f>
        <v>6157.62</v>
      </c>
      <c r="T203" s="65">
        <f>157567</f>
        <v>157567</v>
      </c>
      <c r="U203" s="65" t="str">
        <f>"－"</f>
        <v>－</v>
      </c>
      <c r="V203" s="65">
        <f>971823060</f>
        <v>971823060</v>
      </c>
      <c r="W203" s="65" t="str">
        <f>"－"</f>
        <v>－</v>
      </c>
      <c r="X203" s="69">
        <f>21</f>
        <v>21</v>
      </c>
    </row>
    <row r="204" spans="1:24">
      <c r="A204" s="60" t="s">
        <v>853</v>
      </c>
      <c r="B204" s="60" t="s">
        <v>602</v>
      </c>
      <c r="C204" s="60" t="s">
        <v>603</v>
      </c>
      <c r="D204" s="60" t="s">
        <v>604</v>
      </c>
      <c r="E204" s="61" t="s">
        <v>46</v>
      </c>
      <c r="F204" s="62" t="s">
        <v>46</v>
      </c>
      <c r="G204" s="63" t="s">
        <v>46</v>
      </c>
      <c r="H204" s="64"/>
      <c r="I204" s="64" t="s">
        <v>577</v>
      </c>
      <c r="J204" s="65">
        <v>1</v>
      </c>
      <c r="K204" s="66">
        <f>17770</f>
        <v>17770</v>
      </c>
      <c r="L204" s="67" t="s">
        <v>840</v>
      </c>
      <c r="M204" s="66">
        <f>19360</f>
        <v>19360</v>
      </c>
      <c r="N204" s="67" t="s">
        <v>309</v>
      </c>
      <c r="O204" s="66">
        <f>17420</f>
        <v>17420</v>
      </c>
      <c r="P204" s="67" t="s">
        <v>61</v>
      </c>
      <c r="Q204" s="66">
        <f>18370</f>
        <v>18370</v>
      </c>
      <c r="R204" s="67" t="s">
        <v>51</v>
      </c>
      <c r="S204" s="68">
        <f>18454.29</f>
        <v>18454.29</v>
      </c>
      <c r="T204" s="65">
        <f>325119</f>
        <v>325119</v>
      </c>
      <c r="U204" s="65">
        <f>295</f>
        <v>295</v>
      </c>
      <c r="V204" s="65">
        <f>6038185250</f>
        <v>6038185250</v>
      </c>
      <c r="W204" s="65">
        <f>5619750</f>
        <v>5619750</v>
      </c>
      <c r="X204" s="69">
        <f>21</f>
        <v>21</v>
      </c>
    </row>
    <row r="205" spans="1:24">
      <c r="A205" s="60" t="s">
        <v>853</v>
      </c>
      <c r="B205" s="60" t="s">
        <v>605</v>
      </c>
      <c r="C205" s="60" t="s">
        <v>606</v>
      </c>
      <c r="D205" s="60" t="s">
        <v>607</v>
      </c>
      <c r="E205" s="61" t="s">
        <v>46</v>
      </c>
      <c r="F205" s="62" t="s">
        <v>46</v>
      </c>
      <c r="G205" s="63" t="s">
        <v>46</v>
      </c>
      <c r="H205" s="64"/>
      <c r="I205" s="64" t="s">
        <v>577</v>
      </c>
      <c r="J205" s="65">
        <v>1</v>
      </c>
      <c r="K205" s="66">
        <f>4235</f>
        <v>4235</v>
      </c>
      <c r="L205" s="67" t="s">
        <v>840</v>
      </c>
      <c r="M205" s="66">
        <f>4250</f>
        <v>4250</v>
      </c>
      <c r="N205" s="67" t="s">
        <v>840</v>
      </c>
      <c r="O205" s="66">
        <f>4000</f>
        <v>4000</v>
      </c>
      <c r="P205" s="67" t="s">
        <v>309</v>
      </c>
      <c r="Q205" s="66">
        <f>4110</f>
        <v>4110</v>
      </c>
      <c r="R205" s="67" t="s">
        <v>51</v>
      </c>
      <c r="S205" s="68">
        <f>4111.67</f>
        <v>4111.67</v>
      </c>
      <c r="T205" s="65">
        <f>314304</f>
        <v>314304</v>
      </c>
      <c r="U205" s="65">
        <f>1</f>
        <v>1</v>
      </c>
      <c r="V205" s="65">
        <f>1295778755</f>
        <v>1295778755</v>
      </c>
      <c r="W205" s="65">
        <f>4215</f>
        <v>4215</v>
      </c>
      <c r="X205" s="69">
        <f>21</f>
        <v>21</v>
      </c>
    </row>
    <row r="206" spans="1:24">
      <c r="A206" s="60" t="s">
        <v>853</v>
      </c>
      <c r="B206" s="60" t="s">
        <v>608</v>
      </c>
      <c r="C206" s="60" t="s">
        <v>609</v>
      </c>
      <c r="D206" s="60" t="s">
        <v>610</v>
      </c>
      <c r="E206" s="61" t="s">
        <v>46</v>
      </c>
      <c r="F206" s="62" t="s">
        <v>46</v>
      </c>
      <c r="G206" s="63" t="s">
        <v>46</v>
      </c>
      <c r="H206" s="64"/>
      <c r="I206" s="64" t="s">
        <v>577</v>
      </c>
      <c r="J206" s="65">
        <v>1</v>
      </c>
      <c r="K206" s="66">
        <f>10800</f>
        <v>10800</v>
      </c>
      <c r="L206" s="67" t="s">
        <v>840</v>
      </c>
      <c r="M206" s="66">
        <f>10900</f>
        <v>10900</v>
      </c>
      <c r="N206" s="67" t="s">
        <v>840</v>
      </c>
      <c r="O206" s="66">
        <f>10050</f>
        <v>10050</v>
      </c>
      <c r="P206" s="67" t="s">
        <v>833</v>
      </c>
      <c r="Q206" s="66">
        <f>10200</f>
        <v>10200</v>
      </c>
      <c r="R206" s="67" t="s">
        <v>51</v>
      </c>
      <c r="S206" s="68">
        <f>10559.05</f>
        <v>10559.05</v>
      </c>
      <c r="T206" s="65">
        <f>54631</f>
        <v>54631</v>
      </c>
      <c r="U206" s="65">
        <f>4300</f>
        <v>4300</v>
      </c>
      <c r="V206" s="65">
        <f>577041960</f>
        <v>577041960</v>
      </c>
      <c r="W206" s="65">
        <f>45201600</f>
        <v>45201600</v>
      </c>
      <c r="X206" s="69">
        <f>21</f>
        <v>21</v>
      </c>
    </row>
    <row r="207" spans="1:24">
      <c r="A207" s="60" t="s">
        <v>853</v>
      </c>
      <c r="B207" s="60" t="s">
        <v>611</v>
      </c>
      <c r="C207" s="60" t="s">
        <v>612</v>
      </c>
      <c r="D207" s="60" t="s">
        <v>613</v>
      </c>
      <c r="E207" s="61" t="s">
        <v>46</v>
      </c>
      <c r="F207" s="62" t="s">
        <v>46</v>
      </c>
      <c r="G207" s="63" t="s">
        <v>46</v>
      </c>
      <c r="H207" s="64"/>
      <c r="I207" s="64" t="s">
        <v>577</v>
      </c>
      <c r="J207" s="65">
        <v>1</v>
      </c>
      <c r="K207" s="66">
        <f>10380</f>
        <v>10380</v>
      </c>
      <c r="L207" s="67" t="s">
        <v>833</v>
      </c>
      <c r="M207" s="66">
        <f>10650</f>
        <v>10650</v>
      </c>
      <c r="N207" s="67" t="s">
        <v>48</v>
      </c>
      <c r="O207" s="66">
        <f>9760</f>
        <v>9760</v>
      </c>
      <c r="P207" s="67" t="s">
        <v>51</v>
      </c>
      <c r="Q207" s="66">
        <f>9870</f>
        <v>9870</v>
      </c>
      <c r="R207" s="67" t="s">
        <v>51</v>
      </c>
      <c r="S207" s="68">
        <f>10310</f>
        <v>10310</v>
      </c>
      <c r="T207" s="65">
        <f>446</f>
        <v>446</v>
      </c>
      <c r="U207" s="65" t="str">
        <f>"－"</f>
        <v>－</v>
      </c>
      <c r="V207" s="65">
        <f>4542150</f>
        <v>4542150</v>
      </c>
      <c r="W207" s="65" t="str">
        <f>"－"</f>
        <v>－</v>
      </c>
      <c r="X207" s="69">
        <f>18</f>
        <v>18</v>
      </c>
    </row>
    <row r="208" spans="1:24">
      <c r="A208" s="60" t="s">
        <v>853</v>
      </c>
      <c r="B208" s="60" t="s">
        <v>614</v>
      </c>
      <c r="C208" s="60" t="s">
        <v>615</v>
      </c>
      <c r="D208" s="60" t="s">
        <v>616</v>
      </c>
      <c r="E208" s="61" t="s">
        <v>46</v>
      </c>
      <c r="F208" s="62" t="s">
        <v>46</v>
      </c>
      <c r="G208" s="63" t="s">
        <v>46</v>
      </c>
      <c r="H208" s="64"/>
      <c r="I208" s="64" t="s">
        <v>577</v>
      </c>
      <c r="J208" s="65">
        <v>1</v>
      </c>
      <c r="K208" s="66">
        <f>13310</f>
        <v>13310</v>
      </c>
      <c r="L208" s="67" t="s">
        <v>840</v>
      </c>
      <c r="M208" s="66">
        <f>13890</f>
        <v>13890</v>
      </c>
      <c r="N208" s="67" t="s">
        <v>95</v>
      </c>
      <c r="O208" s="66">
        <f>12950</f>
        <v>12950</v>
      </c>
      <c r="P208" s="67" t="s">
        <v>61</v>
      </c>
      <c r="Q208" s="66">
        <f>13560</f>
        <v>13560</v>
      </c>
      <c r="R208" s="67" t="s">
        <v>51</v>
      </c>
      <c r="S208" s="68">
        <f>13540.95</f>
        <v>13540.95</v>
      </c>
      <c r="T208" s="65">
        <f>33649</f>
        <v>33649</v>
      </c>
      <c r="U208" s="65">
        <f>7000</f>
        <v>7000</v>
      </c>
      <c r="V208" s="65">
        <f>460668260</f>
        <v>460668260</v>
      </c>
      <c r="W208" s="65">
        <f>97720000</f>
        <v>97720000</v>
      </c>
      <c r="X208" s="69">
        <f>21</f>
        <v>21</v>
      </c>
    </row>
    <row r="209" spans="1:24">
      <c r="A209" s="60" t="s">
        <v>853</v>
      </c>
      <c r="B209" s="60" t="s">
        <v>617</v>
      </c>
      <c r="C209" s="60" t="s">
        <v>618</v>
      </c>
      <c r="D209" s="60" t="s">
        <v>619</v>
      </c>
      <c r="E209" s="61" t="s">
        <v>46</v>
      </c>
      <c r="F209" s="62" t="s">
        <v>46</v>
      </c>
      <c r="G209" s="63" t="s">
        <v>46</v>
      </c>
      <c r="H209" s="64"/>
      <c r="I209" s="64" t="s">
        <v>577</v>
      </c>
      <c r="J209" s="65">
        <v>1</v>
      </c>
      <c r="K209" s="66">
        <f>11920</f>
        <v>11920</v>
      </c>
      <c r="L209" s="67" t="s">
        <v>840</v>
      </c>
      <c r="M209" s="66">
        <f>12380</f>
        <v>12380</v>
      </c>
      <c r="N209" s="67" t="s">
        <v>48</v>
      </c>
      <c r="O209" s="66">
        <f>11800</f>
        <v>11800</v>
      </c>
      <c r="P209" s="67" t="s">
        <v>79</v>
      </c>
      <c r="Q209" s="66">
        <f>11900</f>
        <v>11900</v>
      </c>
      <c r="R209" s="67" t="s">
        <v>51</v>
      </c>
      <c r="S209" s="68">
        <f>11992.11</f>
        <v>11992.11</v>
      </c>
      <c r="T209" s="65">
        <f>1998</f>
        <v>1998</v>
      </c>
      <c r="U209" s="65" t="str">
        <f>"－"</f>
        <v>－</v>
      </c>
      <c r="V209" s="65">
        <f>24070800</f>
        <v>24070800</v>
      </c>
      <c r="W209" s="65" t="str">
        <f>"－"</f>
        <v>－</v>
      </c>
      <c r="X209" s="69">
        <f>19</f>
        <v>19</v>
      </c>
    </row>
    <row r="210" spans="1:24">
      <c r="A210" s="60" t="s">
        <v>853</v>
      </c>
      <c r="B210" s="60" t="s">
        <v>620</v>
      </c>
      <c r="C210" s="60" t="s">
        <v>621</v>
      </c>
      <c r="D210" s="60" t="s">
        <v>622</v>
      </c>
      <c r="E210" s="61" t="s">
        <v>46</v>
      </c>
      <c r="F210" s="62" t="s">
        <v>46</v>
      </c>
      <c r="G210" s="63" t="s">
        <v>46</v>
      </c>
      <c r="H210" s="64"/>
      <c r="I210" s="64" t="s">
        <v>577</v>
      </c>
      <c r="J210" s="65">
        <v>1</v>
      </c>
      <c r="K210" s="66">
        <f>6280</f>
        <v>6280</v>
      </c>
      <c r="L210" s="67" t="s">
        <v>840</v>
      </c>
      <c r="M210" s="66">
        <f>7650</f>
        <v>7650</v>
      </c>
      <c r="N210" s="67" t="s">
        <v>309</v>
      </c>
      <c r="O210" s="66">
        <f>6270</f>
        <v>6270</v>
      </c>
      <c r="P210" s="67" t="s">
        <v>840</v>
      </c>
      <c r="Q210" s="66">
        <f>7240</f>
        <v>7240</v>
      </c>
      <c r="R210" s="67" t="s">
        <v>51</v>
      </c>
      <c r="S210" s="68">
        <f>7091.43</f>
        <v>7091.43</v>
      </c>
      <c r="T210" s="65">
        <f>120837</f>
        <v>120837</v>
      </c>
      <c r="U210" s="65">
        <f>4866</f>
        <v>4866</v>
      </c>
      <c r="V210" s="65">
        <f>851167460</f>
        <v>851167460</v>
      </c>
      <c r="W210" s="65">
        <f>34477250</f>
        <v>34477250</v>
      </c>
      <c r="X210" s="69">
        <f>21</f>
        <v>21</v>
      </c>
    </row>
    <row r="211" spans="1:24">
      <c r="A211" s="60" t="s">
        <v>853</v>
      </c>
      <c r="B211" s="60" t="s">
        <v>623</v>
      </c>
      <c r="C211" s="60" t="s">
        <v>624</v>
      </c>
      <c r="D211" s="60" t="s">
        <v>625</v>
      </c>
      <c r="E211" s="61" t="s">
        <v>46</v>
      </c>
      <c r="F211" s="62" t="s">
        <v>46</v>
      </c>
      <c r="G211" s="63" t="s">
        <v>46</v>
      </c>
      <c r="H211" s="64"/>
      <c r="I211" s="64" t="s">
        <v>577</v>
      </c>
      <c r="J211" s="65">
        <v>1</v>
      </c>
      <c r="K211" s="66">
        <f>6480</f>
        <v>6480</v>
      </c>
      <c r="L211" s="67" t="s">
        <v>840</v>
      </c>
      <c r="M211" s="66">
        <f>6580</f>
        <v>6580</v>
      </c>
      <c r="N211" s="67" t="s">
        <v>840</v>
      </c>
      <c r="O211" s="66">
        <f>5760</f>
        <v>5760</v>
      </c>
      <c r="P211" s="67" t="s">
        <v>245</v>
      </c>
      <c r="Q211" s="66">
        <f>5910</f>
        <v>5910</v>
      </c>
      <c r="R211" s="67" t="s">
        <v>51</v>
      </c>
      <c r="S211" s="68">
        <f>6204.76</f>
        <v>6204.76</v>
      </c>
      <c r="T211" s="65">
        <f>7696</f>
        <v>7696</v>
      </c>
      <c r="U211" s="65" t="str">
        <f t="shared" ref="U211:U218" si="8">"－"</f>
        <v>－</v>
      </c>
      <c r="V211" s="65">
        <f>47478620</f>
        <v>47478620</v>
      </c>
      <c r="W211" s="65" t="str">
        <f t="shared" ref="W211:W218" si="9">"－"</f>
        <v>－</v>
      </c>
      <c r="X211" s="69">
        <f>21</f>
        <v>21</v>
      </c>
    </row>
    <row r="212" spans="1:24">
      <c r="A212" s="60" t="s">
        <v>853</v>
      </c>
      <c r="B212" s="60" t="s">
        <v>626</v>
      </c>
      <c r="C212" s="60" t="s">
        <v>627</v>
      </c>
      <c r="D212" s="60" t="s">
        <v>628</v>
      </c>
      <c r="E212" s="61" t="s">
        <v>46</v>
      </c>
      <c r="F212" s="62" t="s">
        <v>46</v>
      </c>
      <c r="G212" s="63" t="s">
        <v>46</v>
      </c>
      <c r="H212" s="64"/>
      <c r="I212" s="64" t="s">
        <v>577</v>
      </c>
      <c r="J212" s="65">
        <v>1</v>
      </c>
      <c r="K212" s="66">
        <f>8270</f>
        <v>8270</v>
      </c>
      <c r="L212" s="67" t="s">
        <v>833</v>
      </c>
      <c r="M212" s="66">
        <f>8490</f>
        <v>8490</v>
      </c>
      <c r="N212" s="67" t="s">
        <v>72</v>
      </c>
      <c r="O212" s="66">
        <f>7600</f>
        <v>7600</v>
      </c>
      <c r="P212" s="67" t="s">
        <v>51</v>
      </c>
      <c r="Q212" s="66">
        <f>7620</f>
        <v>7620</v>
      </c>
      <c r="R212" s="67" t="s">
        <v>51</v>
      </c>
      <c r="S212" s="68">
        <f>8260</f>
        <v>8260</v>
      </c>
      <c r="T212" s="65">
        <f>1414</f>
        <v>1414</v>
      </c>
      <c r="U212" s="65" t="str">
        <f t="shared" si="8"/>
        <v>－</v>
      </c>
      <c r="V212" s="65">
        <f>11756890</f>
        <v>11756890</v>
      </c>
      <c r="W212" s="65" t="str">
        <f t="shared" si="9"/>
        <v>－</v>
      </c>
      <c r="X212" s="69">
        <f>17</f>
        <v>17</v>
      </c>
    </row>
    <row r="213" spans="1:24">
      <c r="A213" s="60" t="s">
        <v>853</v>
      </c>
      <c r="B213" s="60" t="s">
        <v>629</v>
      </c>
      <c r="C213" s="60" t="s">
        <v>630</v>
      </c>
      <c r="D213" s="60" t="s">
        <v>631</v>
      </c>
      <c r="E213" s="61" t="s">
        <v>46</v>
      </c>
      <c r="F213" s="62" t="s">
        <v>46</v>
      </c>
      <c r="G213" s="63" t="s">
        <v>46</v>
      </c>
      <c r="H213" s="64"/>
      <c r="I213" s="64" t="s">
        <v>577</v>
      </c>
      <c r="J213" s="65">
        <v>1</v>
      </c>
      <c r="K213" s="66">
        <f>9580</f>
        <v>9580</v>
      </c>
      <c r="L213" s="67" t="s">
        <v>48</v>
      </c>
      <c r="M213" s="66">
        <f>9650</f>
        <v>9650</v>
      </c>
      <c r="N213" s="67" t="s">
        <v>100</v>
      </c>
      <c r="O213" s="66">
        <f>9300</f>
        <v>9300</v>
      </c>
      <c r="P213" s="67" t="s">
        <v>51</v>
      </c>
      <c r="Q213" s="66">
        <f>9300</f>
        <v>9300</v>
      </c>
      <c r="R213" s="67" t="s">
        <v>51</v>
      </c>
      <c r="S213" s="68">
        <f>9556.67</f>
        <v>9556.67</v>
      </c>
      <c r="T213" s="65">
        <f>351</f>
        <v>351</v>
      </c>
      <c r="U213" s="65" t="str">
        <f t="shared" si="8"/>
        <v>－</v>
      </c>
      <c r="V213" s="65">
        <f>3366010</f>
        <v>3366010</v>
      </c>
      <c r="W213" s="65" t="str">
        <f t="shared" si="9"/>
        <v>－</v>
      </c>
      <c r="X213" s="69">
        <f>6</f>
        <v>6</v>
      </c>
    </row>
    <row r="214" spans="1:24">
      <c r="A214" s="60" t="s">
        <v>853</v>
      </c>
      <c r="B214" s="60" t="s">
        <v>632</v>
      </c>
      <c r="C214" s="60" t="s">
        <v>633</v>
      </c>
      <c r="D214" s="60" t="s">
        <v>634</v>
      </c>
      <c r="E214" s="61" t="s">
        <v>46</v>
      </c>
      <c r="F214" s="62" t="s">
        <v>46</v>
      </c>
      <c r="G214" s="63" t="s">
        <v>46</v>
      </c>
      <c r="H214" s="64"/>
      <c r="I214" s="64" t="s">
        <v>577</v>
      </c>
      <c r="J214" s="65">
        <v>1</v>
      </c>
      <c r="K214" s="66">
        <f>9830</f>
        <v>9830</v>
      </c>
      <c r="L214" s="67" t="s">
        <v>820</v>
      </c>
      <c r="M214" s="66">
        <f>10010</f>
        <v>10010</v>
      </c>
      <c r="N214" s="67" t="s">
        <v>309</v>
      </c>
      <c r="O214" s="66">
        <f>9030</f>
        <v>9030</v>
      </c>
      <c r="P214" s="67" t="s">
        <v>51</v>
      </c>
      <c r="Q214" s="66">
        <f>9030</f>
        <v>9030</v>
      </c>
      <c r="R214" s="67" t="s">
        <v>51</v>
      </c>
      <c r="S214" s="68">
        <f>9667.5</f>
        <v>9667.5</v>
      </c>
      <c r="T214" s="65">
        <f>4148</f>
        <v>4148</v>
      </c>
      <c r="U214" s="65" t="str">
        <f t="shared" si="8"/>
        <v>－</v>
      </c>
      <c r="V214" s="65">
        <f>40693710</f>
        <v>40693710</v>
      </c>
      <c r="W214" s="65" t="str">
        <f t="shared" si="9"/>
        <v>－</v>
      </c>
      <c r="X214" s="69">
        <f>4</f>
        <v>4</v>
      </c>
    </row>
    <row r="215" spans="1:24">
      <c r="A215" s="60" t="s">
        <v>853</v>
      </c>
      <c r="B215" s="60" t="s">
        <v>635</v>
      </c>
      <c r="C215" s="60" t="s">
        <v>636</v>
      </c>
      <c r="D215" s="60" t="s">
        <v>637</v>
      </c>
      <c r="E215" s="61" t="s">
        <v>46</v>
      </c>
      <c r="F215" s="62" t="s">
        <v>46</v>
      </c>
      <c r="G215" s="63" t="s">
        <v>46</v>
      </c>
      <c r="H215" s="64"/>
      <c r="I215" s="64" t="s">
        <v>577</v>
      </c>
      <c r="J215" s="65">
        <v>1</v>
      </c>
      <c r="K215" s="66">
        <f>10660</f>
        <v>10660</v>
      </c>
      <c r="L215" s="67" t="s">
        <v>814</v>
      </c>
      <c r="M215" s="66">
        <f>10810</f>
        <v>10810</v>
      </c>
      <c r="N215" s="67" t="s">
        <v>48</v>
      </c>
      <c r="O215" s="66">
        <f>10270</f>
        <v>10270</v>
      </c>
      <c r="P215" s="67" t="s">
        <v>51</v>
      </c>
      <c r="Q215" s="66">
        <f>10300</f>
        <v>10300</v>
      </c>
      <c r="R215" s="67" t="s">
        <v>51</v>
      </c>
      <c r="S215" s="68">
        <f>10505</f>
        <v>10505</v>
      </c>
      <c r="T215" s="65">
        <f>3116</f>
        <v>3116</v>
      </c>
      <c r="U215" s="65" t="str">
        <f t="shared" si="8"/>
        <v>－</v>
      </c>
      <c r="V215" s="65">
        <f>32255380</f>
        <v>32255380</v>
      </c>
      <c r="W215" s="65" t="str">
        <f t="shared" si="9"/>
        <v>－</v>
      </c>
      <c r="X215" s="69">
        <f>8</f>
        <v>8</v>
      </c>
    </row>
    <row r="216" spans="1:24">
      <c r="A216" s="60" t="s">
        <v>853</v>
      </c>
      <c r="B216" s="60" t="s">
        <v>638</v>
      </c>
      <c r="C216" s="60" t="s">
        <v>639</v>
      </c>
      <c r="D216" s="60" t="s">
        <v>640</v>
      </c>
      <c r="E216" s="61" t="s">
        <v>46</v>
      </c>
      <c r="F216" s="62" t="s">
        <v>46</v>
      </c>
      <c r="G216" s="63" t="s">
        <v>46</v>
      </c>
      <c r="H216" s="64"/>
      <c r="I216" s="64" t="s">
        <v>577</v>
      </c>
      <c r="J216" s="65">
        <v>1</v>
      </c>
      <c r="K216" s="66">
        <f>9380</f>
        <v>9380</v>
      </c>
      <c r="L216" s="67" t="s">
        <v>840</v>
      </c>
      <c r="M216" s="66">
        <f>9760</f>
        <v>9760</v>
      </c>
      <c r="N216" s="67" t="s">
        <v>150</v>
      </c>
      <c r="O216" s="66">
        <f>9070</f>
        <v>9070</v>
      </c>
      <c r="P216" s="67" t="s">
        <v>51</v>
      </c>
      <c r="Q216" s="66">
        <f>9070</f>
        <v>9070</v>
      </c>
      <c r="R216" s="67" t="s">
        <v>51</v>
      </c>
      <c r="S216" s="68">
        <f>9494</f>
        <v>9494</v>
      </c>
      <c r="T216" s="65">
        <f>5888</f>
        <v>5888</v>
      </c>
      <c r="U216" s="65" t="str">
        <f t="shared" si="8"/>
        <v>－</v>
      </c>
      <c r="V216" s="65">
        <f>55643030</f>
        <v>55643030</v>
      </c>
      <c r="W216" s="65" t="str">
        <f t="shared" si="9"/>
        <v>－</v>
      </c>
      <c r="X216" s="69">
        <f>20</f>
        <v>20</v>
      </c>
    </row>
    <row r="217" spans="1:24">
      <c r="A217" s="60" t="s">
        <v>853</v>
      </c>
      <c r="B217" s="60" t="s">
        <v>641</v>
      </c>
      <c r="C217" s="60" t="s">
        <v>642</v>
      </c>
      <c r="D217" s="60" t="s">
        <v>643</v>
      </c>
      <c r="E217" s="61" t="s">
        <v>46</v>
      </c>
      <c r="F217" s="62" t="s">
        <v>46</v>
      </c>
      <c r="G217" s="63" t="s">
        <v>46</v>
      </c>
      <c r="H217" s="64"/>
      <c r="I217" s="64" t="s">
        <v>577</v>
      </c>
      <c r="J217" s="65">
        <v>1</v>
      </c>
      <c r="K217" s="66">
        <f>9500</f>
        <v>9500</v>
      </c>
      <c r="L217" s="67" t="s">
        <v>48</v>
      </c>
      <c r="M217" s="66">
        <f>9650</f>
        <v>9650</v>
      </c>
      <c r="N217" s="67" t="s">
        <v>86</v>
      </c>
      <c r="O217" s="66">
        <f>9500</f>
        <v>9500</v>
      </c>
      <c r="P217" s="67" t="s">
        <v>48</v>
      </c>
      <c r="Q217" s="66">
        <f>9640</f>
        <v>9640</v>
      </c>
      <c r="R217" s="67" t="s">
        <v>309</v>
      </c>
      <c r="S217" s="68">
        <f>9577.5</f>
        <v>9577.5</v>
      </c>
      <c r="T217" s="65">
        <f>674</f>
        <v>674</v>
      </c>
      <c r="U217" s="65" t="str">
        <f t="shared" si="8"/>
        <v>－</v>
      </c>
      <c r="V217" s="65">
        <f>6432300</f>
        <v>6432300</v>
      </c>
      <c r="W217" s="65" t="str">
        <f t="shared" si="9"/>
        <v>－</v>
      </c>
      <c r="X217" s="69">
        <f>4</f>
        <v>4</v>
      </c>
    </row>
    <row r="218" spans="1:24">
      <c r="A218" s="60" t="s">
        <v>853</v>
      </c>
      <c r="B218" s="60" t="s">
        <v>644</v>
      </c>
      <c r="C218" s="60" t="s">
        <v>645</v>
      </c>
      <c r="D218" s="60" t="s">
        <v>646</v>
      </c>
      <c r="E218" s="61" t="s">
        <v>46</v>
      </c>
      <c r="F218" s="62" t="s">
        <v>46</v>
      </c>
      <c r="G218" s="63" t="s">
        <v>46</v>
      </c>
      <c r="H218" s="64"/>
      <c r="I218" s="64" t="s">
        <v>577</v>
      </c>
      <c r="J218" s="65">
        <v>1</v>
      </c>
      <c r="K218" s="66">
        <f>11000</f>
        <v>11000</v>
      </c>
      <c r="L218" s="67" t="s">
        <v>309</v>
      </c>
      <c r="M218" s="66">
        <f>11000</f>
        <v>11000</v>
      </c>
      <c r="N218" s="67" t="s">
        <v>309</v>
      </c>
      <c r="O218" s="66">
        <f>11000</f>
        <v>11000</v>
      </c>
      <c r="P218" s="67" t="s">
        <v>309</v>
      </c>
      <c r="Q218" s="66">
        <f>11000</f>
        <v>11000</v>
      </c>
      <c r="R218" s="67" t="s">
        <v>309</v>
      </c>
      <c r="S218" s="68">
        <f>11000</f>
        <v>11000</v>
      </c>
      <c r="T218" s="65">
        <f>1</f>
        <v>1</v>
      </c>
      <c r="U218" s="65" t="str">
        <f t="shared" si="8"/>
        <v>－</v>
      </c>
      <c r="V218" s="65">
        <f>11000</f>
        <v>11000</v>
      </c>
      <c r="W218" s="65" t="str">
        <f t="shared" si="9"/>
        <v>－</v>
      </c>
      <c r="X218" s="69">
        <f>1</f>
        <v>1</v>
      </c>
    </row>
    <row r="219" spans="1:24">
      <c r="A219" s="60" t="s">
        <v>853</v>
      </c>
      <c r="B219" s="60" t="s">
        <v>647</v>
      </c>
      <c r="C219" s="60" t="s">
        <v>648</v>
      </c>
      <c r="D219" s="60" t="s">
        <v>649</v>
      </c>
      <c r="E219" s="61" t="s">
        <v>46</v>
      </c>
      <c r="F219" s="62" t="s">
        <v>46</v>
      </c>
      <c r="G219" s="63" t="s">
        <v>46</v>
      </c>
      <c r="H219" s="64"/>
      <c r="I219" s="64" t="s">
        <v>47</v>
      </c>
      <c r="J219" s="65">
        <v>10</v>
      </c>
      <c r="K219" s="66">
        <f>999</f>
        <v>999</v>
      </c>
      <c r="L219" s="67" t="s">
        <v>840</v>
      </c>
      <c r="M219" s="66">
        <f>1004</f>
        <v>1004</v>
      </c>
      <c r="N219" s="67" t="s">
        <v>79</v>
      </c>
      <c r="O219" s="66">
        <f>996</f>
        <v>996</v>
      </c>
      <c r="P219" s="67" t="s">
        <v>833</v>
      </c>
      <c r="Q219" s="66">
        <f>1001</f>
        <v>1001</v>
      </c>
      <c r="R219" s="67" t="s">
        <v>51</v>
      </c>
      <c r="S219" s="68">
        <f>1000.05</f>
        <v>1000.05</v>
      </c>
      <c r="T219" s="65">
        <f>690760</f>
        <v>690760</v>
      </c>
      <c r="U219" s="65">
        <f>400000</f>
        <v>400000</v>
      </c>
      <c r="V219" s="65">
        <f>691999490</f>
        <v>691999490</v>
      </c>
      <c r="W219" s="65">
        <f>401000000</f>
        <v>401000000</v>
      </c>
      <c r="X219" s="69">
        <f>21</f>
        <v>21</v>
      </c>
    </row>
    <row r="220" spans="1:24">
      <c r="A220" s="60" t="s">
        <v>853</v>
      </c>
      <c r="B220" s="60" t="s">
        <v>650</v>
      </c>
      <c r="C220" s="60" t="s">
        <v>651</v>
      </c>
      <c r="D220" s="60" t="s">
        <v>652</v>
      </c>
      <c r="E220" s="61" t="s">
        <v>46</v>
      </c>
      <c r="F220" s="62" t="s">
        <v>46</v>
      </c>
      <c r="G220" s="63" t="s">
        <v>46</v>
      </c>
      <c r="H220" s="64"/>
      <c r="I220" s="64" t="s">
        <v>47</v>
      </c>
      <c r="J220" s="65">
        <v>10</v>
      </c>
      <c r="K220" s="66">
        <f>1007</f>
        <v>1007</v>
      </c>
      <c r="L220" s="67" t="s">
        <v>840</v>
      </c>
      <c r="M220" s="66">
        <f>1014</f>
        <v>1014</v>
      </c>
      <c r="N220" s="67" t="s">
        <v>309</v>
      </c>
      <c r="O220" s="66">
        <f>994</f>
        <v>994</v>
      </c>
      <c r="P220" s="67" t="s">
        <v>833</v>
      </c>
      <c r="Q220" s="66">
        <f>1010</f>
        <v>1010</v>
      </c>
      <c r="R220" s="67" t="s">
        <v>51</v>
      </c>
      <c r="S220" s="68">
        <f>1004.33</f>
        <v>1004.33</v>
      </c>
      <c r="T220" s="65">
        <f>1070860</f>
        <v>1070860</v>
      </c>
      <c r="U220" s="65">
        <f>510230</f>
        <v>510230</v>
      </c>
      <c r="V220" s="65">
        <f>1076683990</f>
        <v>1076683990</v>
      </c>
      <c r="W220" s="65">
        <f>511675660</f>
        <v>511675660</v>
      </c>
      <c r="X220" s="69">
        <f>21</f>
        <v>21</v>
      </c>
    </row>
    <row r="221" spans="1:24">
      <c r="A221" s="60" t="s">
        <v>853</v>
      </c>
      <c r="B221" s="60" t="s">
        <v>653</v>
      </c>
      <c r="C221" s="60" t="s">
        <v>654</v>
      </c>
      <c r="D221" s="60" t="s">
        <v>655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f>1056</f>
        <v>1056</v>
      </c>
      <c r="L221" s="67" t="s">
        <v>840</v>
      </c>
      <c r="M221" s="66">
        <f>1071</f>
        <v>1071</v>
      </c>
      <c r="N221" s="67" t="s">
        <v>51</v>
      </c>
      <c r="O221" s="66">
        <f>1052</f>
        <v>1052</v>
      </c>
      <c r="P221" s="67" t="s">
        <v>833</v>
      </c>
      <c r="Q221" s="66">
        <f>1071</f>
        <v>1071</v>
      </c>
      <c r="R221" s="67" t="s">
        <v>51</v>
      </c>
      <c r="S221" s="68">
        <f>1060.29</f>
        <v>1060.29</v>
      </c>
      <c r="T221" s="65">
        <f>2172580</f>
        <v>2172580</v>
      </c>
      <c r="U221" s="65">
        <f>1995000</f>
        <v>1995000</v>
      </c>
      <c r="V221" s="65">
        <f>2307446508</f>
        <v>2307446508</v>
      </c>
      <c r="W221" s="65">
        <f>2119373408</f>
        <v>2119373408</v>
      </c>
      <c r="X221" s="69">
        <f>21</f>
        <v>21</v>
      </c>
    </row>
    <row r="222" spans="1:24">
      <c r="A222" s="60" t="s">
        <v>853</v>
      </c>
      <c r="B222" s="60" t="s">
        <v>656</v>
      </c>
      <c r="C222" s="60" t="s">
        <v>657</v>
      </c>
      <c r="D222" s="60" t="s">
        <v>658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1055</f>
        <v>1055</v>
      </c>
      <c r="L222" s="67" t="s">
        <v>840</v>
      </c>
      <c r="M222" s="66">
        <f>1138</f>
        <v>1138</v>
      </c>
      <c r="N222" s="67" t="s">
        <v>309</v>
      </c>
      <c r="O222" s="66">
        <f>1049</f>
        <v>1049</v>
      </c>
      <c r="P222" s="67" t="s">
        <v>840</v>
      </c>
      <c r="Q222" s="66">
        <f>1074</f>
        <v>1074</v>
      </c>
      <c r="R222" s="67" t="s">
        <v>51</v>
      </c>
      <c r="S222" s="68">
        <f>1081.24</f>
        <v>1081.24</v>
      </c>
      <c r="T222" s="65">
        <f>63330</f>
        <v>63330</v>
      </c>
      <c r="U222" s="65" t="str">
        <f>"－"</f>
        <v>－</v>
      </c>
      <c r="V222" s="65">
        <f>69017850</f>
        <v>69017850</v>
      </c>
      <c r="W222" s="65" t="str">
        <f>"－"</f>
        <v>－</v>
      </c>
      <c r="X222" s="69">
        <f>21</f>
        <v>21</v>
      </c>
    </row>
    <row r="223" spans="1:24">
      <c r="A223" s="60" t="s">
        <v>853</v>
      </c>
      <c r="B223" s="60" t="s">
        <v>659</v>
      </c>
      <c r="C223" s="60" t="s">
        <v>660</v>
      </c>
      <c r="D223" s="60" t="s">
        <v>661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1085</f>
        <v>1085</v>
      </c>
      <c r="L223" s="67" t="s">
        <v>840</v>
      </c>
      <c r="M223" s="66">
        <f>1148</f>
        <v>1148</v>
      </c>
      <c r="N223" s="67" t="s">
        <v>150</v>
      </c>
      <c r="O223" s="66">
        <f>1083</f>
        <v>1083</v>
      </c>
      <c r="P223" s="67" t="s">
        <v>840</v>
      </c>
      <c r="Q223" s="66">
        <f>1126</f>
        <v>1126</v>
      </c>
      <c r="R223" s="67" t="s">
        <v>51</v>
      </c>
      <c r="S223" s="68">
        <f>1118.24</f>
        <v>1118.24</v>
      </c>
      <c r="T223" s="65">
        <f>74880</f>
        <v>74880</v>
      </c>
      <c r="U223" s="65" t="str">
        <f>"－"</f>
        <v>－</v>
      </c>
      <c r="V223" s="65">
        <f>83780170</f>
        <v>83780170</v>
      </c>
      <c r="W223" s="65" t="str">
        <f>"－"</f>
        <v>－</v>
      </c>
      <c r="X223" s="69">
        <f>21</f>
        <v>21</v>
      </c>
    </row>
    <row r="224" spans="1:24">
      <c r="A224" s="60" t="s">
        <v>853</v>
      </c>
      <c r="B224" s="60" t="s">
        <v>662</v>
      </c>
      <c r="C224" s="60" t="s">
        <v>663</v>
      </c>
      <c r="D224" s="60" t="s">
        <v>664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831</f>
        <v>831</v>
      </c>
      <c r="L224" s="67" t="s">
        <v>840</v>
      </c>
      <c r="M224" s="66">
        <f>863</f>
        <v>863</v>
      </c>
      <c r="N224" s="67" t="s">
        <v>48</v>
      </c>
      <c r="O224" s="66">
        <f>808</f>
        <v>808</v>
      </c>
      <c r="P224" s="67" t="s">
        <v>61</v>
      </c>
      <c r="Q224" s="66">
        <f>838</f>
        <v>838</v>
      </c>
      <c r="R224" s="67" t="s">
        <v>51</v>
      </c>
      <c r="S224" s="68">
        <f>830.95</f>
        <v>830.95</v>
      </c>
      <c r="T224" s="65">
        <f>270980</f>
        <v>270980</v>
      </c>
      <c r="U224" s="65">
        <f>310</f>
        <v>310</v>
      </c>
      <c r="V224" s="65">
        <f>225867170</f>
        <v>225867170</v>
      </c>
      <c r="W224" s="65">
        <f>260920</f>
        <v>260920</v>
      </c>
      <c r="X224" s="69">
        <f>21</f>
        <v>21</v>
      </c>
    </row>
    <row r="225" spans="1:24">
      <c r="A225" s="60" t="s">
        <v>853</v>
      </c>
      <c r="B225" s="60" t="s">
        <v>665</v>
      </c>
      <c r="C225" s="60" t="s">
        <v>666</v>
      </c>
      <c r="D225" s="60" t="s">
        <v>667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774</f>
        <v>774</v>
      </c>
      <c r="L225" s="67" t="s">
        <v>840</v>
      </c>
      <c r="M225" s="66">
        <f>781</f>
        <v>781</v>
      </c>
      <c r="N225" s="67" t="s">
        <v>72</v>
      </c>
      <c r="O225" s="66">
        <f>720</f>
        <v>720</v>
      </c>
      <c r="P225" s="67" t="s">
        <v>245</v>
      </c>
      <c r="Q225" s="66">
        <f>732</f>
        <v>732</v>
      </c>
      <c r="R225" s="67" t="s">
        <v>51</v>
      </c>
      <c r="S225" s="68">
        <f>756.9</f>
        <v>756.9</v>
      </c>
      <c r="T225" s="65">
        <f>11376850</f>
        <v>11376850</v>
      </c>
      <c r="U225" s="65">
        <f>7630</f>
        <v>7630</v>
      </c>
      <c r="V225" s="65">
        <f>8551741305</f>
        <v>8551741305</v>
      </c>
      <c r="W225" s="65">
        <f>5797125</f>
        <v>5797125</v>
      </c>
      <c r="X225" s="69">
        <f>21</f>
        <v>21</v>
      </c>
    </row>
    <row r="226" spans="1:24">
      <c r="A226" s="60" t="s">
        <v>853</v>
      </c>
      <c r="B226" s="60" t="s">
        <v>668</v>
      </c>
      <c r="C226" s="60" t="s">
        <v>669</v>
      </c>
      <c r="D226" s="60" t="s">
        <v>670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10</v>
      </c>
      <c r="K226" s="66">
        <f>968</f>
        <v>968</v>
      </c>
      <c r="L226" s="67" t="s">
        <v>840</v>
      </c>
      <c r="M226" s="66">
        <f>990</f>
        <v>990</v>
      </c>
      <c r="N226" s="67" t="s">
        <v>48</v>
      </c>
      <c r="O226" s="66">
        <f>948</f>
        <v>948</v>
      </c>
      <c r="P226" s="67" t="s">
        <v>51</v>
      </c>
      <c r="Q226" s="66">
        <f>960</f>
        <v>960</v>
      </c>
      <c r="R226" s="67" t="s">
        <v>51</v>
      </c>
      <c r="S226" s="68">
        <f>965.86</f>
        <v>965.86</v>
      </c>
      <c r="T226" s="65">
        <f>363460</f>
        <v>363460</v>
      </c>
      <c r="U226" s="65" t="str">
        <f>"－"</f>
        <v>－</v>
      </c>
      <c r="V226" s="65">
        <f>349848280</f>
        <v>349848280</v>
      </c>
      <c r="W226" s="65" t="str">
        <f>"－"</f>
        <v>－</v>
      </c>
      <c r="X226" s="69">
        <f>21</f>
        <v>21</v>
      </c>
    </row>
    <row r="227" spans="1:24">
      <c r="A227" s="60" t="s">
        <v>853</v>
      </c>
      <c r="B227" s="60" t="s">
        <v>671</v>
      </c>
      <c r="C227" s="60" t="s">
        <v>672</v>
      </c>
      <c r="D227" s="60" t="s">
        <v>673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</v>
      </c>
      <c r="K227" s="66">
        <f>926</f>
        <v>926</v>
      </c>
      <c r="L227" s="67" t="s">
        <v>840</v>
      </c>
      <c r="M227" s="66">
        <f>937</f>
        <v>937</v>
      </c>
      <c r="N227" s="67" t="s">
        <v>86</v>
      </c>
      <c r="O227" s="66">
        <f>885</f>
        <v>885</v>
      </c>
      <c r="P227" s="67" t="s">
        <v>51</v>
      </c>
      <c r="Q227" s="66">
        <f>886</f>
        <v>886</v>
      </c>
      <c r="R227" s="67" t="s">
        <v>51</v>
      </c>
      <c r="S227" s="68">
        <f>922.43</f>
        <v>922.43</v>
      </c>
      <c r="T227" s="65">
        <f>5079</f>
        <v>5079</v>
      </c>
      <c r="U227" s="65" t="str">
        <f>"－"</f>
        <v>－</v>
      </c>
      <c r="V227" s="65">
        <f>4687998</f>
        <v>4687998</v>
      </c>
      <c r="W227" s="65" t="str">
        <f>"－"</f>
        <v>－</v>
      </c>
      <c r="X227" s="69">
        <f>21</f>
        <v>21</v>
      </c>
    </row>
    <row r="228" spans="1:24">
      <c r="A228" s="60" t="s">
        <v>853</v>
      </c>
      <c r="B228" s="60" t="s">
        <v>674</v>
      </c>
      <c r="C228" s="60" t="s">
        <v>675</v>
      </c>
      <c r="D228" s="60" t="s">
        <v>676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10</v>
      </c>
      <c r="K228" s="66">
        <f>1027</f>
        <v>1027</v>
      </c>
      <c r="L228" s="67" t="s">
        <v>840</v>
      </c>
      <c r="M228" s="66">
        <f>1045</f>
        <v>1045</v>
      </c>
      <c r="N228" s="67" t="s">
        <v>91</v>
      </c>
      <c r="O228" s="66">
        <f>1020</f>
        <v>1020</v>
      </c>
      <c r="P228" s="67" t="s">
        <v>840</v>
      </c>
      <c r="Q228" s="66">
        <f>1020</f>
        <v>1020</v>
      </c>
      <c r="R228" s="67" t="s">
        <v>51</v>
      </c>
      <c r="S228" s="68">
        <f>1029.81</f>
        <v>1029.81</v>
      </c>
      <c r="T228" s="65">
        <f>47260</f>
        <v>47260</v>
      </c>
      <c r="U228" s="65" t="str">
        <f>"－"</f>
        <v>－</v>
      </c>
      <c r="V228" s="65">
        <f>48598140</f>
        <v>48598140</v>
      </c>
      <c r="W228" s="65" t="str">
        <f>"－"</f>
        <v>－</v>
      </c>
      <c r="X228" s="69">
        <f>21</f>
        <v>21</v>
      </c>
    </row>
    <row r="229" spans="1:24">
      <c r="A229" s="60" t="s">
        <v>853</v>
      </c>
      <c r="B229" s="60" t="s">
        <v>677</v>
      </c>
      <c r="C229" s="60" t="s">
        <v>678</v>
      </c>
      <c r="D229" s="60" t="s">
        <v>679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10</v>
      </c>
      <c r="K229" s="66">
        <f>928</f>
        <v>928</v>
      </c>
      <c r="L229" s="67" t="s">
        <v>840</v>
      </c>
      <c r="M229" s="66">
        <f>1024</f>
        <v>1024</v>
      </c>
      <c r="N229" s="67" t="s">
        <v>91</v>
      </c>
      <c r="O229" s="66">
        <f>925</f>
        <v>925</v>
      </c>
      <c r="P229" s="67" t="s">
        <v>840</v>
      </c>
      <c r="Q229" s="66">
        <f>998</f>
        <v>998</v>
      </c>
      <c r="R229" s="67" t="s">
        <v>51</v>
      </c>
      <c r="S229" s="68">
        <f>984.95</f>
        <v>984.95</v>
      </c>
      <c r="T229" s="65">
        <f>22170</f>
        <v>22170</v>
      </c>
      <c r="U229" s="65" t="str">
        <f>"－"</f>
        <v>－</v>
      </c>
      <c r="V229" s="65">
        <f>22085620</f>
        <v>22085620</v>
      </c>
      <c r="W229" s="65" t="str">
        <f>"－"</f>
        <v>－</v>
      </c>
      <c r="X229" s="69">
        <f>21</f>
        <v>21</v>
      </c>
    </row>
    <row r="230" spans="1:24">
      <c r="A230" s="60" t="s">
        <v>853</v>
      </c>
      <c r="B230" s="60" t="s">
        <v>680</v>
      </c>
      <c r="C230" s="60" t="s">
        <v>681</v>
      </c>
      <c r="D230" s="60" t="s">
        <v>682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10</v>
      </c>
      <c r="K230" s="66">
        <f>1082</f>
        <v>1082</v>
      </c>
      <c r="L230" s="67" t="s">
        <v>840</v>
      </c>
      <c r="M230" s="66">
        <f>1146</f>
        <v>1146</v>
      </c>
      <c r="N230" s="67" t="s">
        <v>150</v>
      </c>
      <c r="O230" s="66">
        <f>1079</f>
        <v>1079</v>
      </c>
      <c r="P230" s="67" t="s">
        <v>840</v>
      </c>
      <c r="Q230" s="66">
        <f>1139</f>
        <v>1139</v>
      </c>
      <c r="R230" s="67" t="s">
        <v>51</v>
      </c>
      <c r="S230" s="68">
        <f>1117.67</f>
        <v>1117.67</v>
      </c>
      <c r="T230" s="65">
        <f>4765220</f>
        <v>4765220</v>
      </c>
      <c r="U230" s="65">
        <f>750000</f>
        <v>750000</v>
      </c>
      <c r="V230" s="65">
        <f>5362413320</f>
        <v>5362413320</v>
      </c>
      <c r="W230" s="65">
        <f>842970000</f>
        <v>842970000</v>
      </c>
      <c r="X230" s="69">
        <f>21</f>
        <v>21</v>
      </c>
    </row>
    <row r="231" spans="1:24">
      <c r="A231" s="60" t="s">
        <v>853</v>
      </c>
      <c r="B231" s="60" t="s">
        <v>683</v>
      </c>
      <c r="C231" s="60" t="s">
        <v>684</v>
      </c>
      <c r="D231" s="60" t="s">
        <v>685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</v>
      </c>
      <c r="K231" s="66">
        <f>2497</f>
        <v>2497</v>
      </c>
      <c r="L231" s="67" t="s">
        <v>840</v>
      </c>
      <c r="M231" s="66">
        <f>2661</f>
        <v>2661</v>
      </c>
      <c r="N231" s="67" t="s">
        <v>150</v>
      </c>
      <c r="O231" s="66">
        <f>2477</f>
        <v>2477</v>
      </c>
      <c r="P231" s="67" t="s">
        <v>833</v>
      </c>
      <c r="Q231" s="66">
        <f>2556</f>
        <v>2556</v>
      </c>
      <c r="R231" s="67" t="s">
        <v>51</v>
      </c>
      <c r="S231" s="68">
        <f>2563.14</f>
        <v>2563.14</v>
      </c>
      <c r="T231" s="65">
        <f>33487</f>
        <v>33487</v>
      </c>
      <c r="U231" s="65" t="str">
        <f>"－"</f>
        <v>－</v>
      </c>
      <c r="V231" s="65">
        <f>85050632</f>
        <v>85050632</v>
      </c>
      <c r="W231" s="65" t="str">
        <f>"－"</f>
        <v>－</v>
      </c>
      <c r="X231" s="69">
        <f>21</f>
        <v>21</v>
      </c>
    </row>
    <row r="232" spans="1:24">
      <c r="A232" s="60" t="s">
        <v>853</v>
      </c>
      <c r="B232" s="60" t="s">
        <v>686</v>
      </c>
      <c r="C232" s="60" t="s">
        <v>687</v>
      </c>
      <c r="D232" s="60" t="s">
        <v>688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10</v>
      </c>
      <c r="K232" s="66">
        <f>1420</f>
        <v>1420</v>
      </c>
      <c r="L232" s="67" t="s">
        <v>833</v>
      </c>
      <c r="M232" s="66">
        <f>1550</f>
        <v>1550</v>
      </c>
      <c r="N232" s="67" t="s">
        <v>51</v>
      </c>
      <c r="O232" s="66">
        <f>1420</f>
        <v>1420</v>
      </c>
      <c r="P232" s="67" t="s">
        <v>833</v>
      </c>
      <c r="Q232" s="66">
        <f>1550</f>
        <v>1550</v>
      </c>
      <c r="R232" s="67" t="s">
        <v>51</v>
      </c>
      <c r="S232" s="68">
        <f>1453.55</f>
        <v>1453.55</v>
      </c>
      <c r="T232" s="65">
        <f>5730</f>
        <v>5730</v>
      </c>
      <c r="U232" s="65" t="str">
        <f>"－"</f>
        <v>－</v>
      </c>
      <c r="V232" s="65">
        <f>8229390</f>
        <v>8229390</v>
      </c>
      <c r="W232" s="65" t="str">
        <f>"－"</f>
        <v>－</v>
      </c>
      <c r="X232" s="69">
        <f>11</f>
        <v>11</v>
      </c>
    </row>
    <row r="233" spans="1:24">
      <c r="A233" s="60" t="s">
        <v>853</v>
      </c>
      <c r="B233" s="60" t="s">
        <v>689</v>
      </c>
      <c r="C233" s="60" t="s">
        <v>690</v>
      </c>
      <c r="D233" s="60" t="s">
        <v>691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10</v>
      </c>
      <c r="K233" s="66">
        <f>1575</f>
        <v>1575</v>
      </c>
      <c r="L233" s="67" t="s">
        <v>840</v>
      </c>
      <c r="M233" s="66">
        <f>1611</f>
        <v>1611</v>
      </c>
      <c r="N233" s="67" t="s">
        <v>86</v>
      </c>
      <c r="O233" s="66">
        <f>1519</f>
        <v>1519</v>
      </c>
      <c r="P233" s="67" t="s">
        <v>51</v>
      </c>
      <c r="Q233" s="66">
        <f>1519</f>
        <v>1519</v>
      </c>
      <c r="R233" s="67" t="s">
        <v>51</v>
      </c>
      <c r="S233" s="68">
        <f>1584.5</f>
        <v>1584.5</v>
      </c>
      <c r="T233" s="65">
        <f>133960</f>
        <v>133960</v>
      </c>
      <c r="U233" s="65" t="str">
        <f>"－"</f>
        <v>－</v>
      </c>
      <c r="V233" s="65">
        <f>211706390</f>
        <v>211706390</v>
      </c>
      <c r="W233" s="65" t="str">
        <f>"－"</f>
        <v>－</v>
      </c>
      <c r="X233" s="69">
        <f>14</f>
        <v>14</v>
      </c>
    </row>
    <row r="234" spans="1:24">
      <c r="A234" s="60" t="s">
        <v>853</v>
      </c>
      <c r="B234" s="60" t="s">
        <v>692</v>
      </c>
      <c r="C234" s="60" t="s">
        <v>693</v>
      </c>
      <c r="D234" s="60" t="s">
        <v>694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</v>
      </c>
      <c r="K234" s="66">
        <f>22940</f>
        <v>22940</v>
      </c>
      <c r="L234" s="67" t="s">
        <v>820</v>
      </c>
      <c r="M234" s="66">
        <f>23270</f>
        <v>23270</v>
      </c>
      <c r="N234" s="67" t="s">
        <v>86</v>
      </c>
      <c r="O234" s="66">
        <f>22010</f>
        <v>22010</v>
      </c>
      <c r="P234" s="67" t="s">
        <v>51</v>
      </c>
      <c r="Q234" s="66">
        <f>22010</f>
        <v>22010</v>
      </c>
      <c r="R234" s="67" t="s">
        <v>51</v>
      </c>
      <c r="S234" s="68">
        <f>22934.29</f>
        <v>22934.29</v>
      </c>
      <c r="T234" s="65">
        <f>5460</f>
        <v>5460</v>
      </c>
      <c r="U234" s="65" t="str">
        <f>"－"</f>
        <v>－</v>
      </c>
      <c r="V234" s="65">
        <f>124187170</f>
        <v>124187170</v>
      </c>
      <c r="W234" s="65" t="str">
        <f>"－"</f>
        <v>－</v>
      </c>
      <c r="X234" s="69">
        <f>7</f>
        <v>7</v>
      </c>
    </row>
    <row r="235" spans="1:24">
      <c r="A235" s="60" t="s">
        <v>853</v>
      </c>
      <c r="B235" s="60" t="s">
        <v>695</v>
      </c>
      <c r="C235" s="60" t="s">
        <v>696</v>
      </c>
      <c r="D235" s="60" t="s">
        <v>697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</v>
      </c>
      <c r="K235" s="66">
        <f>14170</f>
        <v>14170</v>
      </c>
      <c r="L235" s="67" t="s">
        <v>840</v>
      </c>
      <c r="M235" s="66">
        <f>14550</f>
        <v>14550</v>
      </c>
      <c r="N235" s="67" t="s">
        <v>86</v>
      </c>
      <c r="O235" s="66">
        <f>13770</f>
        <v>13770</v>
      </c>
      <c r="P235" s="67" t="s">
        <v>51</v>
      </c>
      <c r="Q235" s="66">
        <f>13770</f>
        <v>13770</v>
      </c>
      <c r="R235" s="67" t="s">
        <v>51</v>
      </c>
      <c r="S235" s="68">
        <f>14312.22</f>
        <v>14312.22</v>
      </c>
      <c r="T235" s="65">
        <f>31797</f>
        <v>31797</v>
      </c>
      <c r="U235" s="65">
        <f>4</f>
        <v>4</v>
      </c>
      <c r="V235" s="65">
        <f>453461610</f>
        <v>453461610</v>
      </c>
      <c r="W235" s="65">
        <f>56960</f>
        <v>56960</v>
      </c>
      <c r="X235" s="69">
        <f>18</f>
        <v>18</v>
      </c>
    </row>
    <row r="236" spans="1:24">
      <c r="A236" s="60" t="s">
        <v>853</v>
      </c>
      <c r="B236" s="60" t="s">
        <v>698</v>
      </c>
      <c r="C236" s="60" t="s">
        <v>699</v>
      </c>
      <c r="D236" s="60" t="s">
        <v>700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10</v>
      </c>
      <c r="K236" s="66">
        <f>1003</f>
        <v>1003</v>
      </c>
      <c r="L236" s="67" t="s">
        <v>48</v>
      </c>
      <c r="M236" s="66">
        <f>1003</f>
        <v>1003</v>
      </c>
      <c r="N236" s="67" t="s">
        <v>48</v>
      </c>
      <c r="O236" s="66">
        <f>951</f>
        <v>951</v>
      </c>
      <c r="P236" s="67" t="s">
        <v>79</v>
      </c>
      <c r="Q236" s="66">
        <f>956</f>
        <v>956</v>
      </c>
      <c r="R236" s="67" t="s">
        <v>50</v>
      </c>
      <c r="S236" s="68">
        <f>969</f>
        <v>969</v>
      </c>
      <c r="T236" s="65">
        <f>256640</f>
        <v>256640</v>
      </c>
      <c r="U236" s="65">
        <f>214000</f>
        <v>214000</v>
      </c>
      <c r="V236" s="65">
        <f>251687000</f>
        <v>251687000</v>
      </c>
      <c r="W236" s="65">
        <f>210015860</f>
        <v>210015860</v>
      </c>
      <c r="X236" s="69">
        <f>10</f>
        <v>10</v>
      </c>
    </row>
    <row r="237" spans="1:24">
      <c r="A237" s="60" t="s">
        <v>853</v>
      </c>
      <c r="B237" s="60" t="s">
        <v>701</v>
      </c>
      <c r="C237" s="60" t="s">
        <v>702</v>
      </c>
      <c r="D237" s="60" t="s">
        <v>703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10</v>
      </c>
      <c r="K237" s="66">
        <f>966</f>
        <v>966</v>
      </c>
      <c r="L237" s="67" t="s">
        <v>840</v>
      </c>
      <c r="M237" s="66">
        <f>982</f>
        <v>982</v>
      </c>
      <c r="N237" s="67" t="s">
        <v>48</v>
      </c>
      <c r="O237" s="66">
        <f>948</f>
        <v>948</v>
      </c>
      <c r="P237" s="67" t="s">
        <v>49</v>
      </c>
      <c r="Q237" s="66">
        <f>951</f>
        <v>951</v>
      </c>
      <c r="R237" s="67" t="s">
        <v>51</v>
      </c>
      <c r="S237" s="68">
        <f>962.65</f>
        <v>962.65</v>
      </c>
      <c r="T237" s="65">
        <f>20490</f>
        <v>20490</v>
      </c>
      <c r="U237" s="65" t="str">
        <f t="shared" ref="U237:U245" si="10">"－"</f>
        <v>－</v>
      </c>
      <c r="V237" s="65">
        <f>19560680</f>
        <v>19560680</v>
      </c>
      <c r="W237" s="65" t="str">
        <f t="shared" ref="W237:W245" si="11">"－"</f>
        <v>－</v>
      </c>
      <c r="X237" s="69">
        <f>20</f>
        <v>20</v>
      </c>
    </row>
    <row r="238" spans="1:24">
      <c r="A238" s="60" t="s">
        <v>853</v>
      </c>
      <c r="B238" s="60" t="s">
        <v>704</v>
      </c>
      <c r="C238" s="60" t="s">
        <v>705</v>
      </c>
      <c r="D238" s="60" t="s">
        <v>706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</v>
      </c>
      <c r="K238" s="66">
        <f>877</f>
        <v>877</v>
      </c>
      <c r="L238" s="67" t="s">
        <v>840</v>
      </c>
      <c r="M238" s="66">
        <f>892</f>
        <v>892</v>
      </c>
      <c r="N238" s="67" t="s">
        <v>72</v>
      </c>
      <c r="O238" s="66">
        <f>813</f>
        <v>813</v>
      </c>
      <c r="P238" s="67" t="s">
        <v>51</v>
      </c>
      <c r="Q238" s="66">
        <f>816</f>
        <v>816</v>
      </c>
      <c r="R238" s="67" t="s">
        <v>51</v>
      </c>
      <c r="S238" s="68">
        <f>867.43</f>
        <v>867.43</v>
      </c>
      <c r="T238" s="65">
        <f>302525</f>
        <v>302525</v>
      </c>
      <c r="U238" s="65" t="str">
        <f t="shared" si="10"/>
        <v>－</v>
      </c>
      <c r="V238" s="65">
        <f>261595617</f>
        <v>261595617</v>
      </c>
      <c r="W238" s="65" t="str">
        <f t="shared" si="11"/>
        <v>－</v>
      </c>
      <c r="X238" s="69">
        <f>21</f>
        <v>21</v>
      </c>
    </row>
    <row r="239" spans="1:24">
      <c r="A239" s="60" t="s">
        <v>853</v>
      </c>
      <c r="B239" s="60" t="s">
        <v>707</v>
      </c>
      <c r="C239" s="60" t="s">
        <v>708</v>
      </c>
      <c r="D239" s="60" t="s">
        <v>709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</v>
      </c>
      <c r="K239" s="66">
        <f>9800</f>
        <v>9800</v>
      </c>
      <c r="L239" s="67" t="s">
        <v>840</v>
      </c>
      <c r="M239" s="66">
        <f>13000</f>
        <v>13000</v>
      </c>
      <c r="N239" s="67" t="s">
        <v>119</v>
      </c>
      <c r="O239" s="66">
        <f>9760</f>
        <v>9760</v>
      </c>
      <c r="P239" s="67" t="s">
        <v>840</v>
      </c>
      <c r="Q239" s="66">
        <f>10770</f>
        <v>10770</v>
      </c>
      <c r="R239" s="67" t="s">
        <v>51</v>
      </c>
      <c r="S239" s="68">
        <f>11470</f>
        <v>11470</v>
      </c>
      <c r="T239" s="65">
        <f>6639</f>
        <v>6639</v>
      </c>
      <c r="U239" s="65" t="str">
        <f t="shared" si="10"/>
        <v>－</v>
      </c>
      <c r="V239" s="65">
        <f>78473720</f>
        <v>78473720</v>
      </c>
      <c r="W239" s="65" t="str">
        <f t="shared" si="11"/>
        <v>－</v>
      </c>
      <c r="X239" s="69">
        <f>21</f>
        <v>21</v>
      </c>
    </row>
    <row r="240" spans="1:24">
      <c r="A240" s="60" t="s">
        <v>853</v>
      </c>
      <c r="B240" s="60" t="s">
        <v>710</v>
      </c>
      <c r="C240" s="60" t="s">
        <v>711</v>
      </c>
      <c r="D240" s="60" t="s">
        <v>712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</v>
      </c>
      <c r="K240" s="66">
        <f>1783</f>
        <v>1783</v>
      </c>
      <c r="L240" s="67" t="s">
        <v>840</v>
      </c>
      <c r="M240" s="66">
        <f>1820</f>
        <v>1820</v>
      </c>
      <c r="N240" s="67" t="s">
        <v>48</v>
      </c>
      <c r="O240" s="66">
        <f>1750</f>
        <v>1750</v>
      </c>
      <c r="P240" s="67" t="s">
        <v>49</v>
      </c>
      <c r="Q240" s="66">
        <f>1770</f>
        <v>1770</v>
      </c>
      <c r="R240" s="67" t="s">
        <v>51</v>
      </c>
      <c r="S240" s="68">
        <f>1781.62</f>
        <v>1781.62</v>
      </c>
      <c r="T240" s="65">
        <f>19235</f>
        <v>19235</v>
      </c>
      <c r="U240" s="65" t="str">
        <f t="shared" si="10"/>
        <v>－</v>
      </c>
      <c r="V240" s="65">
        <f>34272293</f>
        <v>34272293</v>
      </c>
      <c r="W240" s="65" t="str">
        <f t="shared" si="11"/>
        <v>－</v>
      </c>
      <c r="X240" s="69">
        <f>21</f>
        <v>21</v>
      </c>
    </row>
    <row r="241" spans="1:24">
      <c r="A241" s="60" t="s">
        <v>853</v>
      </c>
      <c r="B241" s="60" t="s">
        <v>713</v>
      </c>
      <c r="C241" s="60" t="s">
        <v>714</v>
      </c>
      <c r="D241" s="60" t="s">
        <v>715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10</v>
      </c>
      <c r="K241" s="66">
        <f>1159</f>
        <v>1159</v>
      </c>
      <c r="L241" s="67" t="s">
        <v>840</v>
      </c>
      <c r="M241" s="66">
        <f>1299</f>
        <v>1299</v>
      </c>
      <c r="N241" s="67" t="s">
        <v>100</v>
      </c>
      <c r="O241" s="66">
        <f>1010</f>
        <v>1010</v>
      </c>
      <c r="P241" s="67" t="s">
        <v>814</v>
      </c>
      <c r="Q241" s="66">
        <f>1073</f>
        <v>1073</v>
      </c>
      <c r="R241" s="67" t="s">
        <v>51</v>
      </c>
      <c r="S241" s="68">
        <f>1149.56</f>
        <v>1149.56</v>
      </c>
      <c r="T241" s="65">
        <f>5300</f>
        <v>5300</v>
      </c>
      <c r="U241" s="65" t="str">
        <f t="shared" si="10"/>
        <v>－</v>
      </c>
      <c r="V241" s="65">
        <f>6263780</f>
        <v>6263780</v>
      </c>
      <c r="W241" s="65" t="str">
        <f t="shared" si="11"/>
        <v>－</v>
      </c>
      <c r="X241" s="69">
        <f>16</f>
        <v>16</v>
      </c>
    </row>
    <row r="242" spans="1:24">
      <c r="A242" s="60" t="s">
        <v>853</v>
      </c>
      <c r="B242" s="60" t="s">
        <v>716</v>
      </c>
      <c r="C242" s="60" t="s">
        <v>717</v>
      </c>
      <c r="D242" s="60" t="s">
        <v>718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10</v>
      </c>
      <c r="K242" s="66">
        <f>1020</f>
        <v>1020</v>
      </c>
      <c r="L242" s="67" t="s">
        <v>840</v>
      </c>
      <c r="M242" s="66">
        <f>1033</f>
        <v>1033</v>
      </c>
      <c r="N242" s="67" t="s">
        <v>51</v>
      </c>
      <c r="O242" s="66">
        <f>1018</f>
        <v>1018</v>
      </c>
      <c r="P242" s="67" t="s">
        <v>833</v>
      </c>
      <c r="Q242" s="66">
        <f>1031</f>
        <v>1031</v>
      </c>
      <c r="R242" s="67" t="s">
        <v>51</v>
      </c>
      <c r="S242" s="68">
        <f>1025.19</f>
        <v>1025.19</v>
      </c>
      <c r="T242" s="65">
        <f>34520</f>
        <v>34520</v>
      </c>
      <c r="U242" s="65" t="str">
        <f t="shared" si="10"/>
        <v>－</v>
      </c>
      <c r="V242" s="65">
        <f>35314740</f>
        <v>35314740</v>
      </c>
      <c r="W242" s="65" t="str">
        <f t="shared" si="11"/>
        <v>－</v>
      </c>
      <c r="X242" s="69">
        <f>21</f>
        <v>21</v>
      </c>
    </row>
    <row r="243" spans="1:24">
      <c r="A243" s="60" t="s">
        <v>853</v>
      </c>
      <c r="B243" s="60" t="s">
        <v>719</v>
      </c>
      <c r="C243" s="60" t="s">
        <v>720</v>
      </c>
      <c r="D243" s="60" t="s">
        <v>721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f>1707</f>
        <v>1707</v>
      </c>
      <c r="L243" s="67" t="s">
        <v>840</v>
      </c>
      <c r="M243" s="66">
        <f>1747</f>
        <v>1747</v>
      </c>
      <c r="N243" s="67" t="s">
        <v>48</v>
      </c>
      <c r="O243" s="66">
        <f>1666</f>
        <v>1666</v>
      </c>
      <c r="P243" s="67" t="s">
        <v>49</v>
      </c>
      <c r="Q243" s="66">
        <f>1684</f>
        <v>1684</v>
      </c>
      <c r="R243" s="67" t="s">
        <v>51</v>
      </c>
      <c r="S243" s="68">
        <f>1699.67</f>
        <v>1699.67</v>
      </c>
      <c r="T243" s="65">
        <f>28940</f>
        <v>28940</v>
      </c>
      <c r="U243" s="65" t="str">
        <f t="shared" si="10"/>
        <v>－</v>
      </c>
      <c r="V243" s="65">
        <f>49124400</f>
        <v>49124400</v>
      </c>
      <c r="W243" s="65" t="str">
        <f t="shared" si="11"/>
        <v>－</v>
      </c>
      <c r="X243" s="69">
        <f>21</f>
        <v>21</v>
      </c>
    </row>
    <row r="244" spans="1:24">
      <c r="A244" s="60" t="s">
        <v>853</v>
      </c>
      <c r="B244" s="60" t="s">
        <v>722</v>
      </c>
      <c r="C244" s="60" t="s">
        <v>723</v>
      </c>
      <c r="D244" s="60" t="s">
        <v>724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1702</f>
        <v>1702</v>
      </c>
      <c r="L244" s="67" t="s">
        <v>840</v>
      </c>
      <c r="M244" s="66">
        <f>1734</f>
        <v>1734</v>
      </c>
      <c r="N244" s="67" t="s">
        <v>48</v>
      </c>
      <c r="O244" s="66">
        <f>1661</f>
        <v>1661</v>
      </c>
      <c r="P244" s="67" t="s">
        <v>49</v>
      </c>
      <c r="Q244" s="66">
        <f>1685</f>
        <v>1685</v>
      </c>
      <c r="R244" s="67" t="s">
        <v>51</v>
      </c>
      <c r="S244" s="68">
        <f>1690.81</f>
        <v>1690.81</v>
      </c>
      <c r="T244" s="65">
        <f>62660</f>
        <v>62660</v>
      </c>
      <c r="U244" s="65" t="str">
        <f t="shared" si="10"/>
        <v>－</v>
      </c>
      <c r="V244" s="65">
        <f>105847740</f>
        <v>105847740</v>
      </c>
      <c r="W244" s="65" t="str">
        <f t="shared" si="11"/>
        <v>－</v>
      </c>
      <c r="X244" s="69">
        <f>21</f>
        <v>21</v>
      </c>
    </row>
    <row r="245" spans="1:24">
      <c r="A245" s="60" t="s">
        <v>853</v>
      </c>
      <c r="B245" s="60" t="s">
        <v>725</v>
      </c>
      <c r="C245" s="60" t="s">
        <v>726</v>
      </c>
      <c r="D245" s="60" t="s">
        <v>727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10</v>
      </c>
      <c r="K245" s="66">
        <f>1560</f>
        <v>1560</v>
      </c>
      <c r="L245" s="67" t="s">
        <v>840</v>
      </c>
      <c r="M245" s="66">
        <f>1579</f>
        <v>1579</v>
      </c>
      <c r="N245" s="67" t="s">
        <v>65</v>
      </c>
      <c r="O245" s="66">
        <f>1500</f>
        <v>1500</v>
      </c>
      <c r="P245" s="67" t="s">
        <v>51</v>
      </c>
      <c r="Q245" s="66">
        <f>1500</f>
        <v>1500</v>
      </c>
      <c r="R245" s="67" t="s">
        <v>51</v>
      </c>
      <c r="S245" s="68">
        <f>1549.22</f>
        <v>1549.22</v>
      </c>
      <c r="T245" s="65">
        <f>3830</f>
        <v>3830</v>
      </c>
      <c r="U245" s="65" t="str">
        <f t="shared" si="10"/>
        <v>－</v>
      </c>
      <c r="V245" s="65">
        <f>5955420</f>
        <v>5955420</v>
      </c>
      <c r="W245" s="65" t="str">
        <f t="shared" si="11"/>
        <v>－</v>
      </c>
      <c r="X245" s="69">
        <f>9</f>
        <v>9</v>
      </c>
    </row>
    <row r="246" spans="1:24">
      <c r="A246" s="60" t="s">
        <v>853</v>
      </c>
      <c r="B246" s="60" t="s">
        <v>728</v>
      </c>
      <c r="C246" s="60" t="s">
        <v>729</v>
      </c>
      <c r="D246" s="60" t="s">
        <v>730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</v>
      </c>
      <c r="K246" s="66">
        <f>9520</f>
        <v>9520</v>
      </c>
      <c r="L246" s="67" t="s">
        <v>840</v>
      </c>
      <c r="M246" s="66">
        <f>10030</f>
        <v>10030</v>
      </c>
      <c r="N246" s="67" t="s">
        <v>150</v>
      </c>
      <c r="O246" s="66">
        <f>9460</f>
        <v>9460</v>
      </c>
      <c r="P246" s="67" t="s">
        <v>840</v>
      </c>
      <c r="Q246" s="66">
        <f>9700</f>
        <v>9700</v>
      </c>
      <c r="R246" s="67" t="s">
        <v>51</v>
      </c>
      <c r="S246" s="68">
        <f>9732.86</f>
        <v>9732.86</v>
      </c>
      <c r="T246" s="65">
        <f>138347</f>
        <v>138347</v>
      </c>
      <c r="U246" s="65">
        <f>14</f>
        <v>14</v>
      </c>
      <c r="V246" s="65">
        <f>1349325465</f>
        <v>1349325465</v>
      </c>
      <c r="W246" s="65">
        <f>135515</f>
        <v>135515</v>
      </c>
      <c r="X246" s="69">
        <f>21</f>
        <v>21</v>
      </c>
    </row>
    <row r="247" spans="1:24">
      <c r="A247" s="60" t="s">
        <v>853</v>
      </c>
      <c r="B247" s="60" t="s">
        <v>734</v>
      </c>
      <c r="C247" s="60" t="s">
        <v>735</v>
      </c>
      <c r="D247" s="60" t="s">
        <v>736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</v>
      </c>
      <c r="K247" s="66">
        <f>9350</f>
        <v>9350</v>
      </c>
      <c r="L247" s="67" t="s">
        <v>840</v>
      </c>
      <c r="M247" s="66">
        <f>9860</f>
        <v>9860</v>
      </c>
      <c r="N247" s="67" t="s">
        <v>150</v>
      </c>
      <c r="O247" s="66">
        <f>9220</f>
        <v>9220</v>
      </c>
      <c r="P247" s="67" t="s">
        <v>840</v>
      </c>
      <c r="Q247" s="66">
        <f>9570</f>
        <v>9570</v>
      </c>
      <c r="R247" s="67" t="s">
        <v>51</v>
      </c>
      <c r="S247" s="68">
        <f>9570</f>
        <v>9570</v>
      </c>
      <c r="T247" s="65">
        <f>32277</f>
        <v>32277</v>
      </c>
      <c r="U247" s="65">
        <f>23</f>
        <v>23</v>
      </c>
      <c r="V247" s="65">
        <f>309542480</f>
        <v>309542480</v>
      </c>
      <c r="W247" s="65">
        <f>223220</f>
        <v>223220</v>
      </c>
      <c r="X247" s="69">
        <f>21</f>
        <v>21</v>
      </c>
    </row>
    <row r="248" spans="1:24">
      <c r="A248" s="60" t="s">
        <v>853</v>
      </c>
      <c r="B248" s="60" t="s">
        <v>824</v>
      </c>
      <c r="C248" s="60" t="s">
        <v>825</v>
      </c>
      <c r="D248" s="60" t="s">
        <v>826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</v>
      </c>
      <c r="K248" s="66">
        <f>20510</f>
        <v>20510</v>
      </c>
      <c r="L248" s="67" t="s">
        <v>833</v>
      </c>
      <c r="M248" s="66">
        <f>21810</f>
        <v>21810</v>
      </c>
      <c r="N248" s="67" t="s">
        <v>91</v>
      </c>
      <c r="O248" s="66">
        <f>20000</f>
        <v>20000</v>
      </c>
      <c r="P248" s="67" t="s">
        <v>51</v>
      </c>
      <c r="Q248" s="66">
        <f>20000</f>
        <v>20000</v>
      </c>
      <c r="R248" s="67" t="s">
        <v>51</v>
      </c>
      <c r="S248" s="68">
        <f>20598.57</f>
        <v>20598.57</v>
      </c>
      <c r="T248" s="65">
        <f>58</f>
        <v>58</v>
      </c>
      <c r="U248" s="65" t="str">
        <f>"－"</f>
        <v>－</v>
      </c>
      <c r="V248" s="65">
        <f>1201660</f>
        <v>1201660</v>
      </c>
      <c r="W248" s="65" t="str">
        <f>"－"</f>
        <v>－</v>
      </c>
      <c r="X248" s="69">
        <f>7</f>
        <v>7</v>
      </c>
    </row>
    <row r="249" spans="1:24">
      <c r="A249" s="60" t="s">
        <v>853</v>
      </c>
      <c r="B249" s="60" t="s">
        <v>828</v>
      </c>
      <c r="C249" s="60" t="s">
        <v>829</v>
      </c>
      <c r="D249" s="60" t="s">
        <v>830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</v>
      </c>
      <c r="K249" s="66">
        <f>2736</f>
        <v>2736</v>
      </c>
      <c r="L249" s="67" t="s">
        <v>840</v>
      </c>
      <c r="M249" s="66">
        <f>2747</f>
        <v>2747</v>
      </c>
      <c r="N249" s="67" t="s">
        <v>119</v>
      </c>
      <c r="O249" s="66">
        <f>2721</f>
        <v>2721</v>
      </c>
      <c r="P249" s="67" t="s">
        <v>833</v>
      </c>
      <c r="Q249" s="66">
        <f>2746</f>
        <v>2746</v>
      </c>
      <c r="R249" s="67" t="s">
        <v>51</v>
      </c>
      <c r="S249" s="68">
        <f>2737.76</f>
        <v>2737.76</v>
      </c>
      <c r="T249" s="65">
        <f>1899039</f>
        <v>1899039</v>
      </c>
      <c r="U249" s="65">
        <f>1513847</f>
        <v>1513847</v>
      </c>
      <c r="V249" s="65">
        <f>5196374646</f>
        <v>5196374646</v>
      </c>
      <c r="W249" s="65">
        <f>4142524136</f>
        <v>4142524136</v>
      </c>
      <c r="X249" s="69">
        <f>21</f>
        <v>21</v>
      </c>
    </row>
    <row r="250" spans="1:24">
      <c r="A250" s="60" t="s">
        <v>853</v>
      </c>
      <c r="B250" s="60" t="s">
        <v>835</v>
      </c>
      <c r="C250" s="60" t="s">
        <v>836</v>
      </c>
      <c r="D250" s="60" t="s">
        <v>837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10</v>
      </c>
      <c r="K250" s="66">
        <f>2223</f>
        <v>2223</v>
      </c>
      <c r="L250" s="67" t="s">
        <v>840</v>
      </c>
      <c r="M250" s="66">
        <f>2323</f>
        <v>2323</v>
      </c>
      <c r="N250" s="67" t="s">
        <v>309</v>
      </c>
      <c r="O250" s="66">
        <f>2203</f>
        <v>2203</v>
      </c>
      <c r="P250" s="67" t="s">
        <v>61</v>
      </c>
      <c r="Q250" s="66">
        <f>2264</f>
        <v>2264</v>
      </c>
      <c r="R250" s="67" t="s">
        <v>51</v>
      </c>
      <c r="S250" s="68">
        <f>2269.1</f>
        <v>2269.1</v>
      </c>
      <c r="T250" s="65">
        <f>374950</f>
        <v>374950</v>
      </c>
      <c r="U250" s="65">
        <f>46000</f>
        <v>46000</v>
      </c>
      <c r="V250" s="65">
        <f>850422260</f>
        <v>850422260</v>
      </c>
      <c r="W250" s="65">
        <f>102097000</f>
        <v>102097000</v>
      </c>
      <c r="X250" s="69">
        <f>20</f>
        <v>20</v>
      </c>
    </row>
    <row r="251" spans="1:24">
      <c r="A251" s="60" t="s">
        <v>853</v>
      </c>
      <c r="B251" s="60" t="s">
        <v>849</v>
      </c>
      <c r="C251" s="60" t="s">
        <v>850</v>
      </c>
      <c r="D251" s="60" t="s">
        <v>851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</v>
      </c>
      <c r="K251" s="66">
        <f>1998</f>
        <v>1998</v>
      </c>
      <c r="L251" s="67" t="s">
        <v>840</v>
      </c>
      <c r="M251" s="66">
        <f>2118</f>
        <v>2118</v>
      </c>
      <c r="N251" s="67" t="s">
        <v>309</v>
      </c>
      <c r="O251" s="66">
        <f>1993</f>
        <v>1993</v>
      </c>
      <c r="P251" s="67" t="s">
        <v>840</v>
      </c>
      <c r="Q251" s="66">
        <f>2103</f>
        <v>2103</v>
      </c>
      <c r="R251" s="67" t="s">
        <v>51</v>
      </c>
      <c r="S251" s="68">
        <f>2063.9</f>
        <v>2063.9</v>
      </c>
      <c r="T251" s="65">
        <f>49538</f>
        <v>49538</v>
      </c>
      <c r="U251" s="65" t="str">
        <f>"－"</f>
        <v>－</v>
      </c>
      <c r="V251" s="65">
        <f>101610225</f>
        <v>101610225</v>
      </c>
      <c r="W251" s="65" t="str">
        <f>"－"</f>
        <v>－</v>
      </c>
      <c r="X251" s="69">
        <f>21</f>
        <v>21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4B63-6894-4443-B42D-5074A8AEA6E2}">
  <sheetPr>
    <pageSetUpPr fitToPage="1"/>
  </sheetPr>
  <dimension ref="A1:X252"/>
  <sheetViews>
    <sheetView showGridLines="0" view="pageBreakPreview" zoomScaleNormal="70" zoomScaleSheetLayoutView="100" workbookViewId="0"/>
  </sheetViews>
  <sheetFormatPr defaultRowHeight="13.5"/>
  <cols>
    <col min="1" max="1" width="13.125" style="1" bestFit="1" customWidth="1"/>
    <col min="2" max="2" width="10.75" style="1" bestFit="1" customWidth="1"/>
    <col min="3" max="4" width="27.625" style="1" customWidth="1"/>
    <col min="5" max="5" width="13.75" style="1" bestFit="1" customWidth="1"/>
    <col min="6" max="6" width="20.75" style="1" bestFit="1" customWidth="1"/>
    <col min="7" max="7" width="11.25" style="1" customWidth="1"/>
    <col min="8" max="8" width="8.75" style="1" bestFit="1" customWidth="1"/>
    <col min="9" max="9" width="11.75" style="1" bestFit="1" customWidth="1"/>
    <col min="10" max="10" width="12.625" style="1" bestFit="1" customWidth="1"/>
    <col min="11" max="11" width="16.25" style="1" customWidth="1"/>
    <col min="12" max="12" width="5.625" style="1" bestFit="1" customWidth="1"/>
    <col min="13" max="13" width="16.25" style="1" customWidth="1"/>
    <col min="14" max="14" width="5.625" style="1" bestFit="1" customWidth="1"/>
    <col min="15" max="15" width="16.25" style="1" customWidth="1"/>
    <col min="16" max="16" width="5.625" style="1" bestFit="1" customWidth="1"/>
    <col min="17" max="17" width="16.25" style="1" customWidth="1"/>
    <col min="18" max="18" width="5.625" style="1" bestFit="1" customWidth="1"/>
    <col min="19" max="19" width="23.875" style="1" bestFit="1" customWidth="1"/>
    <col min="20" max="20" width="16.25" style="1" customWidth="1"/>
    <col min="21" max="21" width="24.125" style="1" customWidth="1"/>
    <col min="22" max="22" width="19.875" style="1" bestFit="1" customWidth="1"/>
    <col min="23" max="23" width="25" style="1" bestFit="1" customWidth="1"/>
    <col min="24" max="24" width="13.12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844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1661</f>
        <v>1661</v>
      </c>
      <c r="L7" s="67" t="s">
        <v>840</v>
      </c>
      <c r="M7" s="66">
        <f>1737</f>
        <v>1737</v>
      </c>
      <c r="N7" s="67" t="s">
        <v>119</v>
      </c>
      <c r="O7" s="66">
        <f>1625</f>
        <v>1625</v>
      </c>
      <c r="P7" s="67" t="s">
        <v>86</v>
      </c>
      <c r="Q7" s="66">
        <f>1653</f>
        <v>1653</v>
      </c>
      <c r="R7" s="67" t="s">
        <v>50</v>
      </c>
      <c r="S7" s="68">
        <f>1684.68</f>
        <v>1684.68</v>
      </c>
      <c r="T7" s="65">
        <f>5714330</f>
        <v>5714330</v>
      </c>
      <c r="U7" s="65">
        <f>29120</f>
        <v>29120</v>
      </c>
      <c r="V7" s="65">
        <f>9653638811</f>
        <v>9653638811</v>
      </c>
      <c r="W7" s="65">
        <f>49950371</f>
        <v>49950371</v>
      </c>
      <c r="X7" s="69">
        <f>22</f>
        <v>22</v>
      </c>
    </row>
    <row r="8" spans="1:24">
      <c r="A8" s="60" t="s">
        <v>844</v>
      </c>
      <c r="B8" s="60" t="s">
        <v>52</v>
      </c>
      <c r="C8" s="60" t="s">
        <v>53</v>
      </c>
      <c r="D8" s="60" t="s">
        <v>54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1641</f>
        <v>1641</v>
      </c>
      <c r="L8" s="67" t="s">
        <v>840</v>
      </c>
      <c r="M8" s="66">
        <f>1715</f>
        <v>1715</v>
      </c>
      <c r="N8" s="67" t="s">
        <v>119</v>
      </c>
      <c r="O8" s="66">
        <f>1609</f>
        <v>1609</v>
      </c>
      <c r="P8" s="67" t="s">
        <v>86</v>
      </c>
      <c r="Q8" s="66">
        <f>1632</f>
        <v>1632</v>
      </c>
      <c r="R8" s="67" t="s">
        <v>50</v>
      </c>
      <c r="S8" s="68">
        <f>1664.95</f>
        <v>1664.95</v>
      </c>
      <c r="T8" s="65">
        <f>67159770</f>
        <v>67159770</v>
      </c>
      <c r="U8" s="65">
        <f>26418920</f>
        <v>26418920</v>
      </c>
      <c r="V8" s="65">
        <f>112446971147</f>
        <v>112446971147</v>
      </c>
      <c r="W8" s="65">
        <f>44530828067</f>
        <v>44530828067</v>
      </c>
      <c r="X8" s="69">
        <f>22</f>
        <v>22</v>
      </c>
    </row>
    <row r="9" spans="1:24">
      <c r="A9" s="60" t="s">
        <v>844</v>
      </c>
      <c r="B9" s="60" t="s">
        <v>55</v>
      </c>
      <c r="C9" s="60" t="s">
        <v>56</v>
      </c>
      <c r="D9" s="60" t="s">
        <v>57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1625</f>
        <v>1625</v>
      </c>
      <c r="L9" s="67" t="s">
        <v>840</v>
      </c>
      <c r="M9" s="66">
        <f>1696</f>
        <v>1696</v>
      </c>
      <c r="N9" s="67" t="s">
        <v>119</v>
      </c>
      <c r="O9" s="66">
        <f>1594</f>
        <v>1594</v>
      </c>
      <c r="P9" s="67" t="s">
        <v>86</v>
      </c>
      <c r="Q9" s="66">
        <f>1618</f>
        <v>1618</v>
      </c>
      <c r="R9" s="67" t="s">
        <v>50</v>
      </c>
      <c r="S9" s="68">
        <f>1647.45</f>
        <v>1647.45</v>
      </c>
      <c r="T9" s="65">
        <f>6987900</f>
        <v>6987900</v>
      </c>
      <c r="U9" s="65">
        <f>916500</f>
        <v>916500</v>
      </c>
      <c r="V9" s="65">
        <f>11556951250</f>
        <v>11556951250</v>
      </c>
      <c r="W9" s="65">
        <f>1495645650</f>
        <v>1495645650</v>
      </c>
      <c r="X9" s="69">
        <f>22</f>
        <v>22</v>
      </c>
    </row>
    <row r="10" spans="1:24">
      <c r="A10" s="60" t="s">
        <v>844</v>
      </c>
      <c r="B10" s="60" t="s">
        <v>58</v>
      </c>
      <c r="C10" s="60" t="s">
        <v>59</v>
      </c>
      <c r="D10" s="60" t="s">
        <v>60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31550</f>
        <v>31550</v>
      </c>
      <c r="L10" s="67" t="s">
        <v>840</v>
      </c>
      <c r="M10" s="66">
        <f>33000</f>
        <v>33000</v>
      </c>
      <c r="N10" s="67" t="s">
        <v>818</v>
      </c>
      <c r="O10" s="66">
        <f>31300</f>
        <v>31300</v>
      </c>
      <c r="P10" s="67" t="s">
        <v>815</v>
      </c>
      <c r="Q10" s="66">
        <f>32500</f>
        <v>32500</v>
      </c>
      <c r="R10" s="67" t="s">
        <v>50</v>
      </c>
      <c r="S10" s="68">
        <f>32388.64</f>
        <v>32388.639999999999</v>
      </c>
      <c r="T10" s="65">
        <f>8689</f>
        <v>8689</v>
      </c>
      <c r="U10" s="65" t="str">
        <f>"－"</f>
        <v>－</v>
      </c>
      <c r="V10" s="65">
        <f>281184800</f>
        <v>281184800</v>
      </c>
      <c r="W10" s="65" t="str">
        <f>"－"</f>
        <v>－</v>
      </c>
      <c r="X10" s="69">
        <f>22</f>
        <v>22</v>
      </c>
    </row>
    <row r="11" spans="1:24">
      <c r="A11" s="60" t="s">
        <v>844</v>
      </c>
      <c r="B11" s="60" t="s">
        <v>62</v>
      </c>
      <c r="C11" s="60" t="s">
        <v>63</v>
      </c>
      <c r="D11" s="60" t="s">
        <v>64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737</f>
        <v>737</v>
      </c>
      <c r="L11" s="67" t="s">
        <v>840</v>
      </c>
      <c r="M11" s="66">
        <f>769</f>
        <v>769</v>
      </c>
      <c r="N11" s="67" t="s">
        <v>119</v>
      </c>
      <c r="O11" s="66">
        <f>723</f>
        <v>723</v>
      </c>
      <c r="P11" s="67" t="s">
        <v>86</v>
      </c>
      <c r="Q11" s="66">
        <f>731</f>
        <v>731</v>
      </c>
      <c r="R11" s="67" t="s">
        <v>50</v>
      </c>
      <c r="S11" s="68">
        <f>746.95</f>
        <v>746.95</v>
      </c>
      <c r="T11" s="65">
        <f>100280</f>
        <v>100280</v>
      </c>
      <c r="U11" s="65" t="str">
        <f>"－"</f>
        <v>－</v>
      </c>
      <c r="V11" s="65">
        <f>74818660</f>
        <v>74818660</v>
      </c>
      <c r="W11" s="65" t="str">
        <f>"－"</f>
        <v>－</v>
      </c>
      <c r="X11" s="69">
        <f>22</f>
        <v>22</v>
      </c>
    </row>
    <row r="12" spans="1:24">
      <c r="A12" s="60" t="s">
        <v>844</v>
      </c>
      <c r="B12" s="60" t="s">
        <v>66</v>
      </c>
      <c r="C12" s="60" t="s">
        <v>67</v>
      </c>
      <c r="D12" s="60" t="s">
        <v>68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18650</f>
        <v>18650</v>
      </c>
      <c r="L12" s="67" t="s">
        <v>840</v>
      </c>
      <c r="M12" s="66">
        <f>19630</f>
        <v>19630</v>
      </c>
      <c r="N12" s="67" t="s">
        <v>61</v>
      </c>
      <c r="O12" s="66">
        <f>18150</f>
        <v>18150</v>
      </c>
      <c r="P12" s="67" t="s">
        <v>815</v>
      </c>
      <c r="Q12" s="66">
        <f>18430</f>
        <v>18430</v>
      </c>
      <c r="R12" s="67" t="s">
        <v>50</v>
      </c>
      <c r="S12" s="68">
        <f>18769.05</f>
        <v>18769.05</v>
      </c>
      <c r="T12" s="65">
        <f>1057</f>
        <v>1057</v>
      </c>
      <c r="U12" s="65" t="str">
        <f>"－"</f>
        <v>－</v>
      </c>
      <c r="V12" s="65">
        <f>19884600</f>
        <v>19884600</v>
      </c>
      <c r="W12" s="65" t="str">
        <f>"－"</f>
        <v>－</v>
      </c>
      <c r="X12" s="69">
        <f>21</f>
        <v>21</v>
      </c>
    </row>
    <row r="13" spans="1:24">
      <c r="A13" s="60" t="s">
        <v>844</v>
      </c>
      <c r="B13" s="60" t="s">
        <v>69</v>
      </c>
      <c r="C13" s="60" t="s">
        <v>70</v>
      </c>
      <c r="D13" s="60" t="s">
        <v>71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2350</f>
        <v>2350</v>
      </c>
      <c r="L13" s="67" t="s">
        <v>840</v>
      </c>
      <c r="M13" s="66">
        <f>2710</f>
        <v>2710</v>
      </c>
      <c r="N13" s="67" t="s">
        <v>65</v>
      </c>
      <c r="O13" s="66">
        <f>2350</f>
        <v>2350</v>
      </c>
      <c r="P13" s="67" t="s">
        <v>840</v>
      </c>
      <c r="Q13" s="66">
        <f>2590</f>
        <v>2590</v>
      </c>
      <c r="R13" s="67" t="s">
        <v>50</v>
      </c>
      <c r="S13" s="68">
        <f>2522.43</f>
        <v>2522.4299999999998</v>
      </c>
      <c r="T13" s="65">
        <f>7270</f>
        <v>7270</v>
      </c>
      <c r="U13" s="65" t="str">
        <f>"－"</f>
        <v>－</v>
      </c>
      <c r="V13" s="65">
        <f>18259550</f>
        <v>18259550</v>
      </c>
      <c r="W13" s="65" t="str">
        <f>"－"</f>
        <v>－</v>
      </c>
      <c r="X13" s="69">
        <f>21</f>
        <v>21</v>
      </c>
    </row>
    <row r="14" spans="1:24">
      <c r="A14" s="60" t="s">
        <v>844</v>
      </c>
      <c r="B14" s="60" t="s">
        <v>73</v>
      </c>
      <c r="C14" s="60" t="s">
        <v>74</v>
      </c>
      <c r="D14" s="60" t="s">
        <v>75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319</f>
        <v>319</v>
      </c>
      <c r="L14" s="67" t="s">
        <v>840</v>
      </c>
      <c r="M14" s="66">
        <f>330</f>
        <v>330</v>
      </c>
      <c r="N14" s="67" t="s">
        <v>119</v>
      </c>
      <c r="O14" s="66">
        <f>315</f>
        <v>315</v>
      </c>
      <c r="P14" s="67" t="s">
        <v>840</v>
      </c>
      <c r="Q14" s="66">
        <f>320</f>
        <v>320</v>
      </c>
      <c r="R14" s="67" t="s">
        <v>245</v>
      </c>
      <c r="S14" s="68">
        <f>323.5</f>
        <v>323.5</v>
      </c>
      <c r="T14" s="65">
        <f>20077000</f>
        <v>20077000</v>
      </c>
      <c r="U14" s="65">
        <f>20000000</f>
        <v>20000000</v>
      </c>
      <c r="V14" s="65">
        <f>6422752000</f>
        <v>6422752000</v>
      </c>
      <c r="W14" s="65">
        <f>6397900000</f>
        <v>6397900000</v>
      </c>
      <c r="X14" s="69">
        <f>14</f>
        <v>14</v>
      </c>
    </row>
    <row r="15" spans="1:24">
      <c r="A15" s="60" t="s">
        <v>844</v>
      </c>
      <c r="B15" s="60" t="s">
        <v>76</v>
      </c>
      <c r="C15" s="60" t="s">
        <v>77</v>
      </c>
      <c r="D15" s="60" t="s">
        <v>78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22770</f>
        <v>22770</v>
      </c>
      <c r="L15" s="67" t="s">
        <v>840</v>
      </c>
      <c r="M15" s="66">
        <f>24080</f>
        <v>24080</v>
      </c>
      <c r="N15" s="67" t="s">
        <v>119</v>
      </c>
      <c r="O15" s="66">
        <f>22420</f>
        <v>22420</v>
      </c>
      <c r="P15" s="67" t="s">
        <v>86</v>
      </c>
      <c r="Q15" s="66">
        <f>23150</f>
        <v>23150</v>
      </c>
      <c r="R15" s="67" t="s">
        <v>50</v>
      </c>
      <c r="S15" s="68">
        <f>23355.45</f>
        <v>23355.45</v>
      </c>
      <c r="T15" s="65">
        <f>3392209</f>
        <v>3392209</v>
      </c>
      <c r="U15" s="65">
        <f>709664</f>
        <v>709664</v>
      </c>
      <c r="V15" s="65">
        <f>79346697720</f>
        <v>79346697720</v>
      </c>
      <c r="W15" s="65">
        <f>16624056510</f>
        <v>16624056510</v>
      </c>
      <c r="X15" s="69">
        <f>22</f>
        <v>22</v>
      </c>
    </row>
    <row r="16" spans="1:24">
      <c r="A16" s="60" t="s">
        <v>844</v>
      </c>
      <c r="B16" s="60" t="s">
        <v>80</v>
      </c>
      <c r="C16" s="60" t="s">
        <v>81</v>
      </c>
      <c r="D16" s="60" t="s">
        <v>82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22810</f>
        <v>22810</v>
      </c>
      <c r="L16" s="67" t="s">
        <v>840</v>
      </c>
      <c r="M16" s="66">
        <f>24120</f>
        <v>24120</v>
      </c>
      <c r="N16" s="67" t="s">
        <v>119</v>
      </c>
      <c r="O16" s="66">
        <f>22400</f>
        <v>22400</v>
      </c>
      <c r="P16" s="67" t="s">
        <v>86</v>
      </c>
      <c r="Q16" s="66">
        <f>23190</f>
        <v>23190</v>
      </c>
      <c r="R16" s="67" t="s">
        <v>50</v>
      </c>
      <c r="S16" s="68">
        <f>23397.73</f>
        <v>23397.73</v>
      </c>
      <c r="T16" s="65">
        <f>10534493</f>
        <v>10534493</v>
      </c>
      <c r="U16" s="65">
        <f>534136</f>
        <v>534136</v>
      </c>
      <c r="V16" s="65">
        <f>246179806542</f>
        <v>246179806542</v>
      </c>
      <c r="W16" s="65">
        <f>12461896772</f>
        <v>12461896772</v>
      </c>
      <c r="X16" s="69">
        <f>22</f>
        <v>22</v>
      </c>
    </row>
    <row r="17" spans="1:24">
      <c r="A17" s="60" t="s">
        <v>844</v>
      </c>
      <c r="B17" s="60" t="s">
        <v>83</v>
      </c>
      <c r="C17" s="60" t="s">
        <v>84</v>
      </c>
      <c r="D17" s="60" t="s">
        <v>85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5410</f>
        <v>5410</v>
      </c>
      <c r="L17" s="67" t="s">
        <v>840</v>
      </c>
      <c r="M17" s="66">
        <f>5700</f>
        <v>5700</v>
      </c>
      <c r="N17" s="67" t="s">
        <v>818</v>
      </c>
      <c r="O17" s="66">
        <f>5250</f>
        <v>5250</v>
      </c>
      <c r="P17" s="67" t="s">
        <v>815</v>
      </c>
      <c r="Q17" s="66">
        <f>5620</f>
        <v>5620</v>
      </c>
      <c r="R17" s="67" t="s">
        <v>50</v>
      </c>
      <c r="S17" s="68">
        <f>5476.82</f>
        <v>5476.82</v>
      </c>
      <c r="T17" s="65">
        <f>15910</f>
        <v>15910</v>
      </c>
      <c r="U17" s="65">
        <f>50</f>
        <v>50</v>
      </c>
      <c r="V17" s="65">
        <f>87054300</f>
        <v>87054300</v>
      </c>
      <c r="W17" s="65">
        <f>278500</f>
        <v>278500</v>
      </c>
      <c r="X17" s="69">
        <f>22</f>
        <v>22</v>
      </c>
    </row>
    <row r="18" spans="1:24">
      <c r="A18" s="60" t="s">
        <v>844</v>
      </c>
      <c r="B18" s="60" t="s">
        <v>87</v>
      </c>
      <c r="C18" s="60" t="s">
        <v>88</v>
      </c>
      <c r="D18" s="60" t="s">
        <v>89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308</f>
        <v>308</v>
      </c>
      <c r="L18" s="67" t="s">
        <v>840</v>
      </c>
      <c r="M18" s="66">
        <f>335</f>
        <v>335</v>
      </c>
      <c r="N18" s="67" t="s">
        <v>833</v>
      </c>
      <c r="O18" s="66">
        <f>302</f>
        <v>302</v>
      </c>
      <c r="P18" s="67" t="s">
        <v>840</v>
      </c>
      <c r="Q18" s="66">
        <f>318</f>
        <v>318</v>
      </c>
      <c r="R18" s="67" t="s">
        <v>50</v>
      </c>
      <c r="S18" s="68">
        <f>322.43</f>
        <v>322.43</v>
      </c>
      <c r="T18" s="65">
        <f>44000</f>
        <v>44000</v>
      </c>
      <c r="U18" s="65" t="str">
        <f>"－"</f>
        <v>－</v>
      </c>
      <c r="V18" s="65">
        <f>14220400</f>
        <v>14220400</v>
      </c>
      <c r="W18" s="65" t="str">
        <f>"－"</f>
        <v>－</v>
      </c>
      <c r="X18" s="69">
        <f>21</f>
        <v>21</v>
      </c>
    </row>
    <row r="19" spans="1:24">
      <c r="A19" s="60" t="s">
        <v>844</v>
      </c>
      <c r="B19" s="60" t="s">
        <v>92</v>
      </c>
      <c r="C19" s="60" t="s">
        <v>93</v>
      </c>
      <c r="D19" s="60" t="s">
        <v>94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130</f>
        <v>130</v>
      </c>
      <c r="L19" s="67" t="s">
        <v>840</v>
      </c>
      <c r="M19" s="66">
        <f>153</f>
        <v>153</v>
      </c>
      <c r="N19" s="67" t="s">
        <v>817</v>
      </c>
      <c r="O19" s="66">
        <f>130</f>
        <v>130</v>
      </c>
      <c r="P19" s="67" t="s">
        <v>840</v>
      </c>
      <c r="Q19" s="66">
        <f>137</f>
        <v>137</v>
      </c>
      <c r="R19" s="67" t="s">
        <v>50</v>
      </c>
      <c r="S19" s="68">
        <f>139.68</f>
        <v>139.68</v>
      </c>
      <c r="T19" s="65">
        <f>751500</f>
        <v>751500</v>
      </c>
      <c r="U19" s="65">
        <f>2700</f>
        <v>2700</v>
      </c>
      <c r="V19" s="65">
        <f>106311600</f>
        <v>106311600</v>
      </c>
      <c r="W19" s="65">
        <f>379800</f>
        <v>379800</v>
      </c>
      <c r="X19" s="69">
        <f>22</f>
        <v>22</v>
      </c>
    </row>
    <row r="20" spans="1:24">
      <c r="A20" s="60" t="s">
        <v>844</v>
      </c>
      <c r="B20" s="60" t="s">
        <v>96</v>
      </c>
      <c r="C20" s="60" t="s">
        <v>97</v>
      </c>
      <c r="D20" s="60" t="s">
        <v>98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151</f>
        <v>151</v>
      </c>
      <c r="L20" s="67" t="s">
        <v>840</v>
      </c>
      <c r="M20" s="66">
        <f>176</f>
        <v>176</v>
      </c>
      <c r="N20" s="67" t="s">
        <v>818</v>
      </c>
      <c r="O20" s="66">
        <f>143</f>
        <v>143</v>
      </c>
      <c r="P20" s="67" t="s">
        <v>815</v>
      </c>
      <c r="Q20" s="66">
        <f>151</f>
        <v>151</v>
      </c>
      <c r="R20" s="67" t="s">
        <v>50</v>
      </c>
      <c r="S20" s="68">
        <f>157.36</f>
        <v>157.36000000000001</v>
      </c>
      <c r="T20" s="65">
        <f>1139900</f>
        <v>1139900</v>
      </c>
      <c r="U20" s="65">
        <f>8000</f>
        <v>8000</v>
      </c>
      <c r="V20" s="65">
        <f>182073500</f>
        <v>182073500</v>
      </c>
      <c r="W20" s="65">
        <f>1281200</f>
        <v>1281200</v>
      </c>
      <c r="X20" s="69">
        <f>22</f>
        <v>22</v>
      </c>
    </row>
    <row r="21" spans="1:24">
      <c r="A21" s="60" t="s">
        <v>844</v>
      </c>
      <c r="B21" s="60" t="s">
        <v>101</v>
      </c>
      <c r="C21" s="60" t="s">
        <v>102</v>
      </c>
      <c r="D21" s="60" t="s">
        <v>103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17650</f>
        <v>17650</v>
      </c>
      <c r="L21" s="67" t="s">
        <v>840</v>
      </c>
      <c r="M21" s="66">
        <f>17970</f>
        <v>17970</v>
      </c>
      <c r="N21" s="67" t="s">
        <v>50</v>
      </c>
      <c r="O21" s="66">
        <f>17210</f>
        <v>17210</v>
      </c>
      <c r="P21" s="67" t="s">
        <v>119</v>
      </c>
      <c r="Q21" s="66">
        <f>17950</f>
        <v>17950</v>
      </c>
      <c r="R21" s="67" t="s">
        <v>50</v>
      </c>
      <c r="S21" s="68">
        <f>17535.91</f>
        <v>17535.91</v>
      </c>
      <c r="T21" s="65">
        <f>249067</f>
        <v>249067</v>
      </c>
      <c r="U21" s="65" t="str">
        <f>"－"</f>
        <v>－</v>
      </c>
      <c r="V21" s="65">
        <f>4371002080</f>
        <v>4371002080</v>
      </c>
      <c r="W21" s="65" t="str">
        <f>"－"</f>
        <v>－</v>
      </c>
      <c r="X21" s="69">
        <f>22</f>
        <v>22</v>
      </c>
    </row>
    <row r="22" spans="1:24">
      <c r="A22" s="60" t="s">
        <v>844</v>
      </c>
      <c r="B22" s="60" t="s">
        <v>104</v>
      </c>
      <c r="C22" s="60" t="s">
        <v>105</v>
      </c>
      <c r="D22" s="60" t="s">
        <v>106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2590</f>
        <v>2590</v>
      </c>
      <c r="L22" s="67" t="s">
        <v>840</v>
      </c>
      <c r="M22" s="66">
        <f>2784</f>
        <v>2784</v>
      </c>
      <c r="N22" s="67" t="s">
        <v>61</v>
      </c>
      <c r="O22" s="66">
        <f>2499</f>
        <v>2499</v>
      </c>
      <c r="P22" s="67" t="s">
        <v>309</v>
      </c>
      <c r="Q22" s="66">
        <f>2549</f>
        <v>2549</v>
      </c>
      <c r="R22" s="67" t="s">
        <v>50</v>
      </c>
      <c r="S22" s="68">
        <f>2593.55</f>
        <v>2593.5500000000002</v>
      </c>
      <c r="T22" s="65">
        <f>2993</f>
        <v>2993</v>
      </c>
      <c r="U22" s="65" t="str">
        <f>"－"</f>
        <v>－</v>
      </c>
      <c r="V22" s="65">
        <f>7829585</f>
        <v>7829585</v>
      </c>
      <c r="W22" s="65" t="str">
        <f>"－"</f>
        <v>－</v>
      </c>
      <c r="X22" s="69">
        <f>22</f>
        <v>22</v>
      </c>
    </row>
    <row r="23" spans="1:24">
      <c r="A23" s="60" t="s">
        <v>844</v>
      </c>
      <c r="B23" s="60" t="s">
        <v>107</v>
      </c>
      <c r="C23" s="60" t="s">
        <v>108</v>
      </c>
      <c r="D23" s="60" t="s">
        <v>109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4900</f>
        <v>4900</v>
      </c>
      <c r="L23" s="67" t="s">
        <v>840</v>
      </c>
      <c r="M23" s="66">
        <f>5410</f>
        <v>5410</v>
      </c>
      <c r="N23" s="67" t="s">
        <v>50</v>
      </c>
      <c r="O23" s="66">
        <f>4750</f>
        <v>4750</v>
      </c>
      <c r="P23" s="67" t="s">
        <v>119</v>
      </c>
      <c r="Q23" s="66">
        <f>5280</f>
        <v>5280</v>
      </c>
      <c r="R23" s="67" t="s">
        <v>50</v>
      </c>
      <c r="S23" s="68">
        <f>4871.82</f>
        <v>4871.82</v>
      </c>
      <c r="T23" s="65">
        <f>184950</f>
        <v>184950</v>
      </c>
      <c r="U23" s="65">
        <f>610</f>
        <v>610</v>
      </c>
      <c r="V23" s="65">
        <f>915339213</f>
        <v>915339213</v>
      </c>
      <c r="W23" s="65">
        <f>2936763</f>
        <v>2936763</v>
      </c>
      <c r="X23" s="69">
        <f>22</f>
        <v>22</v>
      </c>
    </row>
    <row r="24" spans="1:24">
      <c r="A24" s="60" t="s">
        <v>844</v>
      </c>
      <c r="B24" s="60" t="s">
        <v>110</v>
      </c>
      <c r="C24" s="60" t="s">
        <v>111</v>
      </c>
      <c r="D24" s="60" t="s">
        <v>112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22710</f>
        <v>22710</v>
      </c>
      <c r="L24" s="67" t="s">
        <v>840</v>
      </c>
      <c r="M24" s="66">
        <f>24020</f>
        <v>24020</v>
      </c>
      <c r="N24" s="67" t="s">
        <v>119</v>
      </c>
      <c r="O24" s="66">
        <f>22300</f>
        <v>22300</v>
      </c>
      <c r="P24" s="67" t="s">
        <v>86</v>
      </c>
      <c r="Q24" s="66">
        <f>23090</f>
        <v>23090</v>
      </c>
      <c r="R24" s="67" t="s">
        <v>50</v>
      </c>
      <c r="S24" s="68">
        <f>23288.18</f>
        <v>23288.18</v>
      </c>
      <c r="T24" s="65">
        <f>1345185</f>
        <v>1345185</v>
      </c>
      <c r="U24" s="65">
        <f>269768</f>
        <v>269768</v>
      </c>
      <c r="V24" s="65">
        <f>31433809422</f>
        <v>31433809422</v>
      </c>
      <c r="W24" s="65">
        <f>6338071522</f>
        <v>6338071522</v>
      </c>
      <c r="X24" s="69">
        <f>22</f>
        <v>22</v>
      </c>
    </row>
    <row r="25" spans="1:24">
      <c r="A25" s="60" t="s">
        <v>844</v>
      </c>
      <c r="B25" s="60" t="s">
        <v>113</v>
      </c>
      <c r="C25" s="60" t="s">
        <v>114</v>
      </c>
      <c r="D25" s="60" t="s">
        <v>115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22860</f>
        <v>22860</v>
      </c>
      <c r="L25" s="67" t="s">
        <v>840</v>
      </c>
      <c r="M25" s="66">
        <f>24170</f>
        <v>24170</v>
      </c>
      <c r="N25" s="67" t="s">
        <v>65</v>
      </c>
      <c r="O25" s="66">
        <f>22470</f>
        <v>22470</v>
      </c>
      <c r="P25" s="67" t="s">
        <v>86</v>
      </c>
      <c r="Q25" s="66">
        <f>23240</f>
        <v>23240</v>
      </c>
      <c r="R25" s="67" t="s">
        <v>50</v>
      </c>
      <c r="S25" s="68">
        <f>23433.64</f>
        <v>23433.64</v>
      </c>
      <c r="T25" s="65">
        <f>2720720</f>
        <v>2720720</v>
      </c>
      <c r="U25" s="65">
        <f>125740</f>
        <v>125740</v>
      </c>
      <c r="V25" s="65">
        <f>63880084992</f>
        <v>63880084992</v>
      </c>
      <c r="W25" s="65">
        <f>2962715092</f>
        <v>2962715092</v>
      </c>
      <c r="X25" s="69">
        <f>22</f>
        <v>22</v>
      </c>
    </row>
    <row r="26" spans="1:24">
      <c r="A26" s="60" t="s">
        <v>844</v>
      </c>
      <c r="B26" s="60" t="s">
        <v>116</v>
      </c>
      <c r="C26" s="60" t="s">
        <v>117</v>
      </c>
      <c r="D26" s="60" t="s">
        <v>118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1809</f>
        <v>1809</v>
      </c>
      <c r="L26" s="67" t="s">
        <v>840</v>
      </c>
      <c r="M26" s="66">
        <f>1886</f>
        <v>1886</v>
      </c>
      <c r="N26" s="67" t="s">
        <v>119</v>
      </c>
      <c r="O26" s="66">
        <f>1741</f>
        <v>1741</v>
      </c>
      <c r="P26" s="67" t="s">
        <v>815</v>
      </c>
      <c r="Q26" s="66">
        <f>1784</f>
        <v>1784</v>
      </c>
      <c r="R26" s="67" t="s">
        <v>50</v>
      </c>
      <c r="S26" s="68">
        <f>1822.82</f>
        <v>1822.82</v>
      </c>
      <c r="T26" s="65">
        <f>10623330</f>
        <v>10623330</v>
      </c>
      <c r="U26" s="65">
        <f>591290</f>
        <v>591290</v>
      </c>
      <c r="V26" s="65">
        <f>19388918417</f>
        <v>19388918417</v>
      </c>
      <c r="W26" s="65">
        <f>1077903287</f>
        <v>1077903287</v>
      </c>
      <c r="X26" s="69">
        <f>22</f>
        <v>22</v>
      </c>
    </row>
    <row r="27" spans="1:24">
      <c r="A27" s="60" t="s">
        <v>844</v>
      </c>
      <c r="B27" s="60" t="s">
        <v>120</v>
      </c>
      <c r="C27" s="60" t="s">
        <v>121</v>
      </c>
      <c r="D27" s="60" t="s">
        <v>122</v>
      </c>
      <c r="E27" s="61" t="s">
        <v>46</v>
      </c>
      <c r="F27" s="62" t="s">
        <v>46</v>
      </c>
      <c r="G27" s="63" t="s">
        <v>46</v>
      </c>
      <c r="H27" s="64"/>
      <c r="I27" s="64" t="s">
        <v>47</v>
      </c>
      <c r="J27" s="65">
        <v>10</v>
      </c>
      <c r="K27" s="66">
        <f>716</f>
        <v>716</v>
      </c>
      <c r="L27" s="67" t="s">
        <v>840</v>
      </c>
      <c r="M27" s="66">
        <f>746</f>
        <v>746</v>
      </c>
      <c r="N27" s="67" t="s">
        <v>65</v>
      </c>
      <c r="O27" s="66">
        <f>699</f>
        <v>699</v>
      </c>
      <c r="P27" s="67" t="s">
        <v>86</v>
      </c>
      <c r="Q27" s="66">
        <f>706</f>
        <v>706</v>
      </c>
      <c r="R27" s="67" t="s">
        <v>50</v>
      </c>
      <c r="S27" s="68">
        <f>722.27</f>
        <v>722.27</v>
      </c>
      <c r="T27" s="65">
        <f>51540</f>
        <v>51540</v>
      </c>
      <c r="U27" s="65" t="str">
        <f>"－"</f>
        <v>－</v>
      </c>
      <c r="V27" s="65">
        <f>37540800</f>
        <v>37540800</v>
      </c>
      <c r="W27" s="65" t="str">
        <f>"－"</f>
        <v>－</v>
      </c>
      <c r="X27" s="69">
        <f>22</f>
        <v>22</v>
      </c>
    </row>
    <row r="28" spans="1:24">
      <c r="A28" s="60" t="s">
        <v>844</v>
      </c>
      <c r="B28" s="60" t="s">
        <v>123</v>
      </c>
      <c r="C28" s="60" t="s">
        <v>124</v>
      </c>
      <c r="D28" s="60" t="s">
        <v>125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1710</f>
        <v>1710</v>
      </c>
      <c r="L28" s="67" t="s">
        <v>840</v>
      </c>
      <c r="M28" s="66">
        <f>1784</f>
        <v>1784</v>
      </c>
      <c r="N28" s="67" t="s">
        <v>119</v>
      </c>
      <c r="O28" s="66">
        <f>1650</f>
        <v>1650</v>
      </c>
      <c r="P28" s="67" t="s">
        <v>815</v>
      </c>
      <c r="Q28" s="66">
        <f>1693</f>
        <v>1693</v>
      </c>
      <c r="R28" s="67" t="s">
        <v>50</v>
      </c>
      <c r="S28" s="68">
        <f>1724.14</f>
        <v>1724.14</v>
      </c>
      <c r="T28" s="65">
        <f>3189500</f>
        <v>3189500</v>
      </c>
      <c r="U28" s="65">
        <f>49700</f>
        <v>49700</v>
      </c>
      <c r="V28" s="65">
        <f>5545703106</f>
        <v>5545703106</v>
      </c>
      <c r="W28" s="65">
        <f>85228006</f>
        <v>85228006</v>
      </c>
      <c r="X28" s="69">
        <f>22</f>
        <v>22</v>
      </c>
    </row>
    <row r="29" spans="1:24">
      <c r="A29" s="60" t="s">
        <v>844</v>
      </c>
      <c r="B29" s="60" t="s">
        <v>126</v>
      </c>
      <c r="C29" s="60" t="s">
        <v>127</v>
      </c>
      <c r="D29" s="60" t="s">
        <v>128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22760</f>
        <v>22760</v>
      </c>
      <c r="L29" s="67" t="s">
        <v>840</v>
      </c>
      <c r="M29" s="66">
        <f>24040</f>
        <v>24040</v>
      </c>
      <c r="N29" s="67" t="s">
        <v>65</v>
      </c>
      <c r="O29" s="66">
        <f>22300</f>
        <v>22300</v>
      </c>
      <c r="P29" s="67" t="s">
        <v>86</v>
      </c>
      <c r="Q29" s="66">
        <f>23120</f>
        <v>23120</v>
      </c>
      <c r="R29" s="67" t="s">
        <v>50</v>
      </c>
      <c r="S29" s="68">
        <f>23312.73</f>
        <v>23312.73</v>
      </c>
      <c r="T29" s="65">
        <f>1291335</f>
        <v>1291335</v>
      </c>
      <c r="U29" s="65">
        <f>190868</f>
        <v>190868</v>
      </c>
      <c r="V29" s="65">
        <f>30061103952</f>
        <v>30061103952</v>
      </c>
      <c r="W29" s="65">
        <f>4411387972</f>
        <v>4411387972</v>
      </c>
      <c r="X29" s="69">
        <f>22</f>
        <v>22</v>
      </c>
    </row>
    <row r="30" spans="1:24">
      <c r="A30" s="60" t="s">
        <v>844</v>
      </c>
      <c r="B30" s="60" t="s">
        <v>129</v>
      </c>
      <c r="C30" s="60" t="s">
        <v>130</v>
      </c>
      <c r="D30" s="60" t="s">
        <v>131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1626</f>
        <v>1626</v>
      </c>
      <c r="L30" s="67" t="s">
        <v>840</v>
      </c>
      <c r="M30" s="66">
        <f>1699</f>
        <v>1699</v>
      </c>
      <c r="N30" s="67" t="s">
        <v>119</v>
      </c>
      <c r="O30" s="66">
        <f>1592</f>
        <v>1592</v>
      </c>
      <c r="P30" s="67" t="s">
        <v>86</v>
      </c>
      <c r="Q30" s="66">
        <f>1618</f>
        <v>1618</v>
      </c>
      <c r="R30" s="67" t="s">
        <v>50</v>
      </c>
      <c r="S30" s="68">
        <f>1649.64</f>
        <v>1649.64</v>
      </c>
      <c r="T30" s="65">
        <f>2904930</f>
        <v>2904930</v>
      </c>
      <c r="U30" s="65">
        <f>1350</f>
        <v>1350</v>
      </c>
      <c r="V30" s="65">
        <f>4799822320</f>
        <v>4799822320</v>
      </c>
      <c r="W30" s="65">
        <f>2223260</f>
        <v>2223260</v>
      </c>
      <c r="X30" s="69">
        <f>22</f>
        <v>22</v>
      </c>
    </row>
    <row r="31" spans="1:24">
      <c r="A31" s="60" t="s">
        <v>844</v>
      </c>
      <c r="B31" s="60" t="s">
        <v>132</v>
      </c>
      <c r="C31" s="60" t="s">
        <v>133</v>
      </c>
      <c r="D31" s="60" t="s">
        <v>134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12800</f>
        <v>12800</v>
      </c>
      <c r="L31" s="67" t="s">
        <v>840</v>
      </c>
      <c r="M31" s="66">
        <f>12990</f>
        <v>12990</v>
      </c>
      <c r="N31" s="67" t="s">
        <v>119</v>
      </c>
      <c r="O31" s="66">
        <f>12590</f>
        <v>12590</v>
      </c>
      <c r="P31" s="67" t="s">
        <v>175</v>
      </c>
      <c r="Q31" s="66">
        <f>12770</f>
        <v>12770</v>
      </c>
      <c r="R31" s="67" t="s">
        <v>50</v>
      </c>
      <c r="S31" s="68">
        <f>12811.9</f>
        <v>12811.9</v>
      </c>
      <c r="T31" s="65">
        <f>1338</f>
        <v>1338</v>
      </c>
      <c r="U31" s="65" t="str">
        <f>"－"</f>
        <v>－</v>
      </c>
      <c r="V31" s="65">
        <f>17189250</f>
        <v>17189250</v>
      </c>
      <c r="W31" s="65" t="str">
        <f>"－"</f>
        <v>－</v>
      </c>
      <c r="X31" s="69">
        <f>21</f>
        <v>21</v>
      </c>
    </row>
    <row r="32" spans="1:24">
      <c r="A32" s="60" t="s">
        <v>844</v>
      </c>
      <c r="B32" s="60" t="s">
        <v>135</v>
      </c>
      <c r="C32" s="60" t="s">
        <v>136</v>
      </c>
      <c r="D32" s="60" t="s">
        <v>137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2065</f>
        <v>2065</v>
      </c>
      <c r="L32" s="67" t="s">
        <v>840</v>
      </c>
      <c r="M32" s="66">
        <f>2140</f>
        <v>2140</v>
      </c>
      <c r="N32" s="67" t="s">
        <v>86</v>
      </c>
      <c r="O32" s="66">
        <f>1884</f>
        <v>1884</v>
      </c>
      <c r="P32" s="67" t="s">
        <v>119</v>
      </c>
      <c r="Q32" s="66">
        <f>2049</f>
        <v>2049</v>
      </c>
      <c r="R32" s="67" t="s">
        <v>50</v>
      </c>
      <c r="S32" s="68">
        <f>1988.77</f>
        <v>1988.77</v>
      </c>
      <c r="T32" s="65">
        <f>10572990</f>
        <v>10572990</v>
      </c>
      <c r="U32" s="65">
        <f>18990</f>
        <v>18990</v>
      </c>
      <c r="V32" s="65">
        <f>21023124068</f>
        <v>21023124068</v>
      </c>
      <c r="W32" s="65">
        <f>37312448</f>
        <v>37312448</v>
      </c>
      <c r="X32" s="69">
        <f>22</f>
        <v>22</v>
      </c>
    </row>
    <row r="33" spans="1:24">
      <c r="A33" s="60" t="s">
        <v>844</v>
      </c>
      <c r="B33" s="60" t="s">
        <v>138</v>
      </c>
      <c r="C33" s="60" t="s">
        <v>139</v>
      </c>
      <c r="D33" s="60" t="s">
        <v>140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845</f>
        <v>845</v>
      </c>
      <c r="L33" s="67" t="s">
        <v>840</v>
      </c>
      <c r="M33" s="66">
        <f>873</f>
        <v>873</v>
      </c>
      <c r="N33" s="67" t="s">
        <v>86</v>
      </c>
      <c r="O33" s="66">
        <f>755</f>
        <v>755</v>
      </c>
      <c r="P33" s="67" t="s">
        <v>119</v>
      </c>
      <c r="Q33" s="66">
        <f>800</f>
        <v>800</v>
      </c>
      <c r="R33" s="67" t="s">
        <v>50</v>
      </c>
      <c r="S33" s="68">
        <f>796.23</f>
        <v>796.23</v>
      </c>
      <c r="T33" s="65">
        <f>1946149162</f>
        <v>1946149162</v>
      </c>
      <c r="U33" s="65">
        <f>5249045</f>
        <v>5249045</v>
      </c>
      <c r="V33" s="65">
        <f>1559371601890</f>
        <v>1559371601890</v>
      </c>
      <c r="W33" s="65">
        <f>4266666580</f>
        <v>4266666580</v>
      </c>
      <c r="X33" s="69">
        <f>22</f>
        <v>22</v>
      </c>
    </row>
    <row r="34" spans="1:24">
      <c r="A34" s="60" t="s">
        <v>844</v>
      </c>
      <c r="B34" s="60" t="s">
        <v>141</v>
      </c>
      <c r="C34" s="60" t="s">
        <v>142</v>
      </c>
      <c r="D34" s="60" t="s">
        <v>143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17380</f>
        <v>17380</v>
      </c>
      <c r="L34" s="67" t="s">
        <v>840</v>
      </c>
      <c r="M34" s="66">
        <f>19380</f>
        <v>19380</v>
      </c>
      <c r="N34" s="67" t="s">
        <v>119</v>
      </c>
      <c r="O34" s="66">
        <f>16650</f>
        <v>16650</v>
      </c>
      <c r="P34" s="67" t="s">
        <v>86</v>
      </c>
      <c r="Q34" s="66">
        <f>17770</f>
        <v>17770</v>
      </c>
      <c r="R34" s="67" t="s">
        <v>50</v>
      </c>
      <c r="S34" s="68">
        <f>18162.27</f>
        <v>18162.27</v>
      </c>
      <c r="T34" s="65">
        <f>810731</f>
        <v>810731</v>
      </c>
      <c r="U34" s="65">
        <f>161</f>
        <v>161</v>
      </c>
      <c r="V34" s="65">
        <f>14739280733</f>
        <v>14739280733</v>
      </c>
      <c r="W34" s="65">
        <f>2945113</f>
        <v>2945113</v>
      </c>
      <c r="X34" s="69">
        <f>22</f>
        <v>22</v>
      </c>
    </row>
    <row r="35" spans="1:24">
      <c r="A35" s="60" t="s">
        <v>844</v>
      </c>
      <c r="B35" s="60" t="s">
        <v>144</v>
      </c>
      <c r="C35" s="60" t="s">
        <v>145</v>
      </c>
      <c r="D35" s="60" t="s">
        <v>146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2054</f>
        <v>2054</v>
      </c>
      <c r="L35" s="67" t="s">
        <v>840</v>
      </c>
      <c r="M35" s="66">
        <f>2115</f>
        <v>2115</v>
      </c>
      <c r="N35" s="67" t="s">
        <v>86</v>
      </c>
      <c r="O35" s="66">
        <f>1831</f>
        <v>1831</v>
      </c>
      <c r="P35" s="67" t="s">
        <v>119</v>
      </c>
      <c r="Q35" s="66">
        <f>1945</f>
        <v>1945</v>
      </c>
      <c r="R35" s="67" t="s">
        <v>50</v>
      </c>
      <c r="S35" s="68">
        <f>1932.5</f>
        <v>1932.5</v>
      </c>
      <c r="T35" s="65">
        <f>114547070</f>
        <v>114547070</v>
      </c>
      <c r="U35" s="65">
        <f>83330</f>
        <v>83330</v>
      </c>
      <c r="V35" s="65">
        <f>222211754308</f>
        <v>222211754308</v>
      </c>
      <c r="W35" s="65">
        <f>162155308</f>
        <v>162155308</v>
      </c>
      <c r="X35" s="69">
        <f>22</f>
        <v>22</v>
      </c>
    </row>
    <row r="36" spans="1:24">
      <c r="A36" s="60" t="s">
        <v>844</v>
      </c>
      <c r="B36" s="60" t="s">
        <v>147</v>
      </c>
      <c r="C36" s="60" t="s">
        <v>148</v>
      </c>
      <c r="D36" s="60" t="s">
        <v>149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14460</f>
        <v>14460</v>
      </c>
      <c r="L36" s="67" t="s">
        <v>840</v>
      </c>
      <c r="M36" s="66">
        <f>15090</f>
        <v>15090</v>
      </c>
      <c r="N36" s="67" t="s">
        <v>65</v>
      </c>
      <c r="O36" s="66">
        <f>14150</f>
        <v>14150</v>
      </c>
      <c r="P36" s="67" t="s">
        <v>86</v>
      </c>
      <c r="Q36" s="66">
        <f>14310</f>
        <v>14310</v>
      </c>
      <c r="R36" s="67" t="s">
        <v>50</v>
      </c>
      <c r="S36" s="68">
        <f>14640.45</f>
        <v>14640.45</v>
      </c>
      <c r="T36" s="65">
        <f>10022</f>
        <v>10022</v>
      </c>
      <c r="U36" s="65" t="str">
        <f>"－"</f>
        <v>－</v>
      </c>
      <c r="V36" s="65">
        <f>146460760</f>
        <v>146460760</v>
      </c>
      <c r="W36" s="65" t="str">
        <f>"－"</f>
        <v>－</v>
      </c>
      <c r="X36" s="69">
        <f>22</f>
        <v>22</v>
      </c>
    </row>
    <row r="37" spans="1:24">
      <c r="A37" s="60" t="s">
        <v>844</v>
      </c>
      <c r="B37" s="60" t="s">
        <v>151</v>
      </c>
      <c r="C37" s="60" t="s">
        <v>152</v>
      </c>
      <c r="D37" s="60" t="s">
        <v>153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14220</f>
        <v>14220</v>
      </c>
      <c r="L37" s="67" t="s">
        <v>840</v>
      </c>
      <c r="M37" s="66">
        <f>15860</f>
        <v>15860</v>
      </c>
      <c r="N37" s="67" t="s">
        <v>119</v>
      </c>
      <c r="O37" s="66">
        <f>13600</f>
        <v>13600</v>
      </c>
      <c r="P37" s="67" t="s">
        <v>86</v>
      </c>
      <c r="Q37" s="66">
        <f>14560</f>
        <v>14560</v>
      </c>
      <c r="R37" s="67" t="s">
        <v>50</v>
      </c>
      <c r="S37" s="68">
        <f>14866.36</f>
        <v>14866.36</v>
      </c>
      <c r="T37" s="65">
        <f>1906869</f>
        <v>1906869</v>
      </c>
      <c r="U37" s="65">
        <f>344</f>
        <v>344</v>
      </c>
      <c r="V37" s="65">
        <f>28322417428</f>
        <v>28322417428</v>
      </c>
      <c r="W37" s="65">
        <f>5129648</f>
        <v>5129648</v>
      </c>
      <c r="X37" s="69">
        <f>22</f>
        <v>22</v>
      </c>
    </row>
    <row r="38" spans="1:24">
      <c r="A38" s="60" t="s">
        <v>844</v>
      </c>
      <c r="B38" s="60" t="s">
        <v>154</v>
      </c>
      <c r="C38" s="60" t="s">
        <v>155</v>
      </c>
      <c r="D38" s="60" t="s">
        <v>156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2207</f>
        <v>2207</v>
      </c>
      <c r="L38" s="67" t="s">
        <v>840</v>
      </c>
      <c r="M38" s="66">
        <f>2275</f>
        <v>2275</v>
      </c>
      <c r="N38" s="67" t="s">
        <v>86</v>
      </c>
      <c r="O38" s="66">
        <f>1969</f>
        <v>1969</v>
      </c>
      <c r="P38" s="67" t="s">
        <v>119</v>
      </c>
      <c r="Q38" s="66">
        <f>2086</f>
        <v>2086</v>
      </c>
      <c r="R38" s="67" t="s">
        <v>50</v>
      </c>
      <c r="S38" s="68">
        <f>2077.23</f>
        <v>2077.23</v>
      </c>
      <c r="T38" s="65">
        <f>13687249</f>
        <v>13687249</v>
      </c>
      <c r="U38" s="65">
        <f>185685</f>
        <v>185685</v>
      </c>
      <c r="V38" s="65">
        <f>28601557071</f>
        <v>28601557071</v>
      </c>
      <c r="W38" s="65">
        <f>390288407</f>
        <v>390288407</v>
      </c>
      <c r="X38" s="69">
        <f>22</f>
        <v>22</v>
      </c>
    </row>
    <row r="39" spans="1:24">
      <c r="A39" s="60" t="s">
        <v>844</v>
      </c>
      <c r="B39" s="60" t="s">
        <v>157</v>
      </c>
      <c r="C39" s="60" t="s">
        <v>158</v>
      </c>
      <c r="D39" s="60" t="s">
        <v>159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11940</f>
        <v>11940</v>
      </c>
      <c r="L39" s="67" t="s">
        <v>840</v>
      </c>
      <c r="M39" s="66">
        <f>12990</f>
        <v>12990</v>
      </c>
      <c r="N39" s="67" t="s">
        <v>119</v>
      </c>
      <c r="O39" s="66">
        <f>11360</f>
        <v>11360</v>
      </c>
      <c r="P39" s="67" t="s">
        <v>86</v>
      </c>
      <c r="Q39" s="66">
        <f>11740</f>
        <v>11740</v>
      </c>
      <c r="R39" s="67" t="s">
        <v>50</v>
      </c>
      <c r="S39" s="68">
        <f>12220</f>
        <v>12220</v>
      </c>
      <c r="T39" s="65">
        <f>323146</f>
        <v>323146</v>
      </c>
      <c r="U39" s="65">
        <f>114</f>
        <v>114</v>
      </c>
      <c r="V39" s="65">
        <f>3972413010</f>
        <v>3972413010</v>
      </c>
      <c r="W39" s="65">
        <f>1383100</f>
        <v>1383100</v>
      </c>
      <c r="X39" s="69">
        <f>22</f>
        <v>22</v>
      </c>
    </row>
    <row r="40" spans="1:24">
      <c r="A40" s="60" t="s">
        <v>844</v>
      </c>
      <c r="B40" s="60" t="s">
        <v>160</v>
      </c>
      <c r="C40" s="60" t="s">
        <v>161</v>
      </c>
      <c r="D40" s="60" t="s">
        <v>162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2999</f>
        <v>2999</v>
      </c>
      <c r="L40" s="67" t="s">
        <v>840</v>
      </c>
      <c r="M40" s="66">
        <f>3125</f>
        <v>3125</v>
      </c>
      <c r="N40" s="67" t="s">
        <v>86</v>
      </c>
      <c r="O40" s="66">
        <f>2744</f>
        <v>2744</v>
      </c>
      <c r="P40" s="67" t="s">
        <v>119</v>
      </c>
      <c r="Q40" s="66">
        <f>2976</f>
        <v>2976</v>
      </c>
      <c r="R40" s="67" t="s">
        <v>50</v>
      </c>
      <c r="S40" s="68">
        <f>2897.18</f>
        <v>2897.18</v>
      </c>
      <c r="T40" s="65">
        <f>1772147</f>
        <v>1772147</v>
      </c>
      <c r="U40" s="65">
        <f>40699</f>
        <v>40699</v>
      </c>
      <c r="V40" s="65">
        <f>5146439187</f>
        <v>5146439187</v>
      </c>
      <c r="W40" s="65">
        <f>119207677</f>
        <v>119207677</v>
      </c>
      <c r="X40" s="69">
        <f>22</f>
        <v>22</v>
      </c>
    </row>
    <row r="41" spans="1:24">
      <c r="A41" s="60" t="s">
        <v>844</v>
      </c>
      <c r="B41" s="60" t="s">
        <v>163</v>
      </c>
      <c r="C41" s="60" t="s">
        <v>164</v>
      </c>
      <c r="D41" s="60" t="s">
        <v>165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22110</f>
        <v>22110</v>
      </c>
      <c r="L41" s="67" t="s">
        <v>840</v>
      </c>
      <c r="M41" s="66">
        <f>23390</f>
        <v>23390</v>
      </c>
      <c r="N41" s="67" t="s">
        <v>65</v>
      </c>
      <c r="O41" s="66">
        <f>21700</f>
        <v>21700</v>
      </c>
      <c r="P41" s="67" t="s">
        <v>86</v>
      </c>
      <c r="Q41" s="66">
        <f>22480</f>
        <v>22480</v>
      </c>
      <c r="R41" s="67" t="s">
        <v>50</v>
      </c>
      <c r="S41" s="68">
        <f>22670.91</f>
        <v>22670.91</v>
      </c>
      <c r="T41" s="65">
        <f>180674</f>
        <v>180674</v>
      </c>
      <c r="U41" s="65">
        <f>28700</f>
        <v>28700</v>
      </c>
      <c r="V41" s="65">
        <f>4104928190</f>
        <v>4104928190</v>
      </c>
      <c r="W41" s="65">
        <f>643899100</f>
        <v>643899100</v>
      </c>
      <c r="X41" s="69">
        <f>22</f>
        <v>22</v>
      </c>
    </row>
    <row r="42" spans="1:24">
      <c r="A42" s="60" t="s">
        <v>844</v>
      </c>
      <c r="B42" s="60" t="s">
        <v>166</v>
      </c>
      <c r="C42" s="60" t="s">
        <v>167</v>
      </c>
      <c r="D42" s="60" t="s">
        <v>168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3780</f>
        <v>3780</v>
      </c>
      <c r="L42" s="67" t="s">
        <v>840</v>
      </c>
      <c r="M42" s="66">
        <f>4250</f>
        <v>4250</v>
      </c>
      <c r="N42" s="67" t="s">
        <v>65</v>
      </c>
      <c r="O42" s="66">
        <f>3760</f>
        <v>3760</v>
      </c>
      <c r="P42" s="67" t="s">
        <v>840</v>
      </c>
      <c r="Q42" s="66">
        <f>4000</f>
        <v>4000</v>
      </c>
      <c r="R42" s="67" t="s">
        <v>50</v>
      </c>
      <c r="S42" s="68">
        <f>3979.09</f>
        <v>3979.09</v>
      </c>
      <c r="T42" s="65">
        <f>11685</f>
        <v>11685</v>
      </c>
      <c r="U42" s="65" t="str">
        <f>"－"</f>
        <v>－</v>
      </c>
      <c r="V42" s="65">
        <f>45990745</f>
        <v>45990745</v>
      </c>
      <c r="W42" s="65" t="str">
        <f>"－"</f>
        <v>－</v>
      </c>
      <c r="X42" s="69">
        <f>22</f>
        <v>22</v>
      </c>
    </row>
    <row r="43" spans="1:24">
      <c r="A43" s="60" t="s">
        <v>844</v>
      </c>
      <c r="B43" s="60" t="s">
        <v>169</v>
      </c>
      <c r="C43" s="60" t="s">
        <v>170</v>
      </c>
      <c r="D43" s="60" t="s">
        <v>171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7070</f>
        <v>7070</v>
      </c>
      <c r="L43" s="67" t="s">
        <v>840</v>
      </c>
      <c r="M43" s="66">
        <f>7720</f>
        <v>7720</v>
      </c>
      <c r="N43" s="67" t="s">
        <v>65</v>
      </c>
      <c r="O43" s="66">
        <f>6970</f>
        <v>6970</v>
      </c>
      <c r="P43" s="67" t="s">
        <v>86</v>
      </c>
      <c r="Q43" s="66">
        <f>7310</f>
        <v>7310</v>
      </c>
      <c r="R43" s="67" t="s">
        <v>50</v>
      </c>
      <c r="S43" s="68">
        <f>7298.64</f>
        <v>7298.64</v>
      </c>
      <c r="T43" s="65">
        <f>3207</f>
        <v>3207</v>
      </c>
      <c r="U43" s="65" t="str">
        <f>"－"</f>
        <v>－</v>
      </c>
      <c r="V43" s="65">
        <f>23462770</f>
        <v>23462770</v>
      </c>
      <c r="W43" s="65" t="str">
        <f>"－"</f>
        <v>－</v>
      </c>
      <c r="X43" s="69">
        <f>22</f>
        <v>22</v>
      </c>
    </row>
    <row r="44" spans="1:24">
      <c r="A44" s="60" t="s">
        <v>844</v>
      </c>
      <c r="B44" s="60" t="s">
        <v>172</v>
      </c>
      <c r="C44" s="60" t="s">
        <v>173</v>
      </c>
      <c r="D44" s="60" t="s">
        <v>174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13850</f>
        <v>13850</v>
      </c>
      <c r="L44" s="67" t="s">
        <v>833</v>
      </c>
      <c r="M44" s="66">
        <f>14960</f>
        <v>14960</v>
      </c>
      <c r="N44" s="67" t="s">
        <v>119</v>
      </c>
      <c r="O44" s="66">
        <f>13190</f>
        <v>13190</v>
      </c>
      <c r="P44" s="67" t="s">
        <v>86</v>
      </c>
      <c r="Q44" s="66">
        <f>13460</f>
        <v>13460</v>
      </c>
      <c r="R44" s="67" t="s">
        <v>245</v>
      </c>
      <c r="S44" s="68">
        <f>13921.88</f>
        <v>13921.88</v>
      </c>
      <c r="T44" s="65">
        <f>2709</f>
        <v>2709</v>
      </c>
      <c r="U44" s="65">
        <f>2350</f>
        <v>2350</v>
      </c>
      <c r="V44" s="65">
        <f>37649060</f>
        <v>37649060</v>
      </c>
      <c r="W44" s="65">
        <f>32666500</f>
        <v>32666500</v>
      </c>
      <c r="X44" s="69">
        <f>16</f>
        <v>16</v>
      </c>
    </row>
    <row r="45" spans="1:24">
      <c r="A45" s="60" t="s">
        <v>844</v>
      </c>
      <c r="B45" s="60" t="s">
        <v>176</v>
      </c>
      <c r="C45" s="60" t="s">
        <v>177</v>
      </c>
      <c r="D45" s="60" t="s">
        <v>178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10510</f>
        <v>10510</v>
      </c>
      <c r="L45" s="67" t="s">
        <v>840</v>
      </c>
      <c r="M45" s="66">
        <f>11650</f>
        <v>11650</v>
      </c>
      <c r="N45" s="67" t="s">
        <v>65</v>
      </c>
      <c r="O45" s="66">
        <f>10390</f>
        <v>10390</v>
      </c>
      <c r="P45" s="67" t="s">
        <v>86</v>
      </c>
      <c r="Q45" s="66">
        <f>10720</f>
        <v>10720</v>
      </c>
      <c r="R45" s="67" t="s">
        <v>309</v>
      </c>
      <c r="S45" s="68">
        <f>10999.09</f>
        <v>10999.09</v>
      </c>
      <c r="T45" s="65">
        <f>928</f>
        <v>928</v>
      </c>
      <c r="U45" s="65" t="str">
        <f>"－"</f>
        <v>－</v>
      </c>
      <c r="V45" s="65">
        <f>10135620</f>
        <v>10135620</v>
      </c>
      <c r="W45" s="65" t="str">
        <f>"－"</f>
        <v>－</v>
      </c>
      <c r="X45" s="69">
        <f>11</f>
        <v>11</v>
      </c>
    </row>
    <row r="46" spans="1:24">
      <c r="A46" s="60" t="s">
        <v>844</v>
      </c>
      <c r="B46" s="60" t="s">
        <v>179</v>
      </c>
      <c r="C46" s="60" t="s">
        <v>180</v>
      </c>
      <c r="D46" s="60" t="s">
        <v>181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7780</f>
        <v>7780</v>
      </c>
      <c r="L46" s="67" t="s">
        <v>840</v>
      </c>
      <c r="M46" s="66">
        <f>8580</f>
        <v>8580</v>
      </c>
      <c r="N46" s="67" t="s">
        <v>65</v>
      </c>
      <c r="O46" s="66">
        <f>7550</f>
        <v>7550</v>
      </c>
      <c r="P46" s="67" t="s">
        <v>86</v>
      </c>
      <c r="Q46" s="66">
        <f>7740</f>
        <v>7740</v>
      </c>
      <c r="R46" s="67" t="s">
        <v>50</v>
      </c>
      <c r="S46" s="68">
        <f>7938.57</f>
        <v>7938.57</v>
      </c>
      <c r="T46" s="65">
        <f>1221</f>
        <v>1221</v>
      </c>
      <c r="U46" s="65" t="str">
        <f>"－"</f>
        <v>－</v>
      </c>
      <c r="V46" s="65">
        <f>9721890</f>
        <v>9721890</v>
      </c>
      <c r="W46" s="65" t="str">
        <f>"－"</f>
        <v>－</v>
      </c>
      <c r="X46" s="69">
        <f>21</f>
        <v>21</v>
      </c>
    </row>
    <row r="47" spans="1:24">
      <c r="A47" s="60" t="s">
        <v>844</v>
      </c>
      <c r="B47" s="60" t="s">
        <v>182</v>
      </c>
      <c r="C47" s="60" t="s">
        <v>183</v>
      </c>
      <c r="D47" s="60" t="s">
        <v>184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3980</f>
        <v>3980</v>
      </c>
      <c r="L47" s="67" t="s">
        <v>840</v>
      </c>
      <c r="M47" s="66">
        <f>4650</f>
        <v>4650</v>
      </c>
      <c r="N47" s="67" t="s">
        <v>65</v>
      </c>
      <c r="O47" s="66">
        <f>3900</f>
        <v>3900</v>
      </c>
      <c r="P47" s="67" t="s">
        <v>840</v>
      </c>
      <c r="Q47" s="66">
        <f>4190</f>
        <v>4190</v>
      </c>
      <c r="R47" s="67" t="s">
        <v>50</v>
      </c>
      <c r="S47" s="68">
        <f>4241.82</f>
        <v>4241.82</v>
      </c>
      <c r="T47" s="65">
        <f>1384</f>
        <v>1384</v>
      </c>
      <c r="U47" s="65" t="str">
        <f>"－"</f>
        <v>－</v>
      </c>
      <c r="V47" s="65">
        <f>5903995</f>
        <v>5903995</v>
      </c>
      <c r="W47" s="65" t="str">
        <f>"－"</f>
        <v>－</v>
      </c>
      <c r="X47" s="69">
        <f>22</f>
        <v>22</v>
      </c>
    </row>
    <row r="48" spans="1:24">
      <c r="A48" s="60" t="s">
        <v>844</v>
      </c>
      <c r="B48" s="60" t="s">
        <v>185</v>
      </c>
      <c r="C48" s="60" t="s">
        <v>186</v>
      </c>
      <c r="D48" s="60" t="s">
        <v>187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2141</f>
        <v>2141</v>
      </c>
      <c r="L48" s="67" t="s">
        <v>840</v>
      </c>
      <c r="M48" s="66">
        <f>2279</f>
        <v>2279</v>
      </c>
      <c r="N48" s="67" t="s">
        <v>99</v>
      </c>
      <c r="O48" s="66">
        <f>2112</f>
        <v>2112</v>
      </c>
      <c r="P48" s="67" t="s">
        <v>815</v>
      </c>
      <c r="Q48" s="66">
        <f>2230</f>
        <v>2230</v>
      </c>
      <c r="R48" s="67" t="s">
        <v>50</v>
      </c>
      <c r="S48" s="68">
        <f>2219.73</f>
        <v>2219.73</v>
      </c>
      <c r="T48" s="65">
        <f>3016</f>
        <v>3016</v>
      </c>
      <c r="U48" s="65">
        <f>9</f>
        <v>9</v>
      </c>
      <c r="V48" s="65">
        <f>6633226</f>
        <v>6633226</v>
      </c>
      <c r="W48" s="65">
        <f>19773</f>
        <v>19773</v>
      </c>
      <c r="X48" s="69">
        <f>22</f>
        <v>22</v>
      </c>
    </row>
    <row r="49" spans="1:24">
      <c r="A49" s="60" t="s">
        <v>844</v>
      </c>
      <c r="B49" s="60" t="s">
        <v>188</v>
      </c>
      <c r="C49" s="60" t="s">
        <v>189</v>
      </c>
      <c r="D49" s="60" t="s">
        <v>190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2110</f>
        <v>2110</v>
      </c>
      <c r="L49" s="67" t="s">
        <v>840</v>
      </c>
      <c r="M49" s="66">
        <f>2324</f>
        <v>2324</v>
      </c>
      <c r="N49" s="67" t="s">
        <v>119</v>
      </c>
      <c r="O49" s="66">
        <f>2030</f>
        <v>2030</v>
      </c>
      <c r="P49" s="67" t="s">
        <v>86</v>
      </c>
      <c r="Q49" s="66">
        <f>2130</f>
        <v>2130</v>
      </c>
      <c r="R49" s="67" t="s">
        <v>50</v>
      </c>
      <c r="S49" s="68">
        <f>2176.82</f>
        <v>2176.8200000000002</v>
      </c>
      <c r="T49" s="65">
        <f>4907</f>
        <v>4907</v>
      </c>
      <c r="U49" s="65">
        <f>45</f>
        <v>45</v>
      </c>
      <c r="V49" s="65">
        <f>10765347</f>
        <v>10765347</v>
      </c>
      <c r="W49" s="65">
        <f>100980</f>
        <v>100980</v>
      </c>
      <c r="X49" s="69">
        <f>22</f>
        <v>22</v>
      </c>
    </row>
    <row r="50" spans="1:24">
      <c r="A50" s="60" t="s">
        <v>844</v>
      </c>
      <c r="B50" s="60" t="s">
        <v>191</v>
      </c>
      <c r="C50" s="60" t="s">
        <v>192</v>
      </c>
      <c r="D50" s="60" t="s">
        <v>193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31500</f>
        <v>31500</v>
      </c>
      <c r="L50" s="67" t="s">
        <v>840</v>
      </c>
      <c r="M50" s="66">
        <f>34200</f>
        <v>34200</v>
      </c>
      <c r="N50" s="67" t="s">
        <v>65</v>
      </c>
      <c r="O50" s="66">
        <f>30400</f>
        <v>30400</v>
      </c>
      <c r="P50" s="67" t="s">
        <v>86</v>
      </c>
      <c r="Q50" s="66">
        <f>31700</f>
        <v>31700</v>
      </c>
      <c r="R50" s="67" t="s">
        <v>50</v>
      </c>
      <c r="S50" s="68">
        <f>32172.73</f>
        <v>32172.73</v>
      </c>
      <c r="T50" s="65">
        <f>1380</f>
        <v>1380</v>
      </c>
      <c r="U50" s="65" t="str">
        <f>"－"</f>
        <v>－</v>
      </c>
      <c r="V50" s="65">
        <f>44268250</f>
        <v>44268250</v>
      </c>
      <c r="W50" s="65" t="str">
        <f>"－"</f>
        <v>－</v>
      </c>
      <c r="X50" s="69">
        <f>22</f>
        <v>22</v>
      </c>
    </row>
    <row r="51" spans="1:24">
      <c r="A51" s="60" t="s">
        <v>844</v>
      </c>
      <c r="B51" s="60" t="s">
        <v>194</v>
      </c>
      <c r="C51" s="60" t="s">
        <v>195</v>
      </c>
      <c r="D51" s="60" t="s">
        <v>196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23550</f>
        <v>23550</v>
      </c>
      <c r="L51" s="67" t="s">
        <v>840</v>
      </c>
      <c r="M51" s="66">
        <f>25230</f>
        <v>25230</v>
      </c>
      <c r="N51" s="67" t="s">
        <v>119</v>
      </c>
      <c r="O51" s="66">
        <f>23010</f>
        <v>23010</v>
      </c>
      <c r="P51" s="67" t="s">
        <v>86</v>
      </c>
      <c r="Q51" s="66">
        <f>23660</f>
        <v>23660</v>
      </c>
      <c r="R51" s="67" t="s">
        <v>245</v>
      </c>
      <c r="S51" s="68">
        <f>24090.56</f>
        <v>24090.560000000001</v>
      </c>
      <c r="T51" s="65">
        <f>321</f>
        <v>321</v>
      </c>
      <c r="U51" s="65" t="str">
        <f>"－"</f>
        <v>－</v>
      </c>
      <c r="V51" s="65">
        <f>7665450</f>
        <v>7665450</v>
      </c>
      <c r="W51" s="65" t="str">
        <f>"－"</f>
        <v>－</v>
      </c>
      <c r="X51" s="69">
        <f>18</f>
        <v>18</v>
      </c>
    </row>
    <row r="52" spans="1:24">
      <c r="A52" s="60" t="s">
        <v>844</v>
      </c>
      <c r="B52" s="60" t="s">
        <v>197</v>
      </c>
      <c r="C52" s="60" t="s">
        <v>198</v>
      </c>
      <c r="D52" s="60" t="s">
        <v>199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22050</f>
        <v>22050</v>
      </c>
      <c r="L52" s="67" t="s">
        <v>840</v>
      </c>
      <c r="M52" s="66">
        <f>23500</f>
        <v>23500</v>
      </c>
      <c r="N52" s="67" t="s">
        <v>65</v>
      </c>
      <c r="O52" s="66">
        <f>21620</f>
        <v>21620</v>
      </c>
      <c r="P52" s="67" t="s">
        <v>86</v>
      </c>
      <c r="Q52" s="66">
        <f>22560</f>
        <v>22560</v>
      </c>
      <c r="R52" s="67" t="s">
        <v>50</v>
      </c>
      <c r="S52" s="68">
        <f>22654.29</f>
        <v>22654.29</v>
      </c>
      <c r="T52" s="65">
        <f>44693</f>
        <v>44693</v>
      </c>
      <c r="U52" s="65">
        <f>43400</f>
        <v>43400</v>
      </c>
      <c r="V52" s="65">
        <f>1023026380</f>
        <v>1023026380</v>
      </c>
      <c r="W52" s="65">
        <f>993794900</f>
        <v>993794900</v>
      </c>
      <c r="X52" s="69">
        <f>21</f>
        <v>21</v>
      </c>
    </row>
    <row r="53" spans="1:24">
      <c r="A53" s="60" t="s">
        <v>844</v>
      </c>
      <c r="B53" s="60" t="s">
        <v>200</v>
      </c>
      <c r="C53" s="60" t="s">
        <v>201</v>
      </c>
      <c r="D53" s="60" t="s">
        <v>202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1733</f>
        <v>1733</v>
      </c>
      <c r="L53" s="67" t="s">
        <v>840</v>
      </c>
      <c r="M53" s="66">
        <f>1793</f>
        <v>1793</v>
      </c>
      <c r="N53" s="67" t="s">
        <v>818</v>
      </c>
      <c r="O53" s="66">
        <f>1663</f>
        <v>1663</v>
      </c>
      <c r="P53" s="67" t="s">
        <v>815</v>
      </c>
      <c r="Q53" s="66">
        <f>1692</f>
        <v>1692</v>
      </c>
      <c r="R53" s="67" t="s">
        <v>50</v>
      </c>
      <c r="S53" s="68">
        <f>1733.05</f>
        <v>1733.05</v>
      </c>
      <c r="T53" s="65">
        <f>307260</f>
        <v>307260</v>
      </c>
      <c r="U53" s="65">
        <f>40</f>
        <v>40</v>
      </c>
      <c r="V53" s="65">
        <f>536915750</f>
        <v>536915750</v>
      </c>
      <c r="W53" s="65">
        <f>71600</f>
        <v>71600</v>
      </c>
      <c r="X53" s="69">
        <f>22</f>
        <v>22</v>
      </c>
    </row>
    <row r="54" spans="1:24">
      <c r="A54" s="60" t="s">
        <v>844</v>
      </c>
      <c r="B54" s="60" t="s">
        <v>203</v>
      </c>
      <c r="C54" s="60" t="s">
        <v>204</v>
      </c>
      <c r="D54" s="60" t="s">
        <v>205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1360</f>
        <v>1360</v>
      </c>
      <c r="L54" s="67" t="s">
        <v>840</v>
      </c>
      <c r="M54" s="66">
        <f>1433</f>
        <v>1433</v>
      </c>
      <c r="N54" s="67" t="s">
        <v>119</v>
      </c>
      <c r="O54" s="66">
        <f>1310</f>
        <v>1310</v>
      </c>
      <c r="P54" s="67" t="s">
        <v>245</v>
      </c>
      <c r="Q54" s="66">
        <f>1334</f>
        <v>1334</v>
      </c>
      <c r="R54" s="67" t="s">
        <v>50</v>
      </c>
      <c r="S54" s="68">
        <f>1365.85</f>
        <v>1365.85</v>
      </c>
      <c r="T54" s="65">
        <f>19480</f>
        <v>19480</v>
      </c>
      <c r="U54" s="65" t="str">
        <f>"－"</f>
        <v>－</v>
      </c>
      <c r="V54" s="65">
        <f>26787450</f>
        <v>26787450</v>
      </c>
      <c r="W54" s="65" t="str">
        <f>"－"</f>
        <v>－</v>
      </c>
      <c r="X54" s="69">
        <f>20</f>
        <v>20</v>
      </c>
    </row>
    <row r="55" spans="1:24">
      <c r="A55" s="60" t="s">
        <v>844</v>
      </c>
      <c r="B55" s="60" t="s">
        <v>206</v>
      </c>
      <c r="C55" s="60" t="s">
        <v>207</v>
      </c>
      <c r="D55" s="60" t="s">
        <v>208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6120</f>
        <v>6120</v>
      </c>
      <c r="L55" s="67" t="s">
        <v>840</v>
      </c>
      <c r="M55" s="66">
        <f>6230</f>
        <v>6230</v>
      </c>
      <c r="N55" s="67" t="s">
        <v>86</v>
      </c>
      <c r="O55" s="66">
        <f>5780</f>
        <v>5780</v>
      </c>
      <c r="P55" s="67" t="s">
        <v>65</v>
      </c>
      <c r="Q55" s="66">
        <f>5970</f>
        <v>5970</v>
      </c>
      <c r="R55" s="67" t="s">
        <v>50</v>
      </c>
      <c r="S55" s="68">
        <f>5955</f>
        <v>5955</v>
      </c>
      <c r="T55" s="65">
        <f>349699</f>
        <v>349699</v>
      </c>
      <c r="U55" s="65">
        <f>163</f>
        <v>163</v>
      </c>
      <c r="V55" s="65">
        <f>2088727460</f>
        <v>2088727460</v>
      </c>
      <c r="W55" s="65">
        <f>966590</f>
        <v>966590</v>
      </c>
      <c r="X55" s="69">
        <f>22</f>
        <v>22</v>
      </c>
    </row>
    <row r="56" spans="1:24">
      <c r="A56" s="60" t="s">
        <v>844</v>
      </c>
      <c r="B56" s="60" t="s">
        <v>209</v>
      </c>
      <c r="C56" s="60" t="s">
        <v>210</v>
      </c>
      <c r="D56" s="60" t="s">
        <v>211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7060</f>
        <v>7060</v>
      </c>
      <c r="L56" s="67" t="s">
        <v>840</v>
      </c>
      <c r="M56" s="66">
        <f>7200</f>
        <v>7200</v>
      </c>
      <c r="N56" s="67" t="s">
        <v>86</v>
      </c>
      <c r="O56" s="66">
        <f>6760</f>
        <v>6760</v>
      </c>
      <c r="P56" s="67" t="s">
        <v>119</v>
      </c>
      <c r="Q56" s="66">
        <f>6990</f>
        <v>6990</v>
      </c>
      <c r="R56" s="67" t="s">
        <v>50</v>
      </c>
      <c r="S56" s="68">
        <f>6948.64</f>
        <v>6948.64</v>
      </c>
      <c r="T56" s="65">
        <f>461274</f>
        <v>461274</v>
      </c>
      <c r="U56" s="65">
        <f>172900</f>
        <v>172900</v>
      </c>
      <c r="V56" s="65">
        <f>3203676606</f>
        <v>3203676606</v>
      </c>
      <c r="W56" s="65">
        <f>1197830016</f>
        <v>1197830016</v>
      </c>
      <c r="X56" s="69">
        <f>22</f>
        <v>22</v>
      </c>
    </row>
    <row r="57" spans="1:24">
      <c r="A57" s="60" t="s">
        <v>844</v>
      </c>
      <c r="B57" s="60" t="s">
        <v>212</v>
      </c>
      <c r="C57" s="60" t="s">
        <v>213</v>
      </c>
      <c r="D57" s="60" t="s">
        <v>214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10760</f>
        <v>10760</v>
      </c>
      <c r="L57" s="67" t="s">
        <v>840</v>
      </c>
      <c r="M57" s="66">
        <f>12000</f>
        <v>12000</v>
      </c>
      <c r="N57" s="67" t="s">
        <v>119</v>
      </c>
      <c r="O57" s="66">
        <f>10300</f>
        <v>10300</v>
      </c>
      <c r="P57" s="67" t="s">
        <v>86</v>
      </c>
      <c r="Q57" s="66">
        <f>11020</f>
        <v>11020</v>
      </c>
      <c r="R57" s="67" t="s">
        <v>50</v>
      </c>
      <c r="S57" s="68">
        <f>11247.27</f>
        <v>11247.27</v>
      </c>
      <c r="T57" s="65">
        <f>10709739</f>
        <v>10709739</v>
      </c>
      <c r="U57" s="65">
        <f>706</f>
        <v>706</v>
      </c>
      <c r="V57" s="65">
        <f>120548670174</f>
        <v>120548670174</v>
      </c>
      <c r="W57" s="65">
        <f>8028544</f>
        <v>8028544</v>
      </c>
      <c r="X57" s="69">
        <f>22</f>
        <v>22</v>
      </c>
    </row>
    <row r="58" spans="1:24">
      <c r="A58" s="60" t="s">
        <v>844</v>
      </c>
      <c r="B58" s="60" t="s">
        <v>215</v>
      </c>
      <c r="C58" s="60" t="s">
        <v>216</v>
      </c>
      <c r="D58" s="60" t="s">
        <v>217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3350</f>
        <v>3350</v>
      </c>
      <c r="L58" s="67" t="s">
        <v>840</v>
      </c>
      <c r="M58" s="66">
        <f>3455</f>
        <v>3455</v>
      </c>
      <c r="N58" s="67" t="s">
        <v>86</v>
      </c>
      <c r="O58" s="66">
        <f>2988</f>
        <v>2988</v>
      </c>
      <c r="P58" s="67" t="s">
        <v>119</v>
      </c>
      <c r="Q58" s="66">
        <f>3180</f>
        <v>3180</v>
      </c>
      <c r="R58" s="67" t="s">
        <v>50</v>
      </c>
      <c r="S58" s="68">
        <f>3154.95</f>
        <v>3154.95</v>
      </c>
      <c r="T58" s="65">
        <f>29677118</f>
        <v>29677118</v>
      </c>
      <c r="U58" s="65">
        <f>14026</f>
        <v>14026</v>
      </c>
      <c r="V58" s="65">
        <f>94226968174</f>
        <v>94226968174</v>
      </c>
      <c r="W58" s="65">
        <f>44387364</f>
        <v>44387364</v>
      </c>
      <c r="X58" s="69">
        <f>22</f>
        <v>22</v>
      </c>
    </row>
    <row r="59" spans="1:24">
      <c r="A59" s="60" t="s">
        <v>844</v>
      </c>
      <c r="B59" s="60" t="s">
        <v>218</v>
      </c>
      <c r="C59" s="60" t="s">
        <v>219</v>
      </c>
      <c r="D59" s="60" t="s">
        <v>220</v>
      </c>
      <c r="E59" s="61" t="s">
        <v>46</v>
      </c>
      <c r="F59" s="62" t="s">
        <v>46</v>
      </c>
      <c r="G59" s="63" t="s">
        <v>46</v>
      </c>
      <c r="H59" s="64"/>
      <c r="I59" s="64" t="s">
        <v>47</v>
      </c>
      <c r="J59" s="65">
        <v>1</v>
      </c>
      <c r="K59" s="66">
        <f>18370</f>
        <v>18370</v>
      </c>
      <c r="L59" s="67" t="s">
        <v>840</v>
      </c>
      <c r="M59" s="66">
        <f>19670</f>
        <v>19670</v>
      </c>
      <c r="N59" s="67" t="s">
        <v>50</v>
      </c>
      <c r="O59" s="66">
        <f>18370</f>
        <v>18370</v>
      </c>
      <c r="P59" s="67" t="s">
        <v>840</v>
      </c>
      <c r="Q59" s="66">
        <f>19670</f>
        <v>19670</v>
      </c>
      <c r="R59" s="67" t="s">
        <v>50</v>
      </c>
      <c r="S59" s="68">
        <f>19386</f>
        <v>19386</v>
      </c>
      <c r="T59" s="65">
        <f>31</f>
        <v>31</v>
      </c>
      <c r="U59" s="65" t="str">
        <f t="shared" ref="U59:U64" si="0">"－"</f>
        <v>－</v>
      </c>
      <c r="V59" s="65">
        <f>595190</f>
        <v>595190</v>
      </c>
      <c r="W59" s="65" t="str">
        <f t="shared" ref="W59:W64" si="1">"－"</f>
        <v>－</v>
      </c>
      <c r="X59" s="69">
        <f>10</f>
        <v>10</v>
      </c>
    </row>
    <row r="60" spans="1:24">
      <c r="A60" s="60" t="s">
        <v>844</v>
      </c>
      <c r="B60" s="60" t="s">
        <v>221</v>
      </c>
      <c r="C60" s="60" t="s">
        <v>222</v>
      </c>
      <c r="D60" s="60" t="s">
        <v>223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9390</f>
        <v>9390</v>
      </c>
      <c r="L60" s="67" t="s">
        <v>840</v>
      </c>
      <c r="M60" s="66">
        <f>10310</f>
        <v>10310</v>
      </c>
      <c r="N60" s="67" t="s">
        <v>119</v>
      </c>
      <c r="O60" s="66">
        <f>9060</f>
        <v>9060</v>
      </c>
      <c r="P60" s="67" t="s">
        <v>86</v>
      </c>
      <c r="Q60" s="66">
        <f>9400</f>
        <v>9400</v>
      </c>
      <c r="R60" s="67" t="s">
        <v>50</v>
      </c>
      <c r="S60" s="68">
        <f>9680.45</f>
        <v>9680.4500000000007</v>
      </c>
      <c r="T60" s="65">
        <f>14459</f>
        <v>14459</v>
      </c>
      <c r="U60" s="65" t="str">
        <f t="shared" si="0"/>
        <v>－</v>
      </c>
      <c r="V60" s="65">
        <f>141348110</f>
        <v>141348110</v>
      </c>
      <c r="W60" s="65" t="str">
        <f t="shared" si="1"/>
        <v>－</v>
      </c>
      <c r="X60" s="69">
        <f>22</f>
        <v>22</v>
      </c>
    </row>
    <row r="61" spans="1:24">
      <c r="A61" s="60" t="s">
        <v>844</v>
      </c>
      <c r="B61" s="60" t="s">
        <v>224</v>
      </c>
      <c r="C61" s="60" t="s">
        <v>225</v>
      </c>
      <c r="D61" s="60" t="s">
        <v>226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6910</f>
        <v>6910</v>
      </c>
      <c r="L61" s="67" t="s">
        <v>840</v>
      </c>
      <c r="M61" s="66">
        <f>7000</f>
        <v>7000</v>
      </c>
      <c r="N61" s="67" t="s">
        <v>86</v>
      </c>
      <c r="O61" s="66">
        <f>6610</f>
        <v>6610</v>
      </c>
      <c r="P61" s="67" t="s">
        <v>119</v>
      </c>
      <c r="Q61" s="66">
        <f>6880</f>
        <v>6880</v>
      </c>
      <c r="R61" s="67" t="s">
        <v>245</v>
      </c>
      <c r="S61" s="68">
        <f>6777.37</f>
        <v>6777.37</v>
      </c>
      <c r="T61" s="65">
        <f>94105</f>
        <v>94105</v>
      </c>
      <c r="U61" s="65" t="str">
        <f t="shared" si="0"/>
        <v>－</v>
      </c>
      <c r="V61" s="65">
        <f>632211560</f>
        <v>632211560</v>
      </c>
      <c r="W61" s="65" t="str">
        <f t="shared" si="1"/>
        <v>－</v>
      </c>
      <c r="X61" s="69">
        <f>19</f>
        <v>19</v>
      </c>
    </row>
    <row r="62" spans="1:24">
      <c r="A62" s="60" t="s">
        <v>844</v>
      </c>
      <c r="B62" s="60" t="s">
        <v>227</v>
      </c>
      <c r="C62" s="60" t="s">
        <v>228</v>
      </c>
      <c r="D62" s="60" t="s">
        <v>229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3945</f>
        <v>3945</v>
      </c>
      <c r="L62" s="67" t="s">
        <v>840</v>
      </c>
      <c r="M62" s="66">
        <f>4035</f>
        <v>4035</v>
      </c>
      <c r="N62" s="67" t="s">
        <v>86</v>
      </c>
      <c r="O62" s="66">
        <f>3510</f>
        <v>3510</v>
      </c>
      <c r="P62" s="67" t="s">
        <v>65</v>
      </c>
      <c r="Q62" s="66">
        <f>3850</f>
        <v>3850</v>
      </c>
      <c r="R62" s="67" t="s">
        <v>50</v>
      </c>
      <c r="S62" s="68">
        <f>3772.27</f>
        <v>3772.27</v>
      </c>
      <c r="T62" s="65">
        <f>28697</f>
        <v>28697</v>
      </c>
      <c r="U62" s="65" t="str">
        <f t="shared" si="0"/>
        <v>－</v>
      </c>
      <c r="V62" s="65">
        <f>107792585</f>
        <v>107792585</v>
      </c>
      <c r="W62" s="65" t="str">
        <f t="shared" si="1"/>
        <v>－</v>
      </c>
      <c r="X62" s="69">
        <f>22</f>
        <v>22</v>
      </c>
    </row>
    <row r="63" spans="1:24">
      <c r="A63" s="60" t="s">
        <v>844</v>
      </c>
      <c r="B63" s="60" t="s">
        <v>230</v>
      </c>
      <c r="C63" s="60" t="s">
        <v>231</v>
      </c>
      <c r="D63" s="60" t="s">
        <v>232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9040</f>
        <v>9040</v>
      </c>
      <c r="L63" s="67" t="s">
        <v>840</v>
      </c>
      <c r="M63" s="66">
        <f>9880</f>
        <v>9880</v>
      </c>
      <c r="N63" s="67" t="s">
        <v>119</v>
      </c>
      <c r="O63" s="66">
        <f>8550</f>
        <v>8550</v>
      </c>
      <c r="P63" s="67" t="s">
        <v>86</v>
      </c>
      <c r="Q63" s="66">
        <f>8900</f>
        <v>8900</v>
      </c>
      <c r="R63" s="67" t="s">
        <v>50</v>
      </c>
      <c r="S63" s="68">
        <f>9212.73</f>
        <v>9212.73</v>
      </c>
      <c r="T63" s="65">
        <f>21510</f>
        <v>21510</v>
      </c>
      <c r="U63" s="65" t="str">
        <f t="shared" si="0"/>
        <v>－</v>
      </c>
      <c r="V63" s="65">
        <f>198667100</f>
        <v>198667100</v>
      </c>
      <c r="W63" s="65" t="str">
        <f t="shared" si="1"/>
        <v>－</v>
      </c>
      <c r="X63" s="69">
        <f>22</f>
        <v>22</v>
      </c>
    </row>
    <row r="64" spans="1:24">
      <c r="A64" s="60" t="s">
        <v>844</v>
      </c>
      <c r="B64" s="60" t="s">
        <v>233</v>
      </c>
      <c r="C64" s="60" t="s">
        <v>234</v>
      </c>
      <c r="D64" s="60" t="s">
        <v>235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6730</f>
        <v>6730</v>
      </c>
      <c r="L64" s="67" t="s">
        <v>840</v>
      </c>
      <c r="M64" s="66">
        <f>6950</f>
        <v>6950</v>
      </c>
      <c r="N64" s="67" t="s">
        <v>815</v>
      </c>
      <c r="O64" s="66">
        <f>6520</f>
        <v>6520</v>
      </c>
      <c r="P64" s="67" t="s">
        <v>65</v>
      </c>
      <c r="Q64" s="66">
        <f>6710</f>
        <v>6710</v>
      </c>
      <c r="R64" s="67" t="s">
        <v>50</v>
      </c>
      <c r="S64" s="68">
        <f>6682.67</f>
        <v>6682.67</v>
      </c>
      <c r="T64" s="65">
        <f>6300</f>
        <v>6300</v>
      </c>
      <c r="U64" s="65" t="str">
        <f t="shared" si="0"/>
        <v>－</v>
      </c>
      <c r="V64" s="65">
        <f>42326600</f>
        <v>42326600</v>
      </c>
      <c r="W64" s="65" t="str">
        <f t="shared" si="1"/>
        <v>－</v>
      </c>
      <c r="X64" s="69">
        <f>15</f>
        <v>15</v>
      </c>
    </row>
    <row r="65" spans="1:24">
      <c r="A65" s="60" t="s">
        <v>844</v>
      </c>
      <c r="B65" s="60" t="s">
        <v>236</v>
      </c>
      <c r="C65" s="60" t="s">
        <v>237</v>
      </c>
      <c r="D65" s="60" t="s">
        <v>238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3840</f>
        <v>3840</v>
      </c>
      <c r="L65" s="67" t="s">
        <v>840</v>
      </c>
      <c r="M65" s="66">
        <f>4060</f>
        <v>4060</v>
      </c>
      <c r="N65" s="67" t="s">
        <v>86</v>
      </c>
      <c r="O65" s="66">
        <f>3525</f>
        <v>3525</v>
      </c>
      <c r="P65" s="67" t="s">
        <v>119</v>
      </c>
      <c r="Q65" s="66">
        <f>3795</f>
        <v>3795</v>
      </c>
      <c r="R65" s="67" t="s">
        <v>50</v>
      </c>
      <c r="S65" s="68">
        <f>3747.73</f>
        <v>3747.73</v>
      </c>
      <c r="T65" s="65">
        <f>98860</f>
        <v>98860</v>
      </c>
      <c r="U65" s="65">
        <f>400</f>
        <v>400</v>
      </c>
      <c r="V65" s="65">
        <f>375660050</f>
        <v>375660050</v>
      </c>
      <c r="W65" s="65">
        <f>1527450</f>
        <v>1527450</v>
      </c>
      <c r="X65" s="69">
        <f>22</f>
        <v>22</v>
      </c>
    </row>
    <row r="66" spans="1:24">
      <c r="A66" s="60" t="s">
        <v>844</v>
      </c>
      <c r="B66" s="60" t="s">
        <v>239</v>
      </c>
      <c r="C66" s="60" t="s">
        <v>240</v>
      </c>
      <c r="D66" s="60" t="s">
        <v>241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f>18900</f>
        <v>18900</v>
      </c>
      <c r="L66" s="67" t="s">
        <v>840</v>
      </c>
      <c r="M66" s="66">
        <f>20500</f>
        <v>20500</v>
      </c>
      <c r="N66" s="67" t="s">
        <v>65</v>
      </c>
      <c r="O66" s="66">
        <f>17970</f>
        <v>17970</v>
      </c>
      <c r="P66" s="67" t="s">
        <v>815</v>
      </c>
      <c r="Q66" s="66">
        <f>18830</f>
        <v>18830</v>
      </c>
      <c r="R66" s="67" t="s">
        <v>50</v>
      </c>
      <c r="S66" s="68">
        <f>19200.95</f>
        <v>19200.95</v>
      </c>
      <c r="T66" s="65">
        <f>4284</f>
        <v>4284</v>
      </c>
      <c r="U66" s="65" t="str">
        <f>"－"</f>
        <v>－</v>
      </c>
      <c r="V66" s="65">
        <f>83439820</f>
        <v>83439820</v>
      </c>
      <c r="W66" s="65" t="str">
        <f>"－"</f>
        <v>－</v>
      </c>
      <c r="X66" s="69">
        <f>21</f>
        <v>21</v>
      </c>
    </row>
    <row r="67" spans="1:24">
      <c r="A67" s="60" t="s">
        <v>844</v>
      </c>
      <c r="B67" s="60" t="s">
        <v>242</v>
      </c>
      <c r="C67" s="60" t="s">
        <v>243</v>
      </c>
      <c r="D67" s="60" t="s">
        <v>244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4410</f>
        <v>4410</v>
      </c>
      <c r="L67" s="67" t="s">
        <v>840</v>
      </c>
      <c r="M67" s="66">
        <f>4550</f>
        <v>4550</v>
      </c>
      <c r="N67" s="67" t="s">
        <v>815</v>
      </c>
      <c r="O67" s="66">
        <f>4145</f>
        <v>4145</v>
      </c>
      <c r="P67" s="67" t="s">
        <v>61</v>
      </c>
      <c r="Q67" s="66">
        <f>4470</f>
        <v>4470</v>
      </c>
      <c r="R67" s="67" t="s">
        <v>245</v>
      </c>
      <c r="S67" s="68">
        <f>4362.5</f>
        <v>4362.5</v>
      </c>
      <c r="T67" s="65">
        <f>9865</f>
        <v>9865</v>
      </c>
      <c r="U67" s="65" t="str">
        <f>"－"</f>
        <v>－</v>
      </c>
      <c r="V67" s="65">
        <f>43528150</f>
        <v>43528150</v>
      </c>
      <c r="W67" s="65" t="str">
        <f>"－"</f>
        <v>－</v>
      </c>
      <c r="X67" s="69">
        <f>20</f>
        <v>20</v>
      </c>
    </row>
    <row r="68" spans="1:24">
      <c r="A68" s="60" t="s">
        <v>844</v>
      </c>
      <c r="B68" s="60" t="s">
        <v>246</v>
      </c>
      <c r="C68" s="60" t="s">
        <v>247</v>
      </c>
      <c r="D68" s="60" t="s">
        <v>248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f>1534</f>
        <v>1534</v>
      </c>
      <c r="L68" s="67" t="s">
        <v>840</v>
      </c>
      <c r="M68" s="66">
        <f>1633</f>
        <v>1633</v>
      </c>
      <c r="N68" s="67" t="s">
        <v>815</v>
      </c>
      <c r="O68" s="66">
        <f>1410</f>
        <v>1410</v>
      </c>
      <c r="P68" s="67" t="s">
        <v>65</v>
      </c>
      <c r="Q68" s="66">
        <f>1535</f>
        <v>1535</v>
      </c>
      <c r="R68" s="67" t="s">
        <v>50</v>
      </c>
      <c r="S68" s="68">
        <f>1495.86</f>
        <v>1495.86</v>
      </c>
      <c r="T68" s="65">
        <f>69931</f>
        <v>69931</v>
      </c>
      <c r="U68" s="65">
        <f>28</f>
        <v>28</v>
      </c>
      <c r="V68" s="65">
        <f>105468766</f>
        <v>105468766</v>
      </c>
      <c r="W68" s="65">
        <f>41842</f>
        <v>41842</v>
      </c>
      <c r="X68" s="69">
        <f>22</f>
        <v>22</v>
      </c>
    </row>
    <row r="69" spans="1:24">
      <c r="A69" s="60" t="s">
        <v>844</v>
      </c>
      <c r="B69" s="60" t="s">
        <v>249</v>
      </c>
      <c r="C69" s="60" t="s">
        <v>250</v>
      </c>
      <c r="D69" s="60" t="s">
        <v>251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10</v>
      </c>
      <c r="K69" s="66">
        <f>1636</f>
        <v>1636</v>
      </c>
      <c r="L69" s="67" t="s">
        <v>840</v>
      </c>
      <c r="M69" s="66">
        <f>1664</f>
        <v>1664</v>
      </c>
      <c r="N69" s="67" t="s">
        <v>65</v>
      </c>
      <c r="O69" s="66">
        <f>1558</f>
        <v>1558</v>
      </c>
      <c r="P69" s="67" t="s">
        <v>86</v>
      </c>
      <c r="Q69" s="66">
        <f>1602</f>
        <v>1602</v>
      </c>
      <c r="R69" s="67" t="s">
        <v>50</v>
      </c>
      <c r="S69" s="68">
        <f>1618.77</f>
        <v>1618.77</v>
      </c>
      <c r="T69" s="65">
        <f>203970</f>
        <v>203970</v>
      </c>
      <c r="U69" s="65">
        <f>100000</f>
        <v>100000</v>
      </c>
      <c r="V69" s="65">
        <f>334424080</f>
        <v>334424080</v>
      </c>
      <c r="W69" s="65">
        <f>165250000</f>
        <v>165250000</v>
      </c>
      <c r="X69" s="69">
        <f>22</f>
        <v>22</v>
      </c>
    </row>
    <row r="70" spans="1:24">
      <c r="A70" s="60" t="s">
        <v>844</v>
      </c>
      <c r="B70" s="60" t="s">
        <v>252</v>
      </c>
      <c r="C70" s="60" t="s">
        <v>253</v>
      </c>
      <c r="D70" s="60" t="s">
        <v>254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14360</f>
        <v>14360</v>
      </c>
      <c r="L70" s="67" t="s">
        <v>840</v>
      </c>
      <c r="M70" s="66">
        <f>14930</f>
        <v>14930</v>
      </c>
      <c r="N70" s="67" t="s">
        <v>119</v>
      </c>
      <c r="O70" s="66">
        <f>14140</f>
        <v>14140</v>
      </c>
      <c r="P70" s="67" t="s">
        <v>815</v>
      </c>
      <c r="Q70" s="66">
        <f>14270</f>
        <v>14270</v>
      </c>
      <c r="R70" s="67" t="s">
        <v>50</v>
      </c>
      <c r="S70" s="68">
        <f>14536.36</f>
        <v>14536.36</v>
      </c>
      <c r="T70" s="65">
        <f>27230</f>
        <v>27230</v>
      </c>
      <c r="U70" s="65" t="str">
        <f>"－"</f>
        <v>－</v>
      </c>
      <c r="V70" s="65">
        <f>394968090</f>
        <v>394968090</v>
      </c>
      <c r="W70" s="65" t="str">
        <f>"－"</f>
        <v>－</v>
      </c>
      <c r="X70" s="69">
        <f>22</f>
        <v>22</v>
      </c>
    </row>
    <row r="71" spans="1:24">
      <c r="A71" s="60" t="s">
        <v>844</v>
      </c>
      <c r="B71" s="60" t="s">
        <v>255</v>
      </c>
      <c r="C71" s="60" t="s">
        <v>256</v>
      </c>
      <c r="D71" s="60" t="s">
        <v>257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1603</f>
        <v>1603</v>
      </c>
      <c r="L71" s="67" t="s">
        <v>840</v>
      </c>
      <c r="M71" s="66">
        <f>1673</f>
        <v>1673</v>
      </c>
      <c r="N71" s="67" t="s">
        <v>119</v>
      </c>
      <c r="O71" s="66">
        <f>1567</f>
        <v>1567</v>
      </c>
      <c r="P71" s="67" t="s">
        <v>86</v>
      </c>
      <c r="Q71" s="66">
        <f>1596</f>
        <v>1596</v>
      </c>
      <c r="R71" s="67" t="s">
        <v>50</v>
      </c>
      <c r="S71" s="68">
        <f>1624.41</f>
        <v>1624.41</v>
      </c>
      <c r="T71" s="65">
        <f>4875637</f>
        <v>4875637</v>
      </c>
      <c r="U71" s="65">
        <f>931917</f>
        <v>931917</v>
      </c>
      <c r="V71" s="65">
        <f>7927548836</f>
        <v>7927548836</v>
      </c>
      <c r="W71" s="65">
        <f>1510696265</f>
        <v>1510696265</v>
      </c>
      <c r="X71" s="69">
        <f>22</f>
        <v>22</v>
      </c>
    </row>
    <row r="72" spans="1:24">
      <c r="A72" s="60" t="s">
        <v>844</v>
      </c>
      <c r="B72" s="60" t="s">
        <v>258</v>
      </c>
      <c r="C72" s="60" t="s">
        <v>259</v>
      </c>
      <c r="D72" s="60" t="s">
        <v>260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1737</f>
        <v>1737</v>
      </c>
      <c r="L72" s="67" t="s">
        <v>840</v>
      </c>
      <c r="M72" s="66">
        <f>1810</f>
        <v>1810</v>
      </c>
      <c r="N72" s="67" t="s">
        <v>119</v>
      </c>
      <c r="O72" s="66">
        <f>1680</f>
        <v>1680</v>
      </c>
      <c r="P72" s="67" t="s">
        <v>815</v>
      </c>
      <c r="Q72" s="66">
        <f>1715</f>
        <v>1715</v>
      </c>
      <c r="R72" s="67" t="s">
        <v>50</v>
      </c>
      <c r="S72" s="68">
        <f>1750.36</f>
        <v>1750.36</v>
      </c>
      <c r="T72" s="65">
        <f>4355744</f>
        <v>4355744</v>
      </c>
      <c r="U72" s="65">
        <f>1464561</f>
        <v>1464561</v>
      </c>
      <c r="V72" s="65">
        <f>7626808656</f>
        <v>7626808656</v>
      </c>
      <c r="W72" s="65">
        <f>2552830928</f>
        <v>2552830928</v>
      </c>
      <c r="X72" s="69">
        <f>22</f>
        <v>22</v>
      </c>
    </row>
    <row r="73" spans="1:24">
      <c r="A73" s="60" t="s">
        <v>844</v>
      </c>
      <c r="B73" s="60" t="s">
        <v>261</v>
      </c>
      <c r="C73" s="60" t="s">
        <v>262</v>
      </c>
      <c r="D73" s="60" t="s">
        <v>263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1747</f>
        <v>1747</v>
      </c>
      <c r="L73" s="67" t="s">
        <v>840</v>
      </c>
      <c r="M73" s="66">
        <f>1788</f>
        <v>1788</v>
      </c>
      <c r="N73" s="67" t="s">
        <v>61</v>
      </c>
      <c r="O73" s="66">
        <f>1718</f>
        <v>1718</v>
      </c>
      <c r="P73" s="67" t="s">
        <v>86</v>
      </c>
      <c r="Q73" s="66">
        <f>1725</f>
        <v>1725</v>
      </c>
      <c r="R73" s="67" t="s">
        <v>50</v>
      </c>
      <c r="S73" s="68">
        <f>1754.64</f>
        <v>1754.64</v>
      </c>
      <c r="T73" s="65">
        <f>170640</f>
        <v>170640</v>
      </c>
      <c r="U73" s="65">
        <f>156819</f>
        <v>156819</v>
      </c>
      <c r="V73" s="65">
        <f>298029300</f>
        <v>298029300</v>
      </c>
      <c r="W73" s="65">
        <f>273884711</f>
        <v>273884711</v>
      </c>
      <c r="X73" s="69">
        <f>22</f>
        <v>22</v>
      </c>
    </row>
    <row r="74" spans="1:24">
      <c r="A74" s="60" t="s">
        <v>844</v>
      </c>
      <c r="B74" s="60" t="s">
        <v>264</v>
      </c>
      <c r="C74" s="60" t="s">
        <v>265</v>
      </c>
      <c r="D74" s="60" t="s">
        <v>266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1725</f>
        <v>1725</v>
      </c>
      <c r="L74" s="67" t="s">
        <v>840</v>
      </c>
      <c r="M74" s="66">
        <f>1837</f>
        <v>1837</v>
      </c>
      <c r="N74" s="67" t="s">
        <v>119</v>
      </c>
      <c r="O74" s="66">
        <f>1694</f>
        <v>1694</v>
      </c>
      <c r="P74" s="67" t="s">
        <v>815</v>
      </c>
      <c r="Q74" s="66">
        <f>1726</f>
        <v>1726</v>
      </c>
      <c r="R74" s="67" t="s">
        <v>50</v>
      </c>
      <c r="S74" s="68">
        <f>1755.23</f>
        <v>1755.23</v>
      </c>
      <c r="T74" s="65">
        <f>138358</f>
        <v>138358</v>
      </c>
      <c r="U74" s="65">
        <f>2328</f>
        <v>2328</v>
      </c>
      <c r="V74" s="65">
        <f>242393002</f>
        <v>242393002</v>
      </c>
      <c r="W74" s="65">
        <f>4176314</f>
        <v>4176314</v>
      </c>
      <c r="X74" s="69">
        <f>22</f>
        <v>22</v>
      </c>
    </row>
    <row r="75" spans="1:24">
      <c r="A75" s="60" t="s">
        <v>844</v>
      </c>
      <c r="B75" s="60" t="s">
        <v>267</v>
      </c>
      <c r="C75" s="60" t="s">
        <v>268</v>
      </c>
      <c r="D75" s="60" t="s">
        <v>269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19300</f>
        <v>19300</v>
      </c>
      <c r="L75" s="67" t="s">
        <v>840</v>
      </c>
      <c r="M75" s="66">
        <f>20010</f>
        <v>20010</v>
      </c>
      <c r="N75" s="67" t="s">
        <v>65</v>
      </c>
      <c r="O75" s="66">
        <f>18980</f>
        <v>18980</v>
      </c>
      <c r="P75" s="67" t="s">
        <v>86</v>
      </c>
      <c r="Q75" s="66">
        <f>19600</f>
        <v>19600</v>
      </c>
      <c r="R75" s="67" t="s">
        <v>50</v>
      </c>
      <c r="S75" s="68">
        <f>19513.64</f>
        <v>19513.64</v>
      </c>
      <c r="T75" s="65">
        <f>445</f>
        <v>445</v>
      </c>
      <c r="U75" s="65" t="str">
        <f>"－"</f>
        <v>－</v>
      </c>
      <c r="V75" s="65">
        <f>8742180</f>
        <v>8742180</v>
      </c>
      <c r="W75" s="65" t="str">
        <f>"－"</f>
        <v>－</v>
      </c>
      <c r="X75" s="69">
        <f>11</f>
        <v>11</v>
      </c>
    </row>
    <row r="76" spans="1:24">
      <c r="A76" s="60" t="s">
        <v>844</v>
      </c>
      <c r="B76" s="60" t="s">
        <v>270</v>
      </c>
      <c r="C76" s="60" t="s">
        <v>271</v>
      </c>
      <c r="D76" s="60" t="s">
        <v>272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15550</f>
        <v>15550</v>
      </c>
      <c r="L76" s="67" t="s">
        <v>840</v>
      </c>
      <c r="M76" s="66">
        <f>16130</f>
        <v>16130</v>
      </c>
      <c r="N76" s="67" t="s">
        <v>65</v>
      </c>
      <c r="O76" s="66">
        <f>15150</f>
        <v>15150</v>
      </c>
      <c r="P76" s="67" t="s">
        <v>86</v>
      </c>
      <c r="Q76" s="66">
        <f>15630</f>
        <v>15630</v>
      </c>
      <c r="R76" s="67" t="s">
        <v>50</v>
      </c>
      <c r="S76" s="68">
        <f>15656.25</f>
        <v>15656.25</v>
      </c>
      <c r="T76" s="65">
        <f>2564</f>
        <v>2564</v>
      </c>
      <c r="U76" s="65" t="str">
        <f>"－"</f>
        <v>－</v>
      </c>
      <c r="V76" s="65">
        <f>40197500</f>
        <v>40197500</v>
      </c>
      <c r="W76" s="65" t="str">
        <f>"－"</f>
        <v>－</v>
      </c>
      <c r="X76" s="69">
        <f>16</f>
        <v>16</v>
      </c>
    </row>
    <row r="77" spans="1:24">
      <c r="A77" s="60" t="s">
        <v>844</v>
      </c>
      <c r="B77" s="60" t="s">
        <v>273</v>
      </c>
      <c r="C77" s="60" t="s">
        <v>274</v>
      </c>
      <c r="D77" s="60" t="s">
        <v>275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1563</f>
        <v>1563</v>
      </c>
      <c r="L77" s="67" t="s">
        <v>840</v>
      </c>
      <c r="M77" s="66">
        <f>1620</f>
        <v>1620</v>
      </c>
      <c r="N77" s="67" t="s">
        <v>65</v>
      </c>
      <c r="O77" s="66">
        <f>1536</f>
        <v>1536</v>
      </c>
      <c r="P77" s="67" t="s">
        <v>86</v>
      </c>
      <c r="Q77" s="66">
        <f>1571</f>
        <v>1571</v>
      </c>
      <c r="R77" s="67" t="s">
        <v>50</v>
      </c>
      <c r="S77" s="68">
        <f>1582.23</f>
        <v>1582.23</v>
      </c>
      <c r="T77" s="65">
        <f>6871</f>
        <v>6871</v>
      </c>
      <c r="U77" s="65" t="str">
        <f>"－"</f>
        <v>－</v>
      </c>
      <c r="V77" s="65">
        <f>10913961</f>
        <v>10913961</v>
      </c>
      <c r="W77" s="65" t="str">
        <f>"－"</f>
        <v>－</v>
      </c>
      <c r="X77" s="69">
        <f>22</f>
        <v>22</v>
      </c>
    </row>
    <row r="78" spans="1:24">
      <c r="A78" s="60" t="s">
        <v>844</v>
      </c>
      <c r="B78" s="60" t="s">
        <v>276</v>
      </c>
      <c r="C78" s="60" t="s">
        <v>277</v>
      </c>
      <c r="D78" s="60" t="s">
        <v>278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2531</f>
        <v>2531</v>
      </c>
      <c r="L78" s="67" t="s">
        <v>840</v>
      </c>
      <c r="M78" s="66">
        <f>2531</f>
        <v>2531</v>
      </c>
      <c r="N78" s="67" t="s">
        <v>840</v>
      </c>
      <c r="O78" s="66">
        <f>2477</f>
        <v>2477</v>
      </c>
      <c r="P78" s="67" t="s">
        <v>65</v>
      </c>
      <c r="Q78" s="66">
        <f>2529</f>
        <v>2529</v>
      </c>
      <c r="R78" s="67" t="s">
        <v>50</v>
      </c>
      <c r="S78" s="68">
        <f>2511.64</f>
        <v>2511.64</v>
      </c>
      <c r="T78" s="65">
        <f>1548772</f>
        <v>1548772</v>
      </c>
      <c r="U78" s="65">
        <f>271000</f>
        <v>271000</v>
      </c>
      <c r="V78" s="65">
        <f>3878052168</f>
        <v>3878052168</v>
      </c>
      <c r="W78" s="65">
        <f>675091300</f>
        <v>675091300</v>
      </c>
      <c r="X78" s="69">
        <f>22</f>
        <v>22</v>
      </c>
    </row>
    <row r="79" spans="1:24">
      <c r="A79" s="60" t="s">
        <v>844</v>
      </c>
      <c r="B79" s="60" t="s">
        <v>279</v>
      </c>
      <c r="C79" s="60" t="s">
        <v>280</v>
      </c>
      <c r="D79" s="60" t="s">
        <v>281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f>1461</f>
        <v>1461</v>
      </c>
      <c r="L79" s="67" t="s">
        <v>840</v>
      </c>
      <c r="M79" s="66">
        <f>1662</f>
        <v>1662</v>
      </c>
      <c r="N79" s="67" t="s">
        <v>819</v>
      </c>
      <c r="O79" s="66">
        <f>1423</f>
        <v>1423</v>
      </c>
      <c r="P79" s="67" t="s">
        <v>815</v>
      </c>
      <c r="Q79" s="66">
        <f>1512</f>
        <v>1512</v>
      </c>
      <c r="R79" s="67" t="s">
        <v>50</v>
      </c>
      <c r="S79" s="68">
        <f>1515.95</f>
        <v>1515.95</v>
      </c>
      <c r="T79" s="65">
        <f>1108</f>
        <v>1108</v>
      </c>
      <c r="U79" s="65" t="str">
        <f>"－"</f>
        <v>－</v>
      </c>
      <c r="V79" s="65">
        <f>1697865</f>
        <v>1697865</v>
      </c>
      <c r="W79" s="65" t="str">
        <f>"－"</f>
        <v>－</v>
      </c>
      <c r="X79" s="69">
        <f>21</f>
        <v>21</v>
      </c>
    </row>
    <row r="80" spans="1:24">
      <c r="A80" s="60" t="s">
        <v>844</v>
      </c>
      <c r="B80" s="60" t="s">
        <v>282</v>
      </c>
      <c r="C80" s="60" t="s">
        <v>283</v>
      </c>
      <c r="D80" s="60" t="s">
        <v>284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10</v>
      </c>
      <c r="K80" s="66">
        <f>1548</f>
        <v>1548</v>
      </c>
      <c r="L80" s="67" t="s">
        <v>840</v>
      </c>
      <c r="M80" s="66">
        <f>1597</f>
        <v>1597</v>
      </c>
      <c r="N80" s="67" t="s">
        <v>61</v>
      </c>
      <c r="O80" s="66">
        <f>1520</f>
        <v>1520</v>
      </c>
      <c r="P80" s="67" t="s">
        <v>86</v>
      </c>
      <c r="Q80" s="66">
        <f>1554</f>
        <v>1554</v>
      </c>
      <c r="R80" s="67" t="s">
        <v>50</v>
      </c>
      <c r="S80" s="68">
        <f>1564.45</f>
        <v>1564.45</v>
      </c>
      <c r="T80" s="65">
        <f>5010</f>
        <v>5010</v>
      </c>
      <c r="U80" s="65" t="str">
        <f>"－"</f>
        <v>－</v>
      </c>
      <c r="V80" s="65">
        <f>7798650</f>
        <v>7798650</v>
      </c>
      <c r="W80" s="65" t="str">
        <f>"－"</f>
        <v>－</v>
      </c>
      <c r="X80" s="69">
        <f>22</f>
        <v>22</v>
      </c>
    </row>
    <row r="81" spans="1:24">
      <c r="A81" s="60" t="s">
        <v>844</v>
      </c>
      <c r="B81" s="60" t="s">
        <v>285</v>
      </c>
      <c r="C81" s="60" t="s">
        <v>286</v>
      </c>
      <c r="D81" s="60" t="s">
        <v>287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25200</f>
        <v>25200</v>
      </c>
      <c r="L81" s="67" t="s">
        <v>814</v>
      </c>
      <c r="M81" s="66">
        <f>25240</f>
        <v>25240</v>
      </c>
      <c r="N81" s="67" t="s">
        <v>65</v>
      </c>
      <c r="O81" s="66">
        <f>23560</f>
        <v>23560</v>
      </c>
      <c r="P81" s="67" t="s">
        <v>86</v>
      </c>
      <c r="Q81" s="66">
        <f>23740</f>
        <v>23740</v>
      </c>
      <c r="R81" s="67" t="s">
        <v>50</v>
      </c>
      <c r="S81" s="68">
        <f>24397.27</f>
        <v>24397.27</v>
      </c>
      <c r="T81" s="65">
        <f>70</f>
        <v>70</v>
      </c>
      <c r="U81" s="65" t="str">
        <f>"－"</f>
        <v>－</v>
      </c>
      <c r="V81" s="65">
        <f>1702640</f>
        <v>1702640</v>
      </c>
      <c r="W81" s="65" t="str">
        <f>"－"</f>
        <v>－</v>
      </c>
      <c r="X81" s="69">
        <f>11</f>
        <v>11</v>
      </c>
    </row>
    <row r="82" spans="1:24">
      <c r="A82" s="60" t="s">
        <v>844</v>
      </c>
      <c r="B82" s="60" t="s">
        <v>288</v>
      </c>
      <c r="C82" s="60" t="s">
        <v>289</v>
      </c>
      <c r="D82" s="60" t="s">
        <v>290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22610</f>
        <v>22610</v>
      </c>
      <c r="L82" s="67" t="s">
        <v>840</v>
      </c>
      <c r="M82" s="66">
        <f>22760</f>
        <v>22760</v>
      </c>
      <c r="N82" s="67" t="s">
        <v>814</v>
      </c>
      <c r="O82" s="66">
        <f>22270</f>
        <v>22270</v>
      </c>
      <c r="P82" s="67" t="s">
        <v>175</v>
      </c>
      <c r="Q82" s="66">
        <f>22650</f>
        <v>22650</v>
      </c>
      <c r="R82" s="67" t="s">
        <v>50</v>
      </c>
      <c r="S82" s="68">
        <f>22476.67</f>
        <v>22476.67</v>
      </c>
      <c r="T82" s="65">
        <f>130641</f>
        <v>130641</v>
      </c>
      <c r="U82" s="65">
        <f>88000</f>
        <v>88000</v>
      </c>
      <c r="V82" s="65">
        <f>2935761710</f>
        <v>2935761710</v>
      </c>
      <c r="W82" s="65">
        <f>1980069700</f>
        <v>1980069700</v>
      </c>
      <c r="X82" s="69">
        <f>21</f>
        <v>21</v>
      </c>
    </row>
    <row r="83" spans="1:24">
      <c r="A83" s="60" t="s">
        <v>844</v>
      </c>
      <c r="B83" s="60" t="s">
        <v>291</v>
      </c>
      <c r="C83" s="60" t="s">
        <v>292</v>
      </c>
      <c r="D83" s="60" t="s">
        <v>293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</v>
      </c>
      <c r="K83" s="66">
        <f>19860</f>
        <v>19860</v>
      </c>
      <c r="L83" s="67" t="s">
        <v>840</v>
      </c>
      <c r="M83" s="66">
        <f>19890</f>
        <v>19890</v>
      </c>
      <c r="N83" s="67" t="s">
        <v>245</v>
      </c>
      <c r="O83" s="66">
        <f>19480</f>
        <v>19480</v>
      </c>
      <c r="P83" s="67" t="s">
        <v>65</v>
      </c>
      <c r="Q83" s="66">
        <f>19880</f>
        <v>19880</v>
      </c>
      <c r="R83" s="67" t="s">
        <v>50</v>
      </c>
      <c r="S83" s="68">
        <f>19750</f>
        <v>19750</v>
      </c>
      <c r="T83" s="65">
        <f>142504</f>
        <v>142504</v>
      </c>
      <c r="U83" s="65" t="str">
        <f>"－"</f>
        <v>－</v>
      </c>
      <c r="V83" s="65">
        <f>2808786120</f>
        <v>2808786120</v>
      </c>
      <c r="W83" s="65" t="str">
        <f>"－"</f>
        <v>－</v>
      </c>
      <c r="X83" s="69">
        <f>20</f>
        <v>20</v>
      </c>
    </row>
    <row r="84" spans="1:24">
      <c r="A84" s="60" t="s">
        <v>844</v>
      </c>
      <c r="B84" s="60" t="s">
        <v>294</v>
      </c>
      <c r="C84" s="60" t="s">
        <v>295</v>
      </c>
      <c r="D84" s="60" t="s">
        <v>296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10</v>
      </c>
      <c r="K84" s="66">
        <f>1749</f>
        <v>1749</v>
      </c>
      <c r="L84" s="67" t="s">
        <v>840</v>
      </c>
      <c r="M84" s="66">
        <f>1807</f>
        <v>1807</v>
      </c>
      <c r="N84" s="67" t="s">
        <v>61</v>
      </c>
      <c r="O84" s="66">
        <f>1670</f>
        <v>1670</v>
      </c>
      <c r="P84" s="67" t="s">
        <v>86</v>
      </c>
      <c r="Q84" s="66">
        <f>1709</f>
        <v>1709</v>
      </c>
      <c r="R84" s="67" t="s">
        <v>50</v>
      </c>
      <c r="S84" s="68">
        <f>1747</f>
        <v>1747</v>
      </c>
      <c r="T84" s="65">
        <f>897960</f>
        <v>897960</v>
      </c>
      <c r="U84" s="65">
        <f>30</f>
        <v>30</v>
      </c>
      <c r="V84" s="65">
        <f>1570772726</f>
        <v>1570772726</v>
      </c>
      <c r="W84" s="65">
        <f>52356</f>
        <v>52356</v>
      </c>
      <c r="X84" s="69">
        <f>22</f>
        <v>22</v>
      </c>
    </row>
    <row r="85" spans="1:24">
      <c r="A85" s="60" t="s">
        <v>844</v>
      </c>
      <c r="B85" s="60" t="s">
        <v>297</v>
      </c>
      <c r="C85" s="60" t="s">
        <v>298</v>
      </c>
      <c r="D85" s="60" t="s">
        <v>299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f>27950</f>
        <v>27950</v>
      </c>
      <c r="L85" s="67" t="s">
        <v>840</v>
      </c>
      <c r="M85" s="66">
        <f>29840</f>
        <v>29840</v>
      </c>
      <c r="N85" s="67" t="s">
        <v>119</v>
      </c>
      <c r="O85" s="66">
        <f>27250</f>
        <v>27250</v>
      </c>
      <c r="P85" s="67" t="s">
        <v>816</v>
      </c>
      <c r="Q85" s="66">
        <f>27700</f>
        <v>27700</v>
      </c>
      <c r="R85" s="67" t="s">
        <v>50</v>
      </c>
      <c r="S85" s="68">
        <f>28354.55</f>
        <v>28354.55</v>
      </c>
      <c r="T85" s="65">
        <f>40584</f>
        <v>40584</v>
      </c>
      <c r="U85" s="65" t="str">
        <f>"－"</f>
        <v>－</v>
      </c>
      <c r="V85" s="65">
        <f>1144401390</f>
        <v>1144401390</v>
      </c>
      <c r="W85" s="65" t="str">
        <f>"－"</f>
        <v>－</v>
      </c>
      <c r="X85" s="69">
        <f>22</f>
        <v>22</v>
      </c>
    </row>
    <row r="86" spans="1:24">
      <c r="A86" s="60" t="s">
        <v>844</v>
      </c>
      <c r="B86" s="60" t="s">
        <v>300</v>
      </c>
      <c r="C86" s="60" t="s">
        <v>301</v>
      </c>
      <c r="D86" s="60" t="s">
        <v>302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10</v>
      </c>
      <c r="K86" s="66">
        <f>8400</f>
        <v>8400</v>
      </c>
      <c r="L86" s="67" t="s">
        <v>840</v>
      </c>
      <c r="M86" s="66">
        <f>8450</f>
        <v>8450</v>
      </c>
      <c r="N86" s="67" t="s">
        <v>814</v>
      </c>
      <c r="O86" s="66">
        <f>8260</f>
        <v>8260</v>
      </c>
      <c r="P86" s="67" t="s">
        <v>816</v>
      </c>
      <c r="Q86" s="66">
        <f>8260</f>
        <v>8260</v>
      </c>
      <c r="R86" s="67" t="s">
        <v>50</v>
      </c>
      <c r="S86" s="68">
        <f>8375.71</f>
        <v>8375.7099999999991</v>
      </c>
      <c r="T86" s="65">
        <f>270</f>
        <v>270</v>
      </c>
      <c r="U86" s="65" t="str">
        <f>"－"</f>
        <v>－</v>
      </c>
      <c r="V86" s="65">
        <f>2269500</f>
        <v>2269500</v>
      </c>
      <c r="W86" s="65" t="str">
        <f>"－"</f>
        <v>－</v>
      </c>
      <c r="X86" s="69">
        <f>7</f>
        <v>7</v>
      </c>
    </row>
    <row r="87" spans="1:24">
      <c r="A87" s="60" t="s">
        <v>844</v>
      </c>
      <c r="B87" s="60" t="s">
        <v>303</v>
      </c>
      <c r="C87" s="60" t="s">
        <v>304</v>
      </c>
      <c r="D87" s="60" t="s">
        <v>305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13160</f>
        <v>13160</v>
      </c>
      <c r="L87" s="67" t="s">
        <v>840</v>
      </c>
      <c r="M87" s="66">
        <f>13550</f>
        <v>13550</v>
      </c>
      <c r="N87" s="67" t="s">
        <v>814</v>
      </c>
      <c r="O87" s="66">
        <f>13000</f>
        <v>13000</v>
      </c>
      <c r="P87" s="67" t="s">
        <v>72</v>
      </c>
      <c r="Q87" s="66">
        <f>13270</f>
        <v>13270</v>
      </c>
      <c r="R87" s="67" t="s">
        <v>50</v>
      </c>
      <c r="S87" s="68">
        <f>13280.91</f>
        <v>13280.91</v>
      </c>
      <c r="T87" s="65">
        <f>960</f>
        <v>960</v>
      </c>
      <c r="U87" s="65" t="str">
        <f>"－"</f>
        <v>－</v>
      </c>
      <c r="V87" s="65">
        <f>12773000</f>
        <v>12773000</v>
      </c>
      <c r="W87" s="65" t="str">
        <f>"－"</f>
        <v>－</v>
      </c>
      <c r="X87" s="69">
        <f>22</f>
        <v>22</v>
      </c>
    </row>
    <row r="88" spans="1:24">
      <c r="A88" s="60" t="s">
        <v>844</v>
      </c>
      <c r="B88" s="60" t="s">
        <v>306</v>
      </c>
      <c r="C88" s="60" t="s">
        <v>307</v>
      </c>
      <c r="D88" s="60" t="s">
        <v>308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13290</f>
        <v>13290</v>
      </c>
      <c r="L88" s="67" t="s">
        <v>840</v>
      </c>
      <c r="M88" s="66">
        <f>13750</f>
        <v>13750</v>
      </c>
      <c r="N88" s="67" t="s">
        <v>65</v>
      </c>
      <c r="O88" s="66">
        <f>12700</f>
        <v>12700</v>
      </c>
      <c r="P88" s="67" t="s">
        <v>815</v>
      </c>
      <c r="Q88" s="66">
        <f>13260</f>
        <v>13260</v>
      </c>
      <c r="R88" s="67" t="s">
        <v>50</v>
      </c>
      <c r="S88" s="68">
        <f>13296.36</f>
        <v>13296.36</v>
      </c>
      <c r="T88" s="65">
        <f>660</f>
        <v>660</v>
      </c>
      <c r="U88" s="65" t="str">
        <f>"－"</f>
        <v>－</v>
      </c>
      <c r="V88" s="65">
        <f>8769510</f>
        <v>8769510</v>
      </c>
      <c r="W88" s="65" t="str">
        <f>"－"</f>
        <v>－</v>
      </c>
      <c r="X88" s="69">
        <f>22</f>
        <v>22</v>
      </c>
    </row>
    <row r="89" spans="1:24">
      <c r="A89" s="60" t="s">
        <v>844</v>
      </c>
      <c r="B89" s="60" t="s">
        <v>310</v>
      </c>
      <c r="C89" s="60" t="s">
        <v>311</v>
      </c>
      <c r="D89" s="60" t="s">
        <v>312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f>15900</f>
        <v>15900</v>
      </c>
      <c r="L89" s="67" t="s">
        <v>840</v>
      </c>
      <c r="M89" s="66">
        <f>16700</f>
        <v>16700</v>
      </c>
      <c r="N89" s="67" t="s">
        <v>119</v>
      </c>
      <c r="O89" s="66">
        <f>15450</f>
        <v>15450</v>
      </c>
      <c r="P89" s="67" t="s">
        <v>245</v>
      </c>
      <c r="Q89" s="66">
        <f>15720</f>
        <v>15720</v>
      </c>
      <c r="R89" s="67" t="s">
        <v>50</v>
      </c>
      <c r="S89" s="68">
        <f>16007.73</f>
        <v>16007.73</v>
      </c>
      <c r="T89" s="65">
        <f>1581</f>
        <v>1581</v>
      </c>
      <c r="U89" s="65" t="str">
        <f>"－"</f>
        <v>－</v>
      </c>
      <c r="V89" s="65">
        <f>25252370</f>
        <v>25252370</v>
      </c>
      <c r="W89" s="65" t="str">
        <f>"－"</f>
        <v>－</v>
      </c>
      <c r="X89" s="69">
        <f>22</f>
        <v>22</v>
      </c>
    </row>
    <row r="90" spans="1:24">
      <c r="A90" s="60" t="s">
        <v>844</v>
      </c>
      <c r="B90" s="60" t="s">
        <v>313</v>
      </c>
      <c r="C90" s="60" t="s">
        <v>314</v>
      </c>
      <c r="D90" s="60" t="s">
        <v>315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10</v>
      </c>
      <c r="K90" s="66">
        <f>9550</f>
        <v>9550</v>
      </c>
      <c r="L90" s="67" t="s">
        <v>840</v>
      </c>
      <c r="M90" s="66">
        <f>10650</f>
        <v>10650</v>
      </c>
      <c r="N90" s="67" t="s">
        <v>65</v>
      </c>
      <c r="O90" s="66">
        <f>9510</f>
        <v>9510</v>
      </c>
      <c r="P90" s="67" t="s">
        <v>840</v>
      </c>
      <c r="Q90" s="66">
        <f>9800</f>
        <v>9800</v>
      </c>
      <c r="R90" s="67" t="s">
        <v>50</v>
      </c>
      <c r="S90" s="68">
        <f>9973.64</f>
        <v>9973.64</v>
      </c>
      <c r="T90" s="65">
        <f>8510</f>
        <v>8510</v>
      </c>
      <c r="U90" s="65">
        <f>20</f>
        <v>20</v>
      </c>
      <c r="V90" s="65">
        <f>84846800</f>
        <v>84846800</v>
      </c>
      <c r="W90" s="65">
        <f>205600</f>
        <v>205600</v>
      </c>
      <c r="X90" s="69">
        <f>22</f>
        <v>22</v>
      </c>
    </row>
    <row r="91" spans="1:24">
      <c r="A91" s="60" t="s">
        <v>844</v>
      </c>
      <c r="B91" s="60" t="s">
        <v>316</v>
      </c>
      <c r="C91" s="60" t="s">
        <v>317</v>
      </c>
      <c r="D91" s="60" t="s">
        <v>318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2596</f>
        <v>2596</v>
      </c>
      <c r="L91" s="67" t="s">
        <v>840</v>
      </c>
      <c r="M91" s="66">
        <f>2717</f>
        <v>2717</v>
      </c>
      <c r="N91" s="67" t="s">
        <v>72</v>
      </c>
      <c r="O91" s="66">
        <f>2565</f>
        <v>2565</v>
      </c>
      <c r="P91" s="67" t="s">
        <v>833</v>
      </c>
      <c r="Q91" s="66">
        <f>2624</f>
        <v>2624</v>
      </c>
      <c r="R91" s="67" t="s">
        <v>50</v>
      </c>
      <c r="S91" s="68">
        <f>2602.05</f>
        <v>2602.0500000000002</v>
      </c>
      <c r="T91" s="65">
        <f>207769</f>
        <v>207769</v>
      </c>
      <c r="U91" s="65">
        <f>40001</f>
        <v>40001</v>
      </c>
      <c r="V91" s="65">
        <f>544394678</f>
        <v>544394678</v>
      </c>
      <c r="W91" s="65">
        <f>103506602</f>
        <v>103506602</v>
      </c>
      <c r="X91" s="69">
        <f>22</f>
        <v>22</v>
      </c>
    </row>
    <row r="92" spans="1:24">
      <c r="A92" s="60" t="s">
        <v>844</v>
      </c>
      <c r="B92" s="60" t="s">
        <v>319</v>
      </c>
      <c r="C92" s="60" t="s">
        <v>320</v>
      </c>
      <c r="D92" s="60" t="s">
        <v>321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2253</f>
        <v>2253</v>
      </c>
      <c r="L92" s="67" t="s">
        <v>840</v>
      </c>
      <c r="M92" s="66">
        <f>2306</f>
        <v>2306</v>
      </c>
      <c r="N92" s="67" t="s">
        <v>65</v>
      </c>
      <c r="O92" s="66">
        <f>2207</f>
        <v>2207</v>
      </c>
      <c r="P92" s="67" t="s">
        <v>50</v>
      </c>
      <c r="Q92" s="66">
        <f>2208</f>
        <v>2208</v>
      </c>
      <c r="R92" s="67" t="s">
        <v>50</v>
      </c>
      <c r="S92" s="68">
        <f>2257.45</f>
        <v>2257.4499999999998</v>
      </c>
      <c r="T92" s="65">
        <f>119332</f>
        <v>119332</v>
      </c>
      <c r="U92" s="65" t="str">
        <f>"－"</f>
        <v>－</v>
      </c>
      <c r="V92" s="65">
        <f>269468436</f>
        <v>269468436</v>
      </c>
      <c r="W92" s="65" t="str">
        <f>"－"</f>
        <v>－</v>
      </c>
      <c r="X92" s="69">
        <f>22</f>
        <v>22</v>
      </c>
    </row>
    <row r="93" spans="1:24">
      <c r="A93" s="60" t="s">
        <v>844</v>
      </c>
      <c r="B93" s="60" t="s">
        <v>322</v>
      </c>
      <c r="C93" s="60" t="s">
        <v>323</v>
      </c>
      <c r="D93" s="60" t="s">
        <v>324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11900</f>
        <v>11900</v>
      </c>
      <c r="L93" s="67" t="s">
        <v>840</v>
      </c>
      <c r="M93" s="66">
        <f>12470</f>
        <v>12470</v>
      </c>
      <c r="N93" s="67" t="s">
        <v>119</v>
      </c>
      <c r="O93" s="66">
        <f>11730</f>
        <v>11730</v>
      </c>
      <c r="P93" s="67" t="s">
        <v>86</v>
      </c>
      <c r="Q93" s="66">
        <f>11950</f>
        <v>11950</v>
      </c>
      <c r="R93" s="67" t="s">
        <v>50</v>
      </c>
      <c r="S93" s="68">
        <f>12058.64</f>
        <v>12058.64</v>
      </c>
      <c r="T93" s="65">
        <f>1867</f>
        <v>1867</v>
      </c>
      <c r="U93" s="65" t="str">
        <f>"－"</f>
        <v>－</v>
      </c>
      <c r="V93" s="65">
        <f>22407790</f>
        <v>22407790</v>
      </c>
      <c r="W93" s="65" t="str">
        <f>"－"</f>
        <v>－</v>
      </c>
      <c r="X93" s="69">
        <f>22</f>
        <v>22</v>
      </c>
    </row>
    <row r="94" spans="1:24">
      <c r="A94" s="60" t="s">
        <v>844</v>
      </c>
      <c r="B94" s="60" t="s">
        <v>325</v>
      </c>
      <c r="C94" s="60" t="s">
        <v>326</v>
      </c>
      <c r="D94" s="60" t="s">
        <v>327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8500</f>
        <v>8500</v>
      </c>
      <c r="L94" s="67" t="s">
        <v>840</v>
      </c>
      <c r="M94" s="66">
        <f>8500</f>
        <v>8500</v>
      </c>
      <c r="N94" s="67" t="s">
        <v>840</v>
      </c>
      <c r="O94" s="66">
        <f>8000</f>
        <v>8000</v>
      </c>
      <c r="P94" s="67" t="s">
        <v>815</v>
      </c>
      <c r="Q94" s="66">
        <f>8190</f>
        <v>8190</v>
      </c>
      <c r="R94" s="67" t="s">
        <v>50</v>
      </c>
      <c r="S94" s="68">
        <f>8172.73</f>
        <v>8172.73</v>
      </c>
      <c r="T94" s="65">
        <f>681</f>
        <v>681</v>
      </c>
      <c r="U94" s="65" t="str">
        <f>"－"</f>
        <v>－</v>
      </c>
      <c r="V94" s="65">
        <f>5563400</f>
        <v>5563400</v>
      </c>
      <c r="W94" s="65" t="str">
        <f>"－"</f>
        <v>－</v>
      </c>
      <c r="X94" s="69">
        <f>22</f>
        <v>22</v>
      </c>
    </row>
    <row r="95" spans="1:24">
      <c r="A95" s="60" t="s">
        <v>844</v>
      </c>
      <c r="B95" s="60" t="s">
        <v>328</v>
      </c>
      <c r="C95" s="60" t="s">
        <v>329</v>
      </c>
      <c r="D95" s="60" t="s">
        <v>330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5760</f>
        <v>5760</v>
      </c>
      <c r="L95" s="67" t="s">
        <v>840</v>
      </c>
      <c r="M95" s="66">
        <f>6000</f>
        <v>6000</v>
      </c>
      <c r="N95" s="67" t="s">
        <v>50</v>
      </c>
      <c r="O95" s="66">
        <f>5670</f>
        <v>5670</v>
      </c>
      <c r="P95" s="67" t="s">
        <v>834</v>
      </c>
      <c r="Q95" s="66">
        <f>5980</f>
        <v>5980</v>
      </c>
      <c r="R95" s="67" t="s">
        <v>50</v>
      </c>
      <c r="S95" s="68">
        <f>5765.45</f>
        <v>5765.45</v>
      </c>
      <c r="T95" s="65">
        <f>2888314</f>
        <v>2888314</v>
      </c>
      <c r="U95" s="65">
        <f>141216</f>
        <v>141216</v>
      </c>
      <c r="V95" s="65">
        <f>16689025154</f>
        <v>16689025154</v>
      </c>
      <c r="W95" s="65">
        <f>821937984</f>
        <v>821937984</v>
      </c>
      <c r="X95" s="69">
        <f>22</f>
        <v>22</v>
      </c>
    </row>
    <row r="96" spans="1:24">
      <c r="A96" s="60" t="s">
        <v>844</v>
      </c>
      <c r="B96" s="60" t="s">
        <v>331</v>
      </c>
      <c r="C96" s="60" t="s">
        <v>332</v>
      </c>
      <c r="D96" s="60" t="s">
        <v>333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2760</f>
        <v>2760</v>
      </c>
      <c r="L96" s="67" t="s">
        <v>840</v>
      </c>
      <c r="M96" s="66">
        <f>2818</f>
        <v>2818</v>
      </c>
      <c r="N96" s="67" t="s">
        <v>833</v>
      </c>
      <c r="O96" s="66">
        <f>2612</f>
        <v>2612</v>
      </c>
      <c r="P96" s="67" t="s">
        <v>86</v>
      </c>
      <c r="Q96" s="66">
        <f>2720</f>
        <v>2720</v>
      </c>
      <c r="R96" s="67" t="s">
        <v>50</v>
      </c>
      <c r="S96" s="68">
        <f>2719.05</f>
        <v>2719.05</v>
      </c>
      <c r="T96" s="65">
        <f>548599</f>
        <v>548599</v>
      </c>
      <c r="U96" s="65">
        <f>50</f>
        <v>50</v>
      </c>
      <c r="V96" s="65">
        <f>1490488389</f>
        <v>1490488389</v>
      </c>
      <c r="W96" s="65">
        <f>136020</f>
        <v>136020</v>
      </c>
      <c r="X96" s="69">
        <f>22</f>
        <v>22</v>
      </c>
    </row>
    <row r="97" spans="1:24">
      <c r="A97" s="60" t="s">
        <v>844</v>
      </c>
      <c r="B97" s="60" t="s">
        <v>334</v>
      </c>
      <c r="C97" s="60" t="s">
        <v>335</v>
      </c>
      <c r="D97" s="60" t="s">
        <v>336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5820</f>
        <v>5820</v>
      </c>
      <c r="L97" s="67" t="s">
        <v>840</v>
      </c>
      <c r="M97" s="66">
        <f>6300</f>
        <v>6300</v>
      </c>
      <c r="N97" s="67" t="s">
        <v>834</v>
      </c>
      <c r="O97" s="66">
        <f>5740</f>
        <v>5740</v>
      </c>
      <c r="P97" s="67" t="s">
        <v>833</v>
      </c>
      <c r="Q97" s="66">
        <f>5940</f>
        <v>5940</v>
      </c>
      <c r="R97" s="67" t="s">
        <v>50</v>
      </c>
      <c r="S97" s="68">
        <f>5972.73</f>
        <v>5972.73</v>
      </c>
      <c r="T97" s="65">
        <f>436999</f>
        <v>436999</v>
      </c>
      <c r="U97" s="65">
        <f>458</f>
        <v>458</v>
      </c>
      <c r="V97" s="65">
        <f>2613757195</f>
        <v>2613757195</v>
      </c>
      <c r="W97" s="65">
        <f>2750665</f>
        <v>2750665</v>
      </c>
      <c r="X97" s="69">
        <f>22</f>
        <v>22</v>
      </c>
    </row>
    <row r="98" spans="1:24">
      <c r="A98" s="60" t="s">
        <v>844</v>
      </c>
      <c r="B98" s="60" t="s">
        <v>337</v>
      </c>
      <c r="C98" s="60" t="s">
        <v>338</v>
      </c>
      <c r="D98" s="60" t="s">
        <v>339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62300</f>
        <v>62300</v>
      </c>
      <c r="L98" s="67" t="s">
        <v>840</v>
      </c>
      <c r="M98" s="66">
        <f>66500</f>
        <v>66500</v>
      </c>
      <c r="N98" s="67" t="s">
        <v>119</v>
      </c>
      <c r="O98" s="66">
        <f>60200</f>
        <v>60200</v>
      </c>
      <c r="P98" s="67" t="s">
        <v>821</v>
      </c>
      <c r="Q98" s="66">
        <f>60800</f>
        <v>60800</v>
      </c>
      <c r="R98" s="67" t="s">
        <v>50</v>
      </c>
      <c r="S98" s="68">
        <f>62486.36</f>
        <v>62486.36</v>
      </c>
      <c r="T98" s="65">
        <f>4416</f>
        <v>4416</v>
      </c>
      <c r="U98" s="65">
        <f>4</f>
        <v>4</v>
      </c>
      <c r="V98" s="65">
        <f>278248800</f>
        <v>278248800</v>
      </c>
      <c r="W98" s="65">
        <f>244800</f>
        <v>244800</v>
      </c>
      <c r="X98" s="69">
        <f>22</f>
        <v>22</v>
      </c>
    </row>
    <row r="99" spans="1:24">
      <c r="A99" s="60" t="s">
        <v>844</v>
      </c>
      <c r="B99" s="60" t="s">
        <v>340</v>
      </c>
      <c r="C99" s="60" t="s">
        <v>341</v>
      </c>
      <c r="D99" s="60" t="s">
        <v>342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10</v>
      </c>
      <c r="K99" s="66">
        <f>10370</f>
        <v>10370</v>
      </c>
      <c r="L99" s="67" t="s">
        <v>840</v>
      </c>
      <c r="M99" s="66">
        <f>11070</f>
        <v>11070</v>
      </c>
      <c r="N99" s="67" t="s">
        <v>175</v>
      </c>
      <c r="O99" s="66">
        <f>10210</f>
        <v>10210</v>
      </c>
      <c r="P99" s="67" t="s">
        <v>86</v>
      </c>
      <c r="Q99" s="66">
        <f>10890</f>
        <v>10890</v>
      </c>
      <c r="R99" s="67" t="s">
        <v>50</v>
      </c>
      <c r="S99" s="68">
        <f>10759.55</f>
        <v>10759.55</v>
      </c>
      <c r="T99" s="65">
        <f>2366550</f>
        <v>2366550</v>
      </c>
      <c r="U99" s="65">
        <f>20150</f>
        <v>20150</v>
      </c>
      <c r="V99" s="65">
        <f>25450571404</f>
        <v>25450571404</v>
      </c>
      <c r="W99" s="65">
        <f>218519404</f>
        <v>218519404</v>
      </c>
      <c r="X99" s="69">
        <f>22</f>
        <v>22</v>
      </c>
    </row>
    <row r="100" spans="1:24">
      <c r="A100" s="60" t="s">
        <v>844</v>
      </c>
      <c r="B100" s="60" t="s">
        <v>343</v>
      </c>
      <c r="C100" s="60" t="s">
        <v>344</v>
      </c>
      <c r="D100" s="60" t="s">
        <v>345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</v>
      </c>
      <c r="K100" s="66">
        <f>26560</f>
        <v>26560</v>
      </c>
      <c r="L100" s="67" t="s">
        <v>840</v>
      </c>
      <c r="M100" s="66">
        <f>29210</f>
        <v>29210</v>
      </c>
      <c r="N100" s="67" t="s">
        <v>119</v>
      </c>
      <c r="O100" s="66">
        <f>25820</f>
        <v>25820</v>
      </c>
      <c r="P100" s="67" t="s">
        <v>86</v>
      </c>
      <c r="Q100" s="66">
        <f>26900</f>
        <v>26900</v>
      </c>
      <c r="R100" s="67" t="s">
        <v>50</v>
      </c>
      <c r="S100" s="68">
        <f>27365.45</f>
        <v>27365.45</v>
      </c>
      <c r="T100" s="65">
        <f>494575</f>
        <v>494575</v>
      </c>
      <c r="U100" s="65">
        <f>851</f>
        <v>851</v>
      </c>
      <c r="V100" s="65">
        <f>13520741775</f>
        <v>13520741775</v>
      </c>
      <c r="W100" s="65">
        <f>22847805</f>
        <v>22847805</v>
      </c>
      <c r="X100" s="69">
        <f>22</f>
        <v>22</v>
      </c>
    </row>
    <row r="101" spans="1:24">
      <c r="A101" s="60" t="s">
        <v>844</v>
      </c>
      <c r="B101" s="60" t="s">
        <v>346</v>
      </c>
      <c r="C101" s="60" t="s">
        <v>347</v>
      </c>
      <c r="D101" s="60" t="s">
        <v>348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3540</f>
        <v>3540</v>
      </c>
      <c r="L101" s="67" t="s">
        <v>840</v>
      </c>
      <c r="M101" s="66">
        <f>3815</f>
        <v>3815</v>
      </c>
      <c r="N101" s="67" t="s">
        <v>65</v>
      </c>
      <c r="O101" s="66">
        <f>3425</f>
        <v>3425</v>
      </c>
      <c r="P101" s="67" t="s">
        <v>86</v>
      </c>
      <c r="Q101" s="66">
        <f>3565</f>
        <v>3565</v>
      </c>
      <c r="R101" s="67" t="s">
        <v>50</v>
      </c>
      <c r="S101" s="68">
        <f>3617.27</f>
        <v>3617.27</v>
      </c>
      <c r="T101" s="65">
        <f>1724480</f>
        <v>1724480</v>
      </c>
      <c r="U101" s="65">
        <f>3350</f>
        <v>3350</v>
      </c>
      <c r="V101" s="65">
        <f>6239234269</f>
        <v>6239234269</v>
      </c>
      <c r="W101" s="65">
        <f>12137119</f>
        <v>12137119</v>
      </c>
      <c r="X101" s="69">
        <f>22</f>
        <v>22</v>
      </c>
    </row>
    <row r="102" spans="1:24">
      <c r="A102" s="60" t="s">
        <v>844</v>
      </c>
      <c r="B102" s="60" t="s">
        <v>349</v>
      </c>
      <c r="C102" s="60" t="s">
        <v>350</v>
      </c>
      <c r="D102" s="60" t="s">
        <v>351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2350</f>
        <v>2350</v>
      </c>
      <c r="L102" s="67" t="s">
        <v>840</v>
      </c>
      <c r="M102" s="66">
        <f>2522</f>
        <v>2522</v>
      </c>
      <c r="N102" s="67" t="s">
        <v>65</v>
      </c>
      <c r="O102" s="66">
        <f>2254</f>
        <v>2254</v>
      </c>
      <c r="P102" s="67" t="s">
        <v>840</v>
      </c>
      <c r="Q102" s="66">
        <f>2384</f>
        <v>2384</v>
      </c>
      <c r="R102" s="67" t="s">
        <v>50</v>
      </c>
      <c r="S102" s="68">
        <f>2410.09</f>
        <v>2410.09</v>
      </c>
      <c r="T102" s="65">
        <f>328840</f>
        <v>328840</v>
      </c>
      <c r="U102" s="65">
        <f>73570</f>
        <v>73570</v>
      </c>
      <c r="V102" s="65">
        <f>792227096</f>
        <v>792227096</v>
      </c>
      <c r="W102" s="65">
        <f>178243316</f>
        <v>178243316</v>
      </c>
      <c r="X102" s="69">
        <f>22</f>
        <v>22</v>
      </c>
    </row>
    <row r="103" spans="1:24">
      <c r="A103" s="60" t="s">
        <v>844</v>
      </c>
      <c r="B103" s="60" t="s">
        <v>352</v>
      </c>
      <c r="C103" s="60" t="s">
        <v>353</v>
      </c>
      <c r="D103" s="60" t="s">
        <v>354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10</v>
      </c>
      <c r="K103" s="66">
        <f>4330</f>
        <v>4330</v>
      </c>
      <c r="L103" s="67" t="s">
        <v>840</v>
      </c>
      <c r="M103" s="66">
        <f>4500</f>
        <v>4500</v>
      </c>
      <c r="N103" s="67" t="s">
        <v>817</v>
      </c>
      <c r="O103" s="66">
        <f>4115</f>
        <v>4115</v>
      </c>
      <c r="P103" s="67" t="s">
        <v>815</v>
      </c>
      <c r="Q103" s="66">
        <f>4330</f>
        <v>4330</v>
      </c>
      <c r="R103" s="67" t="s">
        <v>50</v>
      </c>
      <c r="S103" s="68">
        <f>4400.68</f>
        <v>4400.68</v>
      </c>
      <c r="T103" s="65">
        <f>78700</f>
        <v>78700</v>
      </c>
      <c r="U103" s="65" t="str">
        <f>"－"</f>
        <v>－</v>
      </c>
      <c r="V103" s="65">
        <f>344805650</f>
        <v>344805650</v>
      </c>
      <c r="W103" s="65" t="str">
        <f>"－"</f>
        <v>－</v>
      </c>
      <c r="X103" s="69">
        <f>22</f>
        <v>22</v>
      </c>
    </row>
    <row r="104" spans="1:24">
      <c r="A104" s="60" t="s">
        <v>844</v>
      </c>
      <c r="B104" s="60" t="s">
        <v>355</v>
      </c>
      <c r="C104" s="60" t="s">
        <v>356</v>
      </c>
      <c r="D104" s="60" t="s">
        <v>357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f>11580</f>
        <v>11580</v>
      </c>
      <c r="L104" s="67" t="s">
        <v>840</v>
      </c>
      <c r="M104" s="66">
        <f>15040</f>
        <v>15040</v>
      </c>
      <c r="N104" s="67" t="s">
        <v>86</v>
      </c>
      <c r="O104" s="66">
        <f>10090</f>
        <v>10090</v>
      </c>
      <c r="P104" s="67" t="s">
        <v>65</v>
      </c>
      <c r="Q104" s="66">
        <f>12340</f>
        <v>12340</v>
      </c>
      <c r="R104" s="67" t="s">
        <v>50</v>
      </c>
      <c r="S104" s="68">
        <f>11985.45</f>
        <v>11985.45</v>
      </c>
      <c r="T104" s="65">
        <f>9130883</f>
        <v>9130883</v>
      </c>
      <c r="U104" s="65">
        <f>15583</f>
        <v>15583</v>
      </c>
      <c r="V104" s="65">
        <f>114981045546</f>
        <v>114981045546</v>
      </c>
      <c r="W104" s="65">
        <f>190464046</f>
        <v>190464046</v>
      </c>
      <c r="X104" s="69">
        <f>22</f>
        <v>22</v>
      </c>
    </row>
    <row r="105" spans="1:24">
      <c r="A105" s="60" t="s">
        <v>844</v>
      </c>
      <c r="B105" s="60" t="s">
        <v>358</v>
      </c>
      <c r="C105" s="60" t="s">
        <v>359</v>
      </c>
      <c r="D105" s="60" t="s">
        <v>360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2016</f>
        <v>2016</v>
      </c>
      <c r="L105" s="67" t="s">
        <v>840</v>
      </c>
      <c r="M105" s="66">
        <f>2188</f>
        <v>2188</v>
      </c>
      <c r="N105" s="67" t="s">
        <v>65</v>
      </c>
      <c r="O105" s="66">
        <f>1980</f>
        <v>1980</v>
      </c>
      <c r="P105" s="67" t="s">
        <v>86</v>
      </c>
      <c r="Q105" s="66">
        <f>2060</f>
        <v>2060</v>
      </c>
      <c r="R105" s="67" t="s">
        <v>50</v>
      </c>
      <c r="S105" s="68">
        <f>2084.45</f>
        <v>2084.4499999999998</v>
      </c>
      <c r="T105" s="65">
        <f>94970</f>
        <v>94970</v>
      </c>
      <c r="U105" s="65">
        <f>60</f>
        <v>60</v>
      </c>
      <c r="V105" s="65">
        <f>198147260</f>
        <v>198147260</v>
      </c>
      <c r="W105" s="65">
        <f>127880</f>
        <v>127880</v>
      </c>
      <c r="X105" s="69">
        <f>22</f>
        <v>22</v>
      </c>
    </row>
    <row r="106" spans="1:24">
      <c r="A106" s="60" t="s">
        <v>844</v>
      </c>
      <c r="B106" s="60" t="s">
        <v>361</v>
      </c>
      <c r="C106" s="60" t="s">
        <v>362</v>
      </c>
      <c r="D106" s="60" t="s">
        <v>363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10</v>
      </c>
      <c r="K106" s="66">
        <f>1214</f>
        <v>1214</v>
      </c>
      <c r="L106" s="67" t="s">
        <v>840</v>
      </c>
      <c r="M106" s="66">
        <f>1396</f>
        <v>1396</v>
      </c>
      <c r="N106" s="67" t="s">
        <v>119</v>
      </c>
      <c r="O106" s="66">
        <f>1196</f>
        <v>1196</v>
      </c>
      <c r="P106" s="67" t="s">
        <v>840</v>
      </c>
      <c r="Q106" s="66">
        <f>1229</f>
        <v>1229</v>
      </c>
      <c r="R106" s="67" t="s">
        <v>50</v>
      </c>
      <c r="S106" s="68">
        <f>1276.27</f>
        <v>1276.27</v>
      </c>
      <c r="T106" s="65">
        <f>441220</f>
        <v>441220</v>
      </c>
      <c r="U106" s="65">
        <f>430</f>
        <v>430</v>
      </c>
      <c r="V106" s="65">
        <f>565486670</f>
        <v>565486670</v>
      </c>
      <c r="W106" s="65">
        <f>543050</f>
        <v>543050</v>
      </c>
      <c r="X106" s="69">
        <f>22</f>
        <v>22</v>
      </c>
    </row>
    <row r="107" spans="1:24">
      <c r="A107" s="60" t="s">
        <v>844</v>
      </c>
      <c r="B107" s="60" t="s">
        <v>364</v>
      </c>
      <c r="C107" s="60" t="s">
        <v>365</v>
      </c>
      <c r="D107" s="60" t="s">
        <v>366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32600</f>
        <v>32600</v>
      </c>
      <c r="L107" s="67" t="s">
        <v>840</v>
      </c>
      <c r="M107" s="66">
        <f>35150</f>
        <v>35150</v>
      </c>
      <c r="N107" s="67" t="s">
        <v>65</v>
      </c>
      <c r="O107" s="66">
        <f>31550</f>
        <v>31550</v>
      </c>
      <c r="P107" s="67" t="s">
        <v>86</v>
      </c>
      <c r="Q107" s="66">
        <f>32750</f>
        <v>32750</v>
      </c>
      <c r="R107" s="67" t="s">
        <v>50</v>
      </c>
      <c r="S107" s="68">
        <f>33320.45</f>
        <v>33320.449999999997</v>
      </c>
      <c r="T107" s="65">
        <f>266223</f>
        <v>266223</v>
      </c>
      <c r="U107" s="65" t="str">
        <f>"－"</f>
        <v>－</v>
      </c>
      <c r="V107" s="65">
        <f>8867880050</f>
        <v>8867880050</v>
      </c>
      <c r="W107" s="65" t="str">
        <f>"－"</f>
        <v>－</v>
      </c>
      <c r="X107" s="69">
        <f>22</f>
        <v>22</v>
      </c>
    </row>
    <row r="108" spans="1:24">
      <c r="A108" s="60" t="s">
        <v>844</v>
      </c>
      <c r="B108" s="60" t="s">
        <v>367</v>
      </c>
      <c r="C108" s="60" t="s">
        <v>368</v>
      </c>
      <c r="D108" s="60" t="s">
        <v>369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2925</f>
        <v>2925</v>
      </c>
      <c r="L108" s="67" t="s">
        <v>840</v>
      </c>
      <c r="M108" s="66">
        <f>3205</f>
        <v>3205</v>
      </c>
      <c r="N108" s="67" t="s">
        <v>65</v>
      </c>
      <c r="O108" s="66">
        <f>2850</f>
        <v>2850</v>
      </c>
      <c r="P108" s="67" t="s">
        <v>840</v>
      </c>
      <c r="Q108" s="66">
        <f>2918</f>
        <v>2918</v>
      </c>
      <c r="R108" s="67" t="s">
        <v>50</v>
      </c>
      <c r="S108" s="68">
        <f>2999.45</f>
        <v>2999.45</v>
      </c>
      <c r="T108" s="65">
        <f>12249</f>
        <v>12249</v>
      </c>
      <c r="U108" s="65">
        <f>5</f>
        <v>5</v>
      </c>
      <c r="V108" s="65">
        <f>36630765</f>
        <v>36630765</v>
      </c>
      <c r="W108" s="65">
        <f>14678</f>
        <v>14678</v>
      </c>
      <c r="X108" s="69">
        <f>22</f>
        <v>22</v>
      </c>
    </row>
    <row r="109" spans="1:24">
      <c r="A109" s="60" t="s">
        <v>844</v>
      </c>
      <c r="B109" s="60" t="s">
        <v>370</v>
      </c>
      <c r="C109" s="60" t="s">
        <v>371</v>
      </c>
      <c r="D109" s="60" t="s">
        <v>372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3630</f>
        <v>3630</v>
      </c>
      <c r="L109" s="67" t="s">
        <v>840</v>
      </c>
      <c r="M109" s="66">
        <f>4045</f>
        <v>4045</v>
      </c>
      <c r="N109" s="67" t="s">
        <v>65</v>
      </c>
      <c r="O109" s="66">
        <f>3630</f>
        <v>3630</v>
      </c>
      <c r="P109" s="67" t="s">
        <v>840</v>
      </c>
      <c r="Q109" s="66">
        <f>3835</f>
        <v>3835</v>
      </c>
      <c r="R109" s="67" t="s">
        <v>50</v>
      </c>
      <c r="S109" s="68">
        <f>3871.82</f>
        <v>3871.82</v>
      </c>
      <c r="T109" s="65">
        <f>7195</f>
        <v>7195</v>
      </c>
      <c r="U109" s="65" t="str">
        <f>"－"</f>
        <v>－</v>
      </c>
      <c r="V109" s="65">
        <f>27873085</f>
        <v>27873085</v>
      </c>
      <c r="W109" s="65" t="str">
        <f>"－"</f>
        <v>－</v>
      </c>
      <c r="X109" s="69">
        <f>22</f>
        <v>22</v>
      </c>
    </row>
    <row r="110" spans="1:24">
      <c r="A110" s="60" t="s">
        <v>844</v>
      </c>
      <c r="B110" s="60" t="s">
        <v>373</v>
      </c>
      <c r="C110" s="60" t="s">
        <v>374</v>
      </c>
      <c r="D110" s="60" t="s">
        <v>375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2529</f>
        <v>2529</v>
      </c>
      <c r="L110" s="67" t="s">
        <v>840</v>
      </c>
      <c r="M110" s="66">
        <f>2599</f>
        <v>2599</v>
      </c>
      <c r="N110" s="67" t="s">
        <v>814</v>
      </c>
      <c r="O110" s="66">
        <f>2324</f>
        <v>2324</v>
      </c>
      <c r="P110" s="67" t="s">
        <v>86</v>
      </c>
      <c r="Q110" s="66">
        <f>2452</f>
        <v>2452</v>
      </c>
      <c r="R110" s="67" t="s">
        <v>50</v>
      </c>
      <c r="S110" s="68">
        <f>2490.09</f>
        <v>2490.09</v>
      </c>
      <c r="T110" s="65">
        <f>370871</f>
        <v>370871</v>
      </c>
      <c r="U110" s="65">
        <f>584</f>
        <v>584</v>
      </c>
      <c r="V110" s="65">
        <f>921581765</f>
        <v>921581765</v>
      </c>
      <c r="W110" s="65">
        <f>1489909</f>
        <v>1489909</v>
      </c>
      <c r="X110" s="69">
        <f>22</f>
        <v>22</v>
      </c>
    </row>
    <row r="111" spans="1:24">
      <c r="A111" s="60" t="s">
        <v>844</v>
      </c>
      <c r="B111" s="60" t="s">
        <v>376</v>
      </c>
      <c r="C111" s="60" t="s">
        <v>845</v>
      </c>
      <c r="D111" s="60" t="s">
        <v>378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f>43550</f>
        <v>43550</v>
      </c>
      <c r="L111" s="67" t="s">
        <v>840</v>
      </c>
      <c r="M111" s="66">
        <f>45950</f>
        <v>45950</v>
      </c>
      <c r="N111" s="67" t="s">
        <v>65</v>
      </c>
      <c r="O111" s="66">
        <f>43550</f>
        <v>43550</v>
      </c>
      <c r="P111" s="67" t="s">
        <v>840</v>
      </c>
      <c r="Q111" s="66">
        <f>44050</f>
        <v>44050</v>
      </c>
      <c r="R111" s="67" t="s">
        <v>50</v>
      </c>
      <c r="S111" s="68">
        <f>44313.64</f>
        <v>44313.64</v>
      </c>
      <c r="T111" s="65">
        <f>9634</f>
        <v>9634</v>
      </c>
      <c r="U111" s="65">
        <f>31</f>
        <v>31</v>
      </c>
      <c r="V111" s="65">
        <f>426850308</f>
        <v>426850308</v>
      </c>
      <c r="W111" s="65">
        <f>1376508</f>
        <v>1376508</v>
      </c>
      <c r="X111" s="69">
        <f>22</f>
        <v>22</v>
      </c>
    </row>
    <row r="112" spans="1:24">
      <c r="A112" s="60" t="s">
        <v>844</v>
      </c>
      <c r="B112" s="60" t="s">
        <v>379</v>
      </c>
      <c r="C112" s="60" t="s">
        <v>380</v>
      </c>
      <c r="D112" s="60" t="s">
        <v>381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f>1092</f>
        <v>1092</v>
      </c>
      <c r="L112" s="67" t="s">
        <v>814</v>
      </c>
      <c r="M112" s="66">
        <f>1279</f>
        <v>1279</v>
      </c>
      <c r="N112" s="67" t="s">
        <v>50</v>
      </c>
      <c r="O112" s="66">
        <f>1082</f>
        <v>1082</v>
      </c>
      <c r="P112" s="67" t="s">
        <v>175</v>
      </c>
      <c r="Q112" s="66">
        <f>1226</f>
        <v>1226</v>
      </c>
      <c r="R112" s="67" t="s">
        <v>50</v>
      </c>
      <c r="S112" s="68">
        <f>1128.55</f>
        <v>1128.55</v>
      </c>
      <c r="T112" s="65">
        <f>1610</f>
        <v>1610</v>
      </c>
      <c r="U112" s="65" t="str">
        <f>"－"</f>
        <v>－</v>
      </c>
      <c r="V112" s="65">
        <f>1991300</f>
        <v>1991300</v>
      </c>
      <c r="W112" s="65" t="str">
        <f>"－"</f>
        <v>－</v>
      </c>
      <c r="X112" s="69">
        <f>11</f>
        <v>11</v>
      </c>
    </row>
    <row r="113" spans="1:24">
      <c r="A113" s="60" t="s">
        <v>844</v>
      </c>
      <c r="B113" s="60" t="s">
        <v>382</v>
      </c>
      <c r="C113" s="60" t="s">
        <v>383</v>
      </c>
      <c r="D113" s="60" t="s">
        <v>384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15340</f>
        <v>15340</v>
      </c>
      <c r="L113" s="67" t="s">
        <v>840</v>
      </c>
      <c r="M113" s="66">
        <f>16710</f>
        <v>16710</v>
      </c>
      <c r="N113" s="67" t="s">
        <v>119</v>
      </c>
      <c r="O113" s="66">
        <f>14620</f>
        <v>14620</v>
      </c>
      <c r="P113" s="67" t="s">
        <v>86</v>
      </c>
      <c r="Q113" s="66">
        <f>15110</f>
        <v>15110</v>
      </c>
      <c r="R113" s="67" t="s">
        <v>50</v>
      </c>
      <c r="S113" s="68">
        <f>15707.27</f>
        <v>15707.27</v>
      </c>
      <c r="T113" s="65">
        <f>3866870</f>
        <v>3866870</v>
      </c>
      <c r="U113" s="65">
        <f>31370</f>
        <v>31370</v>
      </c>
      <c r="V113" s="65">
        <f>60927477275</f>
        <v>60927477275</v>
      </c>
      <c r="W113" s="65">
        <f>498119375</f>
        <v>498119375</v>
      </c>
      <c r="X113" s="69">
        <f>22</f>
        <v>22</v>
      </c>
    </row>
    <row r="114" spans="1:24">
      <c r="A114" s="60" t="s">
        <v>844</v>
      </c>
      <c r="B114" s="60" t="s">
        <v>385</v>
      </c>
      <c r="C114" s="60" t="s">
        <v>386</v>
      </c>
      <c r="D114" s="60" t="s">
        <v>387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f>2962</f>
        <v>2962</v>
      </c>
      <c r="L114" s="67" t="s">
        <v>840</v>
      </c>
      <c r="M114" s="66">
        <f>3015</f>
        <v>3015</v>
      </c>
      <c r="N114" s="67" t="s">
        <v>86</v>
      </c>
      <c r="O114" s="66">
        <f>2833</f>
        <v>2833</v>
      </c>
      <c r="P114" s="67" t="s">
        <v>119</v>
      </c>
      <c r="Q114" s="66">
        <f>2957</f>
        <v>2957</v>
      </c>
      <c r="R114" s="67" t="s">
        <v>50</v>
      </c>
      <c r="S114" s="68">
        <f>2910.36</f>
        <v>2910.36</v>
      </c>
      <c r="T114" s="65">
        <f>834420</f>
        <v>834420</v>
      </c>
      <c r="U114" s="65">
        <f>68430</f>
        <v>68430</v>
      </c>
      <c r="V114" s="65">
        <f>2425175710</f>
        <v>2425175710</v>
      </c>
      <c r="W114" s="65">
        <f>200595230</f>
        <v>200595230</v>
      </c>
      <c r="X114" s="69">
        <f>22</f>
        <v>22</v>
      </c>
    </row>
    <row r="115" spans="1:24">
      <c r="A115" s="60" t="s">
        <v>844</v>
      </c>
      <c r="B115" s="60" t="s">
        <v>388</v>
      </c>
      <c r="C115" s="60" t="s">
        <v>389</v>
      </c>
      <c r="D115" s="60" t="s">
        <v>390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18490</f>
        <v>18490</v>
      </c>
      <c r="L115" s="67" t="s">
        <v>840</v>
      </c>
      <c r="M115" s="66">
        <f>20640</f>
        <v>20640</v>
      </c>
      <c r="N115" s="67" t="s">
        <v>119</v>
      </c>
      <c r="O115" s="66">
        <f>17710</f>
        <v>17710</v>
      </c>
      <c r="P115" s="67" t="s">
        <v>86</v>
      </c>
      <c r="Q115" s="66">
        <f>18980</f>
        <v>18980</v>
      </c>
      <c r="R115" s="67" t="s">
        <v>50</v>
      </c>
      <c r="S115" s="68">
        <f>19358.64</f>
        <v>19358.64</v>
      </c>
      <c r="T115" s="65">
        <f>258480765</f>
        <v>258480765</v>
      </c>
      <c r="U115" s="65">
        <f>677729</f>
        <v>677729</v>
      </c>
      <c r="V115" s="65">
        <f>4996713734202</f>
        <v>4996713734202</v>
      </c>
      <c r="W115" s="65">
        <f>13086199692</f>
        <v>13086199692</v>
      </c>
      <c r="X115" s="69">
        <f>22</f>
        <v>22</v>
      </c>
    </row>
    <row r="116" spans="1:24">
      <c r="A116" s="60" t="s">
        <v>844</v>
      </c>
      <c r="B116" s="60" t="s">
        <v>391</v>
      </c>
      <c r="C116" s="60" t="s">
        <v>392</v>
      </c>
      <c r="D116" s="60" t="s">
        <v>393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</v>
      </c>
      <c r="K116" s="66">
        <f>1422</f>
        <v>1422</v>
      </c>
      <c r="L116" s="67" t="s">
        <v>840</v>
      </c>
      <c r="M116" s="66">
        <f>1446</f>
        <v>1446</v>
      </c>
      <c r="N116" s="67" t="s">
        <v>86</v>
      </c>
      <c r="O116" s="66">
        <f>1343</f>
        <v>1343</v>
      </c>
      <c r="P116" s="67" t="s">
        <v>65</v>
      </c>
      <c r="Q116" s="66">
        <f>1386</f>
        <v>1386</v>
      </c>
      <c r="R116" s="67" t="s">
        <v>50</v>
      </c>
      <c r="S116" s="68">
        <f>1381.64</f>
        <v>1381.64</v>
      </c>
      <c r="T116" s="65">
        <f>51584547</f>
        <v>51584547</v>
      </c>
      <c r="U116" s="65">
        <f>1278046</f>
        <v>1278046</v>
      </c>
      <c r="V116" s="65">
        <f>71414686530</f>
        <v>71414686530</v>
      </c>
      <c r="W116" s="65">
        <f>1752657621</f>
        <v>1752657621</v>
      </c>
      <c r="X116" s="69">
        <f>22</f>
        <v>22</v>
      </c>
    </row>
    <row r="117" spans="1:24">
      <c r="A117" s="60" t="s">
        <v>844</v>
      </c>
      <c r="B117" s="60" t="s">
        <v>394</v>
      </c>
      <c r="C117" s="60" t="s">
        <v>395</v>
      </c>
      <c r="D117" s="60" t="s">
        <v>396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8870</f>
        <v>8870</v>
      </c>
      <c r="L117" s="67" t="s">
        <v>840</v>
      </c>
      <c r="M117" s="66">
        <f>10490</f>
        <v>10490</v>
      </c>
      <c r="N117" s="67" t="s">
        <v>65</v>
      </c>
      <c r="O117" s="66">
        <f>8870</f>
        <v>8870</v>
      </c>
      <c r="P117" s="67" t="s">
        <v>840</v>
      </c>
      <c r="Q117" s="66">
        <f>9220</f>
        <v>9220</v>
      </c>
      <c r="R117" s="67" t="s">
        <v>50</v>
      </c>
      <c r="S117" s="68">
        <f>9478.18</f>
        <v>9478.18</v>
      </c>
      <c r="T117" s="65">
        <f>12480</f>
        <v>12480</v>
      </c>
      <c r="U117" s="65">
        <f>360</f>
        <v>360</v>
      </c>
      <c r="V117" s="65">
        <f>119586300</f>
        <v>119586300</v>
      </c>
      <c r="W117" s="65">
        <f>3459600</f>
        <v>3459600</v>
      </c>
      <c r="X117" s="69">
        <f>22</f>
        <v>22</v>
      </c>
    </row>
    <row r="118" spans="1:24">
      <c r="A118" s="60" t="s">
        <v>844</v>
      </c>
      <c r="B118" s="60" t="s">
        <v>397</v>
      </c>
      <c r="C118" s="60" t="s">
        <v>398</v>
      </c>
      <c r="D118" s="60" t="s">
        <v>399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f>8120</f>
        <v>8120</v>
      </c>
      <c r="L118" s="67" t="s">
        <v>840</v>
      </c>
      <c r="M118" s="66">
        <f>8120</f>
        <v>8120</v>
      </c>
      <c r="N118" s="67" t="s">
        <v>840</v>
      </c>
      <c r="O118" s="66">
        <f>7500</f>
        <v>7500</v>
      </c>
      <c r="P118" s="67" t="s">
        <v>61</v>
      </c>
      <c r="Q118" s="66">
        <f>7830</f>
        <v>7830</v>
      </c>
      <c r="R118" s="67" t="s">
        <v>50</v>
      </c>
      <c r="S118" s="68">
        <f>7692.27</f>
        <v>7692.27</v>
      </c>
      <c r="T118" s="65">
        <f>11250</f>
        <v>11250</v>
      </c>
      <c r="U118" s="65">
        <f>10</f>
        <v>10</v>
      </c>
      <c r="V118" s="65">
        <f>86509900</f>
        <v>86509900</v>
      </c>
      <c r="W118" s="65">
        <f>77900</f>
        <v>77900</v>
      </c>
      <c r="X118" s="69">
        <f>22</f>
        <v>22</v>
      </c>
    </row>
    <row r="119" spans="1:24">
      <c r="A119" s="60" t="s">
        <v>844</v>
      </c>
      <c r="B119" s="60" t="s">
        <v>400</v>
      </c>
      <c r="C119" s="60" t="s">
        <v>401</v>
      </c>
      <c r="D119" s="60" t="s">
        <v>402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1401</f>
        <v>1401</v>
      </c>
      <c r="L119" s="67" t="s">
        <v>814</v>
      </c>
      <c r="M119" s="66">
        <f>1450</f>
        <v>1450</v>
      </c>
      <c r="N119" s="67" t="s">
        <v>72</v>
      </c>
      <c r="O119" s="66">
        <f>1387</f>
        <v>1387</v>
      </c>
      <c r="P119" s="67" t="s">
        <v>815</v>
      </c>
      <c r="Q119" s="66">
        <f>1394</f>
        <v>1394</v>
      </c>
      <c r="R119" s="67" t="s">
        <v>819</v>
      </c>
      <c r="S119" s="68">
        <f>1415.5</f>
        <v>1415.5</v>
      </c>
      <c r="T119" s="65">
        <f>340</f>
        <v>340</v>
      </c>
      <c r="U119" s="65" t="str">
        <f>"－"</f>
        <v>－</v>
      </c>
      <c r="V119" s="65">
        <f>479050</f>
        <v>479050</v>
      </c>
      <c r="W119" s="65" t="str">
        <f>"－"</f>
        <v>－</v>
      </c>
      <c r="X119" s="69">
        <f>6</f>
        <v>6</v>
      </c>
    </row>
    <row r="120" spans="1:24">
      <c r="A120" s="60" t="s">
        <v>844</v>
      </c>
      <c r="B120" s="60" t="s">
        <v>403</v>
      </c>
      <c r="C120" s="60" t="s">
        <v>404</v>
      </c>
      <c r="D120" s="60" t="s">
        <v>405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f>620</f>
        <v>620</v>
      </c>
      <c r="L120" s="67" t="s">
        <v>840</v>
      </c>
      <c r="M120" s="66">
        <f>635</f>
        <v>635</v>
      </c>
      <c r="N120" s="67" t="s">
        <v>816</v>
      </c>
      <c r="O120" s="66">
        <f>580</f>
        <v>580</v>
      </c>
      <c r="P120" s="67" t="s">
        <v>840</v>
      </c>
      <c r="Q120" s="66">
        <f>622</f>
        <v>622</v>
      </c>
      <c r="R120" s="67" t="s">
        <v>50</v>
      </c>
      <c r="S120" s="68">
        <f>616.67</f>
        <v>616.66999999999996</v>
      </c>
      <c r="T120" s="65">
        <f>19580</f>
        <v>19580</v>
      </c>
      <c r="U120" s="65" t="str">
        <f>"－"</f>
        <v>－</v>
      </c>
      <c r="V120" s="65">
        <f>12009390</f>
        <v>12009390</v>
      </c>
      <c r="W120" s="65" t="str">
        <f>"－"</f>
        <v>－</v>
      </c>
      <c r="X120" s="69">
        <f>21</f>
        <v>21</v>
      </c>
    </row>
    <row r="121" spans="1:24">
      <c r="A121" s="60" t="s">
        <v>844</v>
      </c>
      <c r="B121" s="60" t="s">
        <v>406</v>
      </c>
      <c r="C121" s="60" t="s">
        <v>407</v>
      </c>
      <c r="D121" s="60" t="s">
        <v>408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10</v>
      </c>
      <c r="K121" s="66">
        <f>574</f>
        <v>574</v>
      </c>
      <c r="L121" s="67" t="s">
        <v>840</v>
      </c>
      <c r="M121" s="66">
        <f>608</f>
        <v>608</v>
      </c>
      <c r="N121" s="67" t="s">
        <v>119</v>
      </c>
      <c r="O121" s="66">
        <f>574</f>
        <v>574</v>
      </c>
      <c r="P121" s="67" t="s">
        <v>840</v>
      </c>
      <c r="Q121" s="66">
        <f>596</f>
        <v>596</v>
      </c>
      <c r="R121" s="67" t="s">
        <v>50</v>
      </c>
      <c r="S121" s="68">
        <f>589.67</f>
        <v>589.66999999999996</v>
      </c>
      <c r="T121" s="65">
        <f>10410</f>
        <v>10410</v>
      </c>
      <c r="U121" s="65" t="str">
        <f>"－"</f>
        <v>－</v>
      </c>
      <c r="V121" s="65">
        <f>6126930</f>
        <v>6126930</v>
      </c>
      <c r="W121" s="65" t="str">
        <f>"－"</f>
        <v>－</v>
      </c>
      <c r="X121" s="69">
        <f>18</f>
        <v>18</v>
      </c>
    </row>
    <row r="122" spans="1:24">
      <c r="A122" s="60" t="s">
        <v>844</v>
      </c>
      <c r="B122" s="60" t="s">
        <v>409</v>
      </c>
      <c r="C122" s="60" t="s">
        <v>410</v>
      </c>
      <c r="D122" s="60" t="s">
        <v>411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</v>
      </c>
      <c r="K122" s="66">
        <f>18650</f>
        <v>18650</v>
      </c>
      <c r="L122" s="67" t="s">
        <v>840</v>
      </c>
      <c r="M122" s="66">
        <f>19970</f>
        <v>19970</v>
      </c>
      <c r="N122" s="67" t="s">
        <v>119</v>
      </c>
      <c r="O122" s="66">
        <f>17870</f>
        <v>17870</v>
      </c>
      <c r="P122" s="67" t="s">
        <v>245</v>
      </c>
      <c r="Q122" s="66">
        <f>18150</f>
        <v>18150</v>
      </c>
      <c r="R122" s="67" t="s">
        <v>50</v>
      </c>
      <c r="S122" s="68">
        <f>18776.36</f>
        <v>18776.36</v>
      </c>
      <c r="T122" s="65">
        <f>46017</f>
        <v>46017</v>
      </c>
      <c r="U122" s="65">
        <f>27</f>
        <v>27</v>
      </c>
      <c r="V122" s="65">
        <f>864590818</f>
        <v>864590818</v>
      </c>
      <c r="W122" s="65">
        <f>505538</f>
        <v>505538</v>
      </c>
      <c r="X122" s="69">
        <f>22</f>
        <v>22</v>
      </c>
    </row>
    <row r="123" spans="1:24">
      <c r="A123" s="60" t="s">
        <v>844</v>
      </c>
      <c r="B123" s="60" t="s">
        <v>412</v>
      </c>
      <c r="C123" s="60" t="s">
        <v>413</v>
      </c>
      <c r="D123" s="60" t="s">
        <v>414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f>1764</f>
        <v>1764</v>
      </c>
      <c r="L123" s="67" t="s">
        <v>840</v>
      </c>
      <c r="M123" s="66">
        <f>1867</f>
        <v>1867</v>
      </c>
      <c r="N123" s="67" t="s">
        <v>65</v>
      </c>
      <c r="O123" s="66">
        <f>1733</f>
        <v>1733</v>
      </c>
      <c r="P123" s="67" t="s">
        <v>86</v>
      </c>
      <c r="Q123" s="66">
        <f>1807</f>
        <v>1807</v>
      </c>
      <c r="R123" s="67" t="s">
        <v>50</v>
      </c>
      <c r="S123" s="68">
        <f>1810.77</f>
        <v>1810.77</v>
      </c>
      <c r="T123" s="65">
        <f>214277</f>
        <v>214277</v>
      </c>
      <c r="U123" s="65" t="str">
        <f>"－"</f>
        <v>－</v>
      </c>
      <c r="V123" s="65">
        <f>383282159</f>
        <v>383282159</v>
      </c>
      <c r="W123" s="65" t="str">
        <f>"－"</f>
        <v>－</v>
      </c>
      <c r="X123" s="69">
        <f>22</f>
        <v>22</v>
      </c>
    </row>
    <row r="124" spans="1:24">
      <c r="A124" s="60" t="s">
        <v>844</v>
      </c>
      <c r="B124" s="60" t="s">
        <v>415</v>
      </c>
      <c r="C124" s="60" t="s">
        <v>416</v>
      </c>
      <c r="D124" s="60" t="s">
        <v>417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f>19700</f>
        <v>19700</v>
      </c>
      <c r="L124" s="67" t="s">
        <v>840</v>
      </c>
      <c r="M124" s="66">
        <f>21970</f>
        <v>21970</v>
      </c>
      <c r="N124" s="67" t="s">
        <v>119</v>
      </c>
      <c r="O124" s="66">
        <f>18840</f>
        <v>18840</v>
      </c>
      <c r="P124" s="67" t="s">
        <v>86</v>
      </c>
      <c r="Q124" s="66">
        <f>20170</f>
        <v>20170</v>
      </c>
      <c r="R124" s="67" t="s">
        <v>50</v>
      </c>
      <c r="S124" s="68">
        <f>20602.73</f>
        <v>20602.73</v>
      </c>
      <c r="T124" s="65">
        <f>15780830</f>
        <v>15780830</v>
      </c>
      <c r="U124" s="65">
        <f>11490</f>
        <v>11490</v>
      </c>
      <c r="V124" s="65">
        <f>324807134463</f>
        <v>324807134463</v>
      </c>
      <c r="W124" s="65">
        <f>230812963</f>
        <v>230812963</v>
      </c>
      <c r="X124" s="69">
        <f>22</f>
        <v>22</v>
      </c>
    </row>
    <row r="125" spans="1:24">
      <c r="A125" s="60" t="s">
        <v>844</v>
      </c>
      <c r="B125" s="60" t="s">
        <v>418</v>
      </c>
      <c r="C125" s="60" t="s">
        <v>419</v>
      </c>
      <c r="D125" s="60" t="s">
        <v>420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3785</f>
        <v>3785</v>
      </c>
      <c r="L125" s="67" t="s">
        <v>840</v>
      </c>
      <c r="M125" s="66">
        <f>3850</f>
        <v>3850</v>
      </c>
      <c r="N125" s="67" t="s">
        <v>86</v>
      </c>
      <c r="O125" s="66">
        <f>3580</f>
        <v>3580</v>
      </c>
      <c r="P125" s="67" t="s">
        <v>65</v>
      </c>
      <c r="Q125" s="66">
        <f>3700</f>
        <v>3700</v>
      </c>
      <c r="R125" s="67" t="s">
        <v>50</v>
      </c>
      <c r="S125" s="68">
        <f>3680</f>
        <v>3680</v>
      </c>
      <c r="T125" s="65">
        <f>1013350</f>
        <v>1013350</v>
      </c>
      <c r="U125" s="65">
        <f>5110</f>
        <v>5110</v>
      </c>
      <c r="V125" s="65">
        <f>3740732863</f>
        <v>3740732863</v>
      </c>
      <c r="W125" s="65">
        <f>19174713</f>
        <v>19174713</v>
      </c>
      <c r="X125" s="69">
        <f>22</f>
        <v>22</v>
      </c>
    </row>
    <row r="126" spans="1:24">
      <c r="A126" s="60" t="s">
        <v>844</v>
      </c>
      <c r="B126" s="60" t="s">
        <v>421</v>
      </c>
      <c r="C126" s="60" t="s">
        <v>422</v>
      </c>
      <c r="D126" s="60" t="s">
        <v>423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f>650</f>
        <v>650</v>
      </c>
      <c r="L126" s="67" t="s">
        <v>818</v>
      </c>
      <c r="M126" s="66">
        <f>670</f>
        <v>670</v>
      </c>
      <c r="N126" s="67" t="s">
        <v>65</v>
      </c>
      <c r="O126" s="66">
        <f>610</f>
        <v>610</v>
      </c>
      <c r="P126" s="67" t="s">
        <v>86</v>
      </c>
      <c r="Q126" s="66">
        <f>622</f>
        <v>622</v>
      </c>
      <c r="R126" s="67" t="s">
        <v>245</v>
      </c>
      <c r="S126" s="68">
        <f>647.91</f>
        <v>647.91</v>
      </c>
      <c r="T126" s="65">
        <f>1870</f>
        <v>1870</v>
      </c>
      <c r="U126" s="65" t="str">
        <f>"－"</f>
        <v>－</v>
      </c>
      <c r="V126" s="65">
        <f>1212910</f>
        <v>1212910</v>
      </c>
      <c r="W126" s="65" t="str">
        <f>"－"</f>
        <v>－</v>
      </c>
      <c r="X126" s="69">
        <f>11</f>
        <v>11</v>
      </c>
    </row>
    <row r="127" spans="1:24">
      <c r="A127" s="60" t="s">
        <v>844</v>
      </c>
      <c r="B127" s="60" t="s">
        <v>424</v>
      </c>
      <c r="C127" s="60" t="s">
        <v>425</v>
      </c>
      <c r="D127" s="60" t="s">
        <v>841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f>1239</f>
        <v>1239</v>
      </c>
      <c r="L127" s="67" t="s">
        <v>840</v>
      </c>
      <c r="M127" s="66">
        <f>1281</f>
        <v>1281</v>
      </c>
      <c r="N127" s="67" t="s">
        <v>61</v>
      </c>
      <c r="O127" s="66">
        <f>1226</f>
        <v>1226</v>
      </c>
      <c r="P127" s="67" t="s">
        <v>815</v>
      </c>
      <c r="Q127" s="66">
        <f>1247</f>
        <v>1247</v>
      </c>
      <c r="R127" s="67" t="s">
        <v>50</v>
      </c>
      <c r="S127" s="68">
        <f>1254.4</f>
        <v>1254.4000000000001</v>
      </c>
      <c r="T127" s="65">
        <f>710</f>
        <v>710</v>
      </c>
      <c r="U127" s="65" t="str">
        <f>"－"</f>
        <v>－</v>
      </c>
      <c r="V127" s="65">
        <f>893300</f>
        <v>893300</v>
      </c>
      <c r="W127" s="65" t="str">
        <f>"－"</f>
        <v>－</v>
      </c>
      <c r="X127" s="69">
        <f>10</f>
        <v>10</v>
      </c>
    </row>
    <row r="128" spans="1:24">
      <c r="A128" s="60" t="s">
        <v>844</v>
      </c>
      <c r="B128" s="60" t="s">
        <v>427</v>
      </c>
      <c r="C128" s="60" t="s">
        <v>428</v>
      </c>
      <c r="D128" s="60" t="s">
        <v>429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f>1346</f>
        <v>1346</v>
      </c>
      <c r="L128" s="67" t="s">
        <v>840</v>
      </c>
      <c r="M128" s="66">
        <f>1490</f>
        <v>1490</v>
      </c>
      <c r="N128" s="67" t="s">
        <v>818</v>
      </c>
      <c r="O128" s="66">
        <f>1346</f>
        <v>1346</v>
      </c>
      <c r="P128" s="67" t="s">
        <v>840</v>
      </c>
      <c r="Q128" s="66">
        <f>1414</f>
        <v>1414</v>
      </c>
      <c r="R128" s="67" t="s">
        <v>245</v>
      </c>
      <c r="S128" s="68">
        <f>1418.79</f>
        <v>1418.79</v>
      </c>
      <c r="T128" s="65">
        <f>672</f>
        <v>672</v>
      </c>
      <c r="U128" s="65" t="str">
        <f>"－"</f>
        <v>－</v>
      </c>
      <c r="V128" s="65">
        <f>963221</f>
        <v>963221</v>
      </c>
      <c r="W128" s="65" t="str">
        <f>"－"</f>
        <v>－</v>
      </c>
      <c r="X128" s="69">
        <f>14</f>
        <v>14</v>
      </c>
    </row>
    <row r="129" spans="1:24">
      <c r="A129" s="60" t="s">
        <v>844</v>
      </c>
      <c r="B129" s="60" t="s">
        <v>430</v>
      </c>
      <c r="C129" s="60" t="s">
        <v>431</v>
      </c>
      <c r="D129" s="60" t="s">
        <v>432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14130</f>
        <v>14130</v>
      </c>
      <c r="L129" s="67" t="s">
        <v>840</v>
      </c>
      <c r="M129" s="66">
        <f>14720</f>
        <v>14720</v>
      </c>
      <c r="N129" s="67" t="s">
        <v>119</v>
      </c>
      <c r="O129" s="66">
        <f>13820</f>
        <v>13820</v>
      </c>
      <c r="P129" s="67" t="s">
        <v>86</v>
      </c>
      <c r="Q129" s="66">
        <f>14030</f>
        <v>14030</v>
      </c>
      <c r="R129" s="67" t="s">
        <v>50</v>
      </c>
      <c r="S129" s="68">
        <f>14296.82</f>
        <v>14296.82</v>
      </c>
      <c r="T129" s="65">
        <f>258642</f>
        <v>258642</v>
      </c>
      <c r="U129" s="65">
        <f>130082</f>
        <v>130082</v>
      </c>
      <c r="V129" s="65">
        <f>3733776120</f>
        <v>3733776120</v>
      </c>
      <c r="W129" s="65">
        <f>1882479050</f>
        <v>1882479050</v>
      </c>
      <c r="X129" s="69">
        <f>22</f>
        <v>22</v>
      </c>
    </row>
    <row r="130" spans="1:24">
      <c r="A130" s="60" t="s">
        <v>844</v>
      </c>
      <c r="B130" s="60" t="s">
        <v>433</v>
      </c>
      <c r="C130" s="60" t="s">
        <v>434</v>
      </c>
      <c r="D130" s="60" t="s">
        <v>435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</v>
      </c>
      <c r="K130" s="66">
        <f>1303</f>
        <v>1303</v>
      </c>
      <c r="L130" s="67" t="s">
        <v>840</v>
      </c>
      <c r="M130" s="66">
        <f>1358</f>
        <v>1358</v>
      </c>
      <c r="N130" s="67" t="s">
        <v>65</v>
      </c>
      <c r="O130" s="66">
        <f>1276</f>
        <v>1276</v>
      </c>
      <c r="P130" s="67" t="s">
        <v>86</v>
      </c>
      <c r="Q130" s="66">
        <f>1294</f>
        <v>1294</v>
      </c>
      <c r="R130" s="67" t="s">
        <v>50</v>
      </c>
      <c r="S130" s="68">
        <f>1318.59</f>
        <v>1318.59</v>
      </c>
      <c r="T130" s="65">
        <f>538416</f>
        <v>538416</v>
      </c>
      <c r="U130" s="65">
        <f>17</f>
        <v>17</v>
      </c>
      <c r="V130" s="65">
        <f>709475331</f>
        <v>709475331</v>
      </c>
      <c r="W130" s="65">
        <f>22591</f>
        <v>22591</v>
      </c>
      <c r="X130" s="69">
        <f>22</f>
        <v>22</v>
      </c>
    </row>
    <row r="131" spans="1:24">
      <c r="A131" s="60" t="s">
        <v>844</v>
      </c>
      <c r="B131" s="60" t="s">
        <v>436</v>
      </c>
      <c r="C131" s="60" t="s">
        <v>437</v>
      </c>
      <c r="D131" s="60" t="s">
        <v>438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f>14500</f>
        <v>14500</v>
      </c>
      <c r="L131" s="67" t="s">
        <v>840</v>
      </c>
      <c r="M131" s="66">
        <f>15200</f>
        <v>15200</v>
      </c>
      <c r="N131" s="67" t="s">
        <v>65</v>
      </c>
      <c r="O131" s="66">
        <f>14260</f>
        <v>14260</v>
      </c>
      <c r="P131" s="67" t="s">
        <v>86</v>
      </c>
      <c r="Q131" s="66">
        <f>14530</f>
        <v>14530</v>
      </c>
      <c r="R131" s="67" t="s">
        <v>50</v>
      </c>
      <c r="S131" s="68">
        <f>14749.09</f>
        <v>14749.09</v>
      </c>
      <c r="T131" s="65">
        <f>29045</f>
        <v>29045</v>
      </c>
      <c r="U131" s="65">
        <f>13</f>
        <v>13</v>
      </c>
      <c r="V131" s="65">
        <f>427725120</f>
        <v>427725120</v>
      </c>
      <c r="W131" s="65">
        <f>189730</f>
        <v>189730</v>
      </c>
      <c r="X131" s="69">
        <f>22</f>
        <v>22</v>
      </c>
    </row>
    <row r="132" spans="1:24">
      <c r="A132" s="60" t="s">
        <v>844</v>
      </c>
      <c r="B132" s="60" t="s">
        <v>439</v>
      </c>
      <c r="C132" s="60" t="s">
        <v>440</v>
      </c>
      <c r="D132" s="60" t="s">
        <v>441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f>1722</f>
        <v>1722</v>
      </c>
      <c r="L132" s="67" t="s">
        <v>840</v>
      </c>
      <c r="M132" s="66">
        <f>1795</f>
        <v>1795</v>
      </c>
      <c r="N132" s="67" t="s">
        <v>119</v>
      </c>
      <c r="O132" s="66">
        <f>1666</f>
        <v>1666</v>
      </c>
      <c r="P132" s="67" t="s">
        <v>815</v>
      </c>
      <c r="Q132" s="66">
        <f>1698</f>
        <v>1698</v>
      </c>
      <c r="R132" s="67" t="s">
        <v>50</v>
      </c>
      <c r="S132" s="68">
        <f>1735</f>
        <v>1735</v>
      </c>
      <c r="T132" s="65">
        <f>1152420</f>
        <v>1152420</v>
      </c>
      <c r="U132" s="65">
        <f>380000</f>
        <v>380000</v>
      </c>
      <c r="V132" s="65">
        <f>1993354970</f>
        <v>1993354970</v>
      </c>
      <c r="W132" s="65">
        <f>649168400</f>
        <v>649168400</v>
      </c>
      <c r="X132" s="69">
        <f>22</f>
        <v>22</v>
      </c>
    </row>
    <row r="133" spans="1:24">
      <c r="A133" s="60" t="s">
        <v>844</v>
      </c>
      <c r="B133" s="60" t="s">
        <v>442</v>
      </c>
      <c r="C133" s="60" t="s">
        <v>443</v>
      </c>
      <c r="D133" s="60" t="s">
        <v>444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10</v>
      </c>
      <c r="K133" s="66">
        <f>1388</f>
        <v>1388</v>
      </c>
      <c r="L133" s="67" t="s">
        <v>840</v>
      </c>
      <c r="M133" s="66">
        <f>1436</f>
        <v>1436</v>
      </c>
      <c r="N133" s="67" t="s">
        <v>61</v>
      </c>
      <c r="O133" s="66">
        <f>1387</f>
        <v>1387</v>
      </c>
      <c r="P133" s="67" t="s">
        <v>245</v>
      </c>
      <c r="Q133" s="66">
        <f>1387</f>
        <v>1387</v>
      </c>
      <c r="R133" s="67" t="s">
        <v>245</v>
      </c>
      <c r="S133" s="68">
        <f>1408.25</f>
        <v>1408.25</v>
      </c>
      <c r="T133" s="65">
        <f>80</f>
        <v>80</v>
      </c>
      <c r="U133" s="65" t="str">
        <f>"－"</f>
        <v>－</v>
      </c>
      <c r="V133" s="65">
        <f>112320</f>
        <v>112320</v>
      </c>
      <c r="W133" s="65" t="str">
        <f>"－"</f>
        <v>－</v>
      </c>
      <c r="X133" s="69">
        <f>4</f>
        <v>4</v>
      </c>
    </row>
    <row r="134" spans="1:24">
      <c r="A134" s="60" t="s">
        <v>844</v>
      </c>
      <c r="B134" s="60" t="s">
        <v>445</v>
      </c>
      <c r="C134" s="60" t="s">
        <v>446</v>
      </c>
      <c r="D134" s="60" t="s">
        <v>447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10</v>
      </c>
      <c r="K134" s="66">
        <f>1736</f>
        <v>1736</v>
      </c>
      <c r="L134" s="67" t="s">
        <v>840</v>
      </c>
      <c r="M134" s="66">
        <f>1800</f>
        <v>1800</v>
      </c>
      <c r="N134" s="67" t="s">
        <v>818</v>
      </c>
      <c r="O134" s="66">
        <f>1669</f>
        <v>1669</v>
      </c>
      <c r="P134" s="67" t="s">
        <v>86</v>
      </c>
      <c r="Q134" s="66">
        <f>1703</f>
        <v>1703</v>
      </c>
      <c r="R134" s="67" t="s">
        <v>50</v>
      </c>
      <c r="S134" s="68">
        <f>1737.27</f>
        <v>1737.27</v>
      </c>
      <c r="T134" s="65">
        <f>633950</f>
        <v>633950</v>
      </c>
      <c r="U134" s="65">
        <f>99990</f>
        <v>99990</v>
      </c>
      <c r="V134" s="65">
        <f>1100414055</f>
        <v>1100414055</v>
      </c>
      <c r="W134" s="65">
        <f>171541525</f>
        <v>171541525</v>
      </c>
      <c r="X134" s="69">
        <f>22</f>
        <v>22</v>
      </c>
    </row>
    <row r="135" spans="1:24">
      <c r="A135" s="60" t="s">
        <v>844</v>
      </c>
      <c r="B135" s="60" t="s">
        <v>448</v>
      </c>
      <c r="C135" s="60" t="s">
        <v>449</v>
      </c>
      <c r="D135" s="60" t="s">
        <v>450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</v>
      </c>
      <c r="K135" s="66">
        <f>15740</f>
        <v>15740</v>
      </c>
      <c r="L135" s="67" t="s">
        <v>833</v>
      </c>
      <c r="M135" s="66">
        <f>16000</f>
        <v>16000</v>
      </c>
      <c r="N135" s="67" t="s">
        <v>834</v>
      </c>
      <c r="O135" s="66">
        <f>15690</f>
        <v>15690</v>
      </c>
      <c r="P135" s="67" t="s">
        <v>309</v>
      </c>
      <c r="Q135" s="66">
        <f>15690</f>
        <v>15690</v>
      </c>
      <c r="R135" s="67" t="s">
        <v>309</v>
      </c>
      <c r="S135" s="68">
        <f>15834.29</f>
        <v>15834.29</v>
      </c>
      <c r="T135" s="65">
        <f>32</f>
        <v>32</v>
      </c>
      <c r="U135" s="65" t="str">
        <f>"－"</f>
        <v>－</v>
      </c>
      <c r="V135" s="65">
        <f>504760</f>
        <v>504760</v>
      </c>
      <c r="W135" s="65" t="str">
        <f>"－"</f>
        <v>－</v>
      </c>
      <c r="X135" s="69">
        <f>7</f>
        <v>7</v>
      </c>
    </row>
    <row r="136" spans="1:24">
      <c r="A136" s="60" t="s">
        <v>844</v>
      </c>
      <c r="B136" s="60" t="s">
        <v>451</v>
      </c>
      <c r="C136" s="60" t="s">
        <v>452</v>
      </c>
      <c r="D136" s="60" t="s">
        <v>453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14410</f>
        <v>14410</v>
      </c>
      <c r="L136" s="67" t="s">
        <v>840</v>
      </c>
      <c r="M136" s="66">
        <f>15200</f>
        <v>15200</v>
      </c>
      <c r="N136" s="67" t="s">
        <v>815</v>
      </c>
      <c r="O136" s="66">
        <f>14200</f>
        <v>14200</v>
      </c>
      <c r="P136" s="67" t="s">
        <v>86</v>
      </c>
      <c r="Q136" s="66">
        <f>14400</f>
        <v>14400</v>
      </c>
      <c r="R136" s="67" t="s">
        <v>50</v>
      </c>
      <c r="S136" s="68">
        <f>14653.64</f>
        <v>14653.64</v>
      </c>
      <c r="T136" s="65">
        <f>3203</f>
        <v>3203</v>
      </c>
      <c r="U136" s="65" t="str">
        <f>"－"</f>
        <v>－</v>
      </c>
      <c r="V136" s="65">
        <f>47162450</f>
        <v>47162450</v>
      </c>
      <c r="W136" s="65" t="str">
        <f>"－"</f>
        <v>－</v>
      </c>
      <c r="X136" s="69">
        <f>22</f>
        <v>22</v>
      </c>
    </row>
    <row r="137" spans="1:24">
      <c r="A137" s="60" t="s">
        <v>844</v>
      </c>
      <c r="B137" s="60" t="s">
        <v>454</v>
      </c>
      <c r="C137" s="60" t="s">
        <v>455</v>
      </c>
      <c r="D137" s="60" t="s">
        <v>456</v>
      </c>
      <c r="E137" s="61" t="s">
        <v>846</v>
      </c>
      <c r="F137" s="62" t="s">
        <v>847</v>
      </c>
      <c r="G137" s="63" t="s">
        <v>848</v>
      </c>
      <c r="H137" s="64" t="s">
        <v>843</v>
      </c>
      <c r="I137" s="64"/>
      <c r="J137" s="65">
        <v>10</v>
      </c>
      <c r="K137" s="66">
        <f>2331</f>
        <v>2331</v>
      </c>
      <c r="L137" s="67" t="s">
        <v>840</v>
      </c>
      <c r="M137" s="66">
        <f>2505</f>
        <v>2505</v>
      </c>
      <c r="N137" s="67" t="s">
        <v>834</v>
      </c>
      <c r="O137" s="66">
        <f>2331</f>
        <v>2331</v>
      </c>
      <c r="P137" s="67" t="s">
        <v>840</v>
      </c>
      <c r="Q137" s="66">
        <f>2500</f>
        <v>2500</v>
      </c>
      <c r="R137" s="67" t="s">
        <v>815</v>
      </c>
      <c r="S137" s="68">
        <f>2423.7</f>
        <v>2423.6999999999998</v>
      </c>
      <c r="T137" s="65">
        <f>14980</f>
        <v>14980</v>
      </c>
      <c r="U137" s="65" t="str">
        <f>"－"</f>
        <v>－</v>
      </c>
      <c r="V137" s="65">
        <f>36615060</f>
        <v>36615060</v>
      </c>
      <c r="W137" s="65" t="str">
        <f>"－"</f>
        <v>－</v>
      </c>
      <c r="X137" s="69">
        <f>10</f>
        <v>10</v>
      </c>
    </row>
    <row r="138" spans="1:24">
      <c r="A138" s="60" t="s">
        <v>844</v>
      </c>
      <c r="B138" s="60" t="s">
        <v>457</v>
      </c>
      <c r="C138" s="60" t="s">
        <v>458</v>
      </c>
      <c r="D138" s="60" t="s">
        <v>459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100</v>
      </c>
      <c r="K138" s="66">
        <f>126</f>
        <v>126</v>
      </c>
      <c r="L138" s="67" t="s">
        <v>840</v>
      </c>
      <c r="M138" s="66">
        <f>138</f>
        <v>138</v>
      </c>
      <c r="N138" s="67" t="s">
        <v>119</v>
      </c>
      <c r="O138" s="66">
        <f>122</f>
        <v>122</v>
      </c>
      <c r="P138" s="67" t="s">
        <v>816</v>
      </c>
      <c r="Q138" s="66">
        <f>124</f>
        <v>124</v>
      </c>
      <c r="R138" s="67" t="s">
        <v>50</v>
      </c>
      <c r="S138" s="68">
        <f>128.05</f>
        <v>128.05000000000001</v>
      </c>
      <c r="T138" s="65">
        <f>24512000</f>
        <v>24512000</v>
      </c>
      <c r="U138" s="65">
        <f>18400</f>
        <v>18400</v>
      </c>
      <c r="V138" s="65">
        <f>3141698600</f>
        <v>3141698600</v>
      </c>
      <c r="W138" s="65">
        <f>2306700</f>
        <v>2306700</v>
      </c>
      <c r="X138" s="69">
        <f>22</f>
        <v>22</v>
      </c>
    </row>
    <row r="139" spans="1:24">
      <c r="A139" s="60" t="s">
        <v>844</v>
      </c>
      <c r="B139" s="60" t="s">
        <v>460</v>
      </c>
      <c r="C139" s="60" t="s">
        <v>461</v>
      </c>
      <c r="D139" s="60" t="s">
        <v>462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27230</f>
        <v>27230</v>
      </c>
      <c r="L139" s="67" t="s">
        <v>840</v>
      </c>
      <c r="M139" s="66">
        <f>28170</f>
        <v>28170</v>
      </c>
      <c r="N139" s="67" t="s">
        <v>119</v>
      </c>
      <c r="O139" s="66">
        <f>26760</f>
        <v>26760</v>
      </c>
      <c r="P139" s="67" t="s">
        <v>245</v>
      </c>
      <c r="Q139" s="66">
        <f>26980</f>
        <v>26980</v>
      </c>
      <c r="R139" s="67" t="s">
        <v>50</v>
      </c>
      <c r="S139" s="68">
        <f>27375.24</f>
        <v>27375.24</v>
      </c>
      <c r="T139" s="65">
        <f>5054</f>
        <v>5054</v>
      </c>
      <c r="U139" s="65" t="str">
        <f>"－"</f>
        <v>－</v>
      </c>
      <c r="V139" s="65">
        <f>138813490</f>
        <v>138813490</v>
      </c>
      <c r="W139" s="65" t="str">
        <f>"－"</f>
        <v>－</v>
      </c>
      <c r="X139" s="69">
        <f>21</f>
        <v>21</v>
      </c>
    </row>
    <row r="140" spans="1:24">
      <c r="A140" s="60" t="s">
        <v>844</v>
      </c>
      <c r="B140" s="60" t="s">
        <v>463</v>
      </c>
      <c r="C140" s="60" t="s">
        <v>464</v>
      </c>
      <c r="D140" s="60" t="s">
        <v>465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9090</f>
        <v>9090</v>
      </c>
      <c r="L140" s="67" t="s">
        <v>840</v>
      </c>
      <c r="M140" s="66">
        <f>9700</f>
        <v>9700</v>
      </c>
      <c r="N140" s="67" t="s">
        <v>65</v>
      </c>
      <c r="O140" s="66">
        <f>8480</f>
        <v>8480</v>
      </c>
      <c r="P140" s="67" t="s">
        <v>815</v>
      </c>
      <c r="Q140" s="66">
        <f>8700</f>
        <v>8700</v>
      </c>
      <c r="R140" s="67" t="s">
        <v>50</v>
      </c>
      <c r="S140" s="68">
        <f>9011.82</f>
        <v>9011.82</v>
      </c>
      <c r="T140" s="65">
        <f>4658</f>
        <v>4658</v>
      </c>
      <c r="U140" s="65">
        <f>3</f>
        <v>3</v>
      </c>
      <c r="V140" s="65">
        <f>42380730</f>
        <v>42380730</v>
      </c>
      <c r="W140" s="65">
        <f>26580</f>
        <v>26580</v>
      </c>
      <c r="X140" s="69">
        <f>22</f>
        <v>22</v>
      </c>
    </row>
    <row r="141" spans="1:24">
      <c r="A141" s="60" t="s">
        <v>844</v>
      </c>
      <c r="B141" s="60" t="s">
        <v>466</v>
      </c>
      <c r="C141" s="60" t="s">
        <v>467</v>
      </c>
      <c r="D141" s="60" t="s">
        <v>468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19130</f>
        <v>19130</v>
      </c>
      <c r="L141" s="67" t="s">
        <v>840</v>
      </c>
      <c r="M141" s="66">
        <f>20210</f>
        <v>20210</v>
      </c>
      <c r="N141" s="67" t="s">
        <v>119</v>
      </c>
      <c r="O141" s="66">
        <f>18590</f>
        <v>18590</v>
      </c>
      <c r="P141" s="67" t="s">
        <v>816</v>
      </c>
      <c r="Q141" s="66">
        <f>19060</f>
        <v>19060</v>
      </c>
      <c r="R141" s="67" t="s">
        <v>50</v>
      </c>
      <c r="S141" s="68">
        <f>19356.36</f>
        <v>19356.36</v>
      </c>
      <c r="T141" s="65">
        <f>1309</f>
        <v>1309</v>
      </c>
      <c r="U141" s="65">
        <f>2</f>
        <v>2</v>
      </c>
      <c r="V141" s="65">
        <f>25429720</f>
        <v>25429720</v>
      </c>
      <c r="W141" s="65">
        <f>37340</f>
        <v>37340</v>
      </c>
      <c r="X141" s="69">
        <f>22</f>
        <v>22</v>
      </c>
    </row>
    <row r="142" spans="1:24">
      <c r="A142" s="60" t="s">
        <v>844</v>
      </c>
      <c r="B142" s="60" t="s">
        <v>469</v>
      </c>
      <c r="C142" s="60" t="s">
        <v>470</v>
      </c>
      <c r="D142" s="60" t="s">
        <v>471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23030</f>
        <v>23030</v>
      </c>
      <c r="L142" s="67" t="s">
        <v>840</v>
      </c>
      <c r="M142" s="66">
        <f>23920</f>
        <v>23920</v>
      </c>
      <c r="N142" s="67" t="s">
        <v>65</v>
      </c>
      <c r="O142" s="66">
        <f>22740</f>
        <v>22740</v>
      </c>
      <c r="P142" s="67" t="s">
        <v>86</v>
      </c>
      <c r="Q142" s="66">
        <f>23160</f>
        <v>23160</v>
      </c>
      <c r="R142" s="67" t="s">
        <v>50</v>
      </c>
      <c r="S142" s="68">
        <f>23360.59</f>
        <v>23360.59</v>
      </c>
      <c r="T142" s="65">
        <f>948</f>
        <v>948</v>
      </c>
      <c r="U142" s="65" t="str">
        <f>"－"</f>
        <v>－</v>
      </c>
      <c r="V142" s="65">
        <f>22353780</f>
        <v>22353780</v>
      </c>
      <c r="W142" s="65" t="str">
        <f>"－"</f>
        <v>－</v>
      </c>
      <c r="X142" s="69">
        <f>17</f>
        <v>17</v>
      </c>
    </row>
    <row r="143" spans="1:24">
      <c r="A143" s="60" t="s">
        <v>844</v>
      </c>
      <c r="B143" s="60" t="s">
        <v>472</v>
      </c>
      <c r="C143" s="60" t="s">
        <v>473</v>
      </c>
      <c r="D143" s="60" t="s">
        <v>474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26930</f>
        <v>26930</v>
      </c>
      <c r="L143" s="67" t="s">
        <v>840</v>
      </c>
      <c r="M143" s="66">
        <f>26930</f>
        <v>26930</v>
      </c>
      <c r="N143" s="67" t="s">
        <v>840</v>
      </c>
      <c r="O143" s="66">
        <f>24500</f>
        <v>24500</v>
      </c>
      <c r="P143" s="67" t="s">
        <v>815</v>
      </c>
      <c r="Q143" s="66">
        <f>26100</f>
        <v>26100</v>
      </c>
      <c r="R143" s="67" t="s">
        <v>50</v>
      </c>
      <c r="S143" s="68">
        <f>26358.64</f>
        <v>26358.639999999999</v>
      </c>
      <c r="T143" s="65">
        <f>4273</f>
        <v>4273</v>
      </c>
      <c r="U143" s="65">
        <f>4</f>
        <v>4</v>
      </c>
      <c r="V143" s="65">
        <f>112311230</f>
        <v>112311230</v>
      </c>
      <c r="W143" s="65">
        <f>106610</f>
        <v>106610</v>
      </c>
      <c r="X143" s="69">
        <f>22</f>
        <v>22</v>
      </c>
    </row>
    <row r="144" spans="1:24">
      <c r="A144" s="60" t="s">
        <v>844</v>
      </c>
      <c r="B144" s="60" t="s">
        <v>475</v>
      </c>
      <c r="C144" s="60" t="s">
        <v>476</v>
      </c>
      <c r="D144" s="60" t="s">
        <v>477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17770</f>
        <v>17770</v>
      </c>
      <c r="L144" s="67" t="s">
        <v>840</v>
      </c>
      <c r="M144" s="66">
        <f>19160</f>
        <v>19160</v>
      </c>
      <c r="N144" s="67" t="s">
        <v>65</v>
      </c>
      <c r="O144" s="66">
        <f>17530</f>
        <v>17530</v>
      </c>
      <c r="P144" s="67" t="s">
        <v>245</v>
      </c>
      <c r="Q144" s="66">
        <f>17640</f>
        <v>17640</v>
      </c>
      <c r="R144" s="67" t="s">
        <v>50</v>
      </c>
      <c r="S144" s="68">
        <f>18210.45</f>
        <v>18210.45</v>
      </c>
      <c r="T144" s="65">
        <f>2581</f>
        <v>2581</v>
      </c>
      <c r="U144" s="65" t="str">
        <f>"－"</f>
        <v>－</v>
      </c>
      <c r="V144" s="65">
        <f>46917360</f>
        <v>46917360</v>
      </c>
      <c r="W144" s="65" t="str">
        <f>"－"</f>
        <v>－</v>
      </c>
      <c r="X144" s="69">
        <f>22</f>
        <v>22</v>
      </c>
    </row>
    <row r="145" spans="1:24">
      <c r="A145" s="60" t="s">
        <v>844</v>
      </c>
      <c r="B145" s="60" t="s">
        <v>478</v>
      </c>
      <c r="C145" s="60" t="s">
        <v>479</v>
      </c>
      <c r="D145" s="60" t="s">
        <v>480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10650</f>
        <v>10650</v>
      </c>
      <c r="L145" s="67" t="s">
        <v>840</v>
      </c>
      <c r="M145" s="66">
        <f>11950</f>
        <v>11950</v>
      </c>
      <c r="N145" s="67" t="s">
        <v>119</v>
      </c>
      <c r="O145" s="66">
        <f>10510</f>
        <v>10510</v>
      </c>
      <c r="P145" s="67" t="s">
        <v>245</v>
      </c>
      <c r="Q145" s="66">
        <f>10670</f>
        <v>10670</v>
      </c>
      <c r="R145" s="67" t="s">
        <v>50</v>
      </c>
      <c r="S145" s="68">
        <f>11149.55</f>
        <v>11149.55</v>
      </c>
      <c r="T145" s="65">
        <f>8611</f>
        <v>8611</v>
      </c>
      <c r="U145" s="65">
        <f>1</f>
        <v>1</v>
      </c>
      <c r="V145" s="65">
        <f>96241800</f>
        <v>96241800</v>
      </c>
      <c r="W145" s="65">
        <f>11110</f>
        <v>11110</v>
      </c>
      <c r="X145" s="69">
        <f>22</f>
        <v>22</v>
      </c>
    </row>
    <row r="146" spans="1:24">
      <c r="A146" s="60" t="s">
        <v>844</v>
      </c>
      <c r="B146" s="60" t="s">
        <v>481</v>
      </c>
      <c r="C146" s="60" t="s">
        <v>482</v>
      </c>
      <c r="D146" s="60" t="s">
        <v>483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31700</f>
        <v>31700</v>
      </c>
      <c r="L146" s="67" t="s">
        <v>840</v>
      </c>
      <c r="M146" s="66">
        <f>33400</f>
        <v>33400</v>
      </c>
      <c r="N146" s="67" t="s">
        <v>119</v>
      </c>
      <c r="O146" s="66">
        <f>31400</f>
        <v>31400</v>
      </c>
      <c r="P146" s="67" t="s">
        <v>86</v>
      </c>
      <c r="Q146" s="66">
        <f>32300</f>
        <v>32300</v>
      </c>
      <c r="R146" s="67" t="s">
        <v>245</v>
      </c>
      <c r="S146" s="68">
        <f>32463.33</f>
        <v>32463.33</v>
      </c>
      <c r="T146" s="65">
        <f>139</f>
        <v>139</v>
      </c>
      <c r="U146" s="65" t="str">
        <f t="shared" ref="U146:U159" si="2">"－"</f>
        <v>－</v>
      </c>
      <c r="V146" s="65">
        <f>4520650</f>
        <v>4520650</v>
      </c>
      <c r="W146" s="65" t="str">
        <f t="shared" ref="W146:W159" si="3">"－"</f>
        <v>－</v>
      </c>
      <c r="X146" s="69">
        <f>15</f>
        <v>15</v>
      </c>
    </row>
    <row r="147" spans="1:24">
      <c r="A147" s="60" t="s">
        <v>844</v>
      </c>
      <c r="B147" s="60" t="s">
        <v>484</v>
      </c>
      <c r="C147" s="60" t="s">
        <v>485</v>
      </c>
      <c r="D147" s="60" t="s">
        <v>486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20000</f>
        <v>20000</v>
      </c>
      <c r="L147" s="67" t="s">
        <v>840</v>
      </c>
      <c r="M147" s="66">
        <f>21050</f>
        <v>21050</v>
      </c>
      <c r="N147" s="67" t="s">
        <v>61</v>
      </c>
      <c r="O147" s="66">
        <f>19740</f>
        <v>19740</v>
      </c>
      <c r="P147" s="67" t="s">
        <v>86</v>
      </c>
      <c r="Q147" s="66">
        <f>20710</f>
        <v>20710</v>
      </c>
      <c r="R147" s="67" t="s">
        <v>50</v>
      </c>
      <c r="S147" s="68">
        <f>20616.82</f>
        <v>20616.82</v>
      </c>
      <c r="T147" s="65">
        <f>353</f>
        <v>353</v>
      </c>
      <c r="U147" s="65" t="str">
        <f t="shared" si="2"/>
        <v>－</v>
      </c>
      <c r="V147" s="65">
        <f>7252140</f>
        <v>7252140</v>
      </c>
      <c r="W147" s="65" t="str">
        <f t="shared" si="3"/>
        <v>－</v>
      </c>
      <c r="X147" s="69">
        <f>22</f>
        <v>22</v>
      </c>
    </row>
    <row r="148" spans="1:24">
      <c r="A148" s="60" t="s">
        <v>844</v>
      </c>
      <c r="B148" s="60" t="s">
        <v>487</v>
      </c>
      <c r="C148" s="60" t="s">
        <v>488</v>
      </c>
      <c r="D148" s="60" t="s">
        <v>489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23660</f>
        <v>23660</v>
      </c>
      <c r="L148" s="67" t="s">
        <v>840</v>
      </c>
      <c r="M148" s="66">
        <f>24600</f>
        <v>24600</v>
      </c>
      <c r="N148" s="67" t="s">
        <v>99</v>
      </c>
      <c r="O148" s="66">
        <f>23490</f>
        <v>23490</v>
      </c>
      <c r="P148" s="67" t="s">
        <v>815</v>
      </c>
      <c r="Q148" s="66">
        <f>23970</f>
        <v>23970</v>
      </c>
      <c r="R148" s="67" t="s">
        <v>50</v>
      </c>
      <c r="S148" s="68">
        <f>24135.45</f>
        <v>24135.45</v>
      </c>
      <c r="T148" s="65">
        <f>3000</f>
        <v>3000</v>
      </c>
      <c r="U148" s="65" t="str">
        <f t="shared" si="2"/>
        <v>－</v>
      </c>
      <c r="V148" s="65">
        <f>72435140</f>
        <v>72435140</v>
      </c>
      <c r="W148" s="65" t="str">
        <f t="shared" si="3"/>
        <v>－</v>
      </c>
      <c r="X148" s="69">
        <f>22</f>
        <v>22</v>
      </c>
    </row>
    <row r="149" spans="1:24">
      <c r="A149" s="60" t="s">
        <v>844</v>
      </c>
      <c r="B149" s="60" t="s">
        <v>490</v>
      </c>
      <c r="C149" s="60" t="s">
        <v>491</v>
      </c>
      <c r="D149" s="60" t="s">
        <v>492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6630</f>
        <v>6630</v>
      </c>
      <c r="L149" s="67" t="s">
        <v>840</v>
      </c>
      <c r="M149" s="66">
        <f>6760</f>
        <v>6760</v>
      </c>
      <c r="N149" s="67" t="s">
        <v>814</v>
      </c>
      <c r="O149" s="66">
        <f>6340</f>
        <v>6340</v>
      </c>
      <c r="P149" s="67" t="s">
        <v>816</v>
      </c>
      <c r="Q149" s="66">
        <f>6420</f>
        <v>6420</v>
      </c>
      <c r="R149" s="67" t="s">
        <v>50</v>
      </c>
      <c r="S149" s="68">
        <f>6539.09</f>
        <v>6539.09</v>
      </c>
      <c r="T149" s="65">
        <f>4448</f>
        <v>4448</v>
      </c>
      <c r="U149" s="65" t="str">
        <f t="shared" si="2"/>
        <v>－</v>
      </c>
      <c r="V149" s="65">
        <f>28972810</f>
        <v>28972810</v>
      </c>
      <c r="W149" s="65" t="str">
        <f t="shared" si="3"/>
        <v>－</v>
      </c>
      <c r="X149" s="69">
        <f>22</f>
        <v>22</v>
      </c>
    </row>
    <row r="150" spans="1:24">
      <c r="A150" s="60" t="s">
        <v>844</v>
      </c>
      <c r="B150" s="60" t="s">
        <v>493</v>
      </c>
      <c r="C150" s="60" t="s">
        <v>494</v>
      </c>
      <c r="D150" s="60" t="s">
        <v>495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16170</f>
        <v>16170</v>
      </c>
      <c r="L150" s="67" t="s">
        <v>840</v>
      </c>
      <c r="M150" s="66">
        <f>16560</f>
        <v>16560</v>
      </c>
      <c r="N150" s="67" t="s">
        <v>119</v>
      </c>
      <c r="O150" s="66">
        <f>14960</f>
        <v>14960</v>
      </c>
      <c r="P150" s="67" t="s">
        <v>245</v>
      </c>
      <c r="Q150" s="66">
        <f>15050</f>
        <v>15050</v>
      </c>
      <c r="R150" s="67" t="s">
        <v>50</v>
      </c>
      <c r="S150" s="68">
        <f>15725.91</f>
        <v>15725.91</v>
      </c>
      <c r="T150" s="65">
        <f>3498</f>
        <v>3498</v>
      </c>
      <c r="U150" s="65" t="str">
        <f t="shared" si="2"/>
        <v>－</v>
      </c>
      <c r="V150" s="65">
        <f>55683520</f>
        <v>55683520</v>
      </c>
      <c r="W150" s="65" t="str">
        <f t="shared" si="3"/>
        <v>－</v>
      </c>
      <c r="X150" s="69">
        <f>22</f>
        <v>22</v>
      </c>
    </row>
    <row r="151" spans="1:24">
      <c r="A151" s="60" t="s">
        <v>844</v>
      </c>
      <c r="B151" s="60" t="s">
        <v>496</v>
      </c>
      <c r="C151" s="60" t="s">
        <v>497</v>
      </c>
      <c r="D151" s="60" t="s">
        <v>498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31000</f>
        <v>31000</v>
      </c>
      <c r="L151" s="67" t="s">
        <v>840</v>
      </c>
      <c r="M151" s="66">
        <f>32250</f>
        <v>32250</v>
      </c>
      <c r="N151" s="67" t="s">
        <v>65</v>
      </c>
      <c r="O151" s="66">
        <f>29770</f>
        <v>29770</v>
      </c>
      <c r="P151" s="67" t="s">
        <v>816</v>
      </c>
      <c r="Q151" s="66">
        <f>30200</f>
        <v>30200</v>
      </c>
      <c r="R151" s="67" t="s">
        <v>50</v>
      </c>
      <c r="S151" s="68">
        <f>30966.19</f>
        <v>30966.19</v>
      </c>
      <c r="T151" s="65">
        <f>595</f>
        <v>595</v>
      </c>
      <c r="U151" s="65" t="str">
        <f t="shared" si="2"/>
        <v>－</v>
      </c>
      <c r="V151" s="65">
        <f>18375210</f>
        <v>18375210</v>
      </c>
      <c r="W151" s="65" t="str">
        <f t="shared" si="3"/>
        <v>－</v>
      </c>
      <c r="X151" s="69">
        <f>21</f>
        <v>21</v>
      </c>
    </row>
    <row r="152" spans="1:24">
      <c r="A152" s="60" t="s">
        <v>844</v>
      </c>
      <c r="B152" s="60" t="s">
        <v>499</v>
      </c>
      <c r="C152" s="60" t="s">
        <v>500</v>
      </c>
      <c r="D152" s="60" t="s">
        <v>501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20210</f>
        <v>20210</v>
      </c>
      <c r="L152" s="67" t="s">
        <v>840</v>
      </c>
      <c r="M152" s="66">
        <f>20760</f>
        <v>20760</v>
      </c>
      <c r="N152" s="67" t="s">
        <v>119</v>
      </c>
      <c r="O152" s="66">
        <f>20010</f>
        <v>20010</v>
      </c>
      <c r="P152" s="67" t="s">
        <v>815</v>
      </c>
      <c r="Q152" s="66">
        <f>20460</f>
        <v>20460</v>
      </c>
      <c r="R152" s="67" t="s">
        <v>50</v>
      </c>
      <c r="S152" s="68">
        <f>20470.63</f>
        <v>20470.63</v>
      </c>
      <c r="T152" s="65">
        <f>44</f>
        <v>44</v>
      </c>
      <c r="U152" s="65" t="str">
        <f t="shared" si="2"/>
        <v>－</v>
      </c>
      <c r="V152" s="65">
        <f>899390</f>
        <v>899390</v>
      </c>
      <c r="W152" s="65" t="str">
        <f t="shared" si="3"/>
        <v>－</v>
      </c>
      <c r="X152" s="69">
        <f>16</f>
        <v>16</v>
      </c>
    </row>
    <row r="153" spans="1:24">
      <c r="A153" s="60" t="s">
        <v>844</v>
      </c>
      <c r="B153" s="60" t="s">
        <v>502</v>
      </c>
      <c r="C153" s="60" t="s">
        <v>503</v>
      </c>
      <c r="D153" s="60" t="s">
        <v>504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f>7190</f>
        <v>7190</v>
      </c>
      <c r="L153" s="67" t="s">
        <v>840</v>
      </c>
      <c r="M153" s="66">
        <f>7860</f>
        <v>7860</v>
      </c>
      <c r="N153" s="67" t="s">
        <v>119</v>
      </c>
      <c r="O153" s="66">
        <f>6950</f>
        <v>6950</v>
      </c>
      <c r="P153" s="67" t="s">
        <v>245</v>
      </c>
      <c r="Q153" s="66">
        <f>6960</f>
        <v>6960</v>
      </c>
      <c r="R153" s="67" t="s">
        <v>50</v>
      </c>
      <c r="S153" s="68">
        <f>7250.91</f>
        <v>7250.91</v>
      </c>
      <c r="T153" s="65">
        <f>13675</f>
        <v>13675</v>
      </c>
      <c r="U153" s="65" t="str">
        <f t="shared" si="2"/>
        <v>－</v>
      </c>
      <c r="V153" s="65">
        <f>99067120</f>
        <v>99067120</v>
      </c>
      <c r="W153" s="65" t="str">
        <f t="shared" si="3"/>
        <v>－</v>
      </c>
      <c r="X153" s="69">
        <f>22</f>
        <v>22</v>
      </c>
    </row>
    <row r="154" spans="1:24">
      <c r="A154" s="60" t="s">
        <v>844</v>
      </c>
      <c r="B154" s="60" t="s">
        <v>505</v>
      </c>
      <c r="C154" s="60" t="s">
        <v>506</v>
      </c>
      <c r="D154" s="60" t="s">
        <v>507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f>10890</f>
        <v>10890</v>
      </c>
      <c r="L154" s="67" t="s">
        <v>840</v>
      </c>
      <c r="M154" s="66">
        <f>12180</f>
        <v>12180</v>
      </c>
      <c r="N154" s="67" t="s">
        <v>65</v>
      </c>
      <c r="O154" s="66">
        <f>10650</f>
        <v>10650</v>
      </c>
      <c r="P154" s="67" t="s">
        <v>245</v>
      </c>
      <c r="Q154" s="66">
        <f>10860</f>
        <v>10860</v>
      </c>
      <c r="R154" s="67" t="s">
        <v>50</v>
      </c>
      <c r="S154" s="68">
        <f>11027.73</f>
        <v>11027.73</v>
      </c>
      <c r="T154" s="65">
        <f>1014</f>
        <v>1014</v>
      </c>
      <c r="U154" s="65" t="str">
        <f t="shared" si="2"/>
        <v>－</v>
      </c>
      <c r="V154" s="65">
        <f>11174440</f>
        <v>11174440</v>
      </c>
      <c r="W154" s="65" t="str">
        <f t="shared" si="3"/>
        <v>－</v>
      </c>
      <c r="X154" s="69">
        <f>22</f>
        <v>22</v>
      </c>
    </row>
    <row r="155" spans="1:24">
      <c r="A155" s="60" t="s">
        <v>844</v>
      </c>
      <c r="B155" s="60" t="s">
        <v>508</v>
      </c>
      <c r="C155" s="60" t="s">
        <v>509</v>
      </c>
      <c r="D155" s="60" t="s">
        <v>510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</v>
      </c>
      <c r="K155" s="66">
        <f>25010</f>
        <v>25010</v>
      </c>
      <c r="L155" s="67" t="s">
        <v>840</v>
      </c>
      <c r="M155" s="66">
        <f>27480</f>
        <v>27480</v>
      </c>
      <c r="N155" s="67" t="s">
        <v>119</v>
      </c>
      <c r="O155" s="66">
        <f>23400</f>
        <v>23400</v>
      </c>
      <c r="P155" s="67" t="s">
        <v>50</v>
      </c>
      <c r="Q155" s="66">
        <f>24000</f>
        <v>24000</v>
      </c>
      <c r="R155" s="67" t="s">
        <v>50</v>
      </c>
      <c r="S155" s="68">
        <f>25260.45</f>
        <v>25260.45</v>
      </c>
      <c r="T155" s="65">
        <f>4361</f>
        <v>4361</v>
      </c>
      <c r="U155" s="65" t="str">
        <f t="shared" si="2"/>
        <v>－</v>
      </c>
      <c r="V155" s="65">
        <f>112803100</f>
        <v>112803100</v>
      </c>
      <c r="W155" s="65" t="str">
        <f t="shared" si="3"/>
        <v>－</v>
      </c>
      <c r="X155" s="69">
        <f>22</f>
        <v>22</v>
      </c>
    </row>
    <row r="156" spans="1:24">
      <c r="A156" s="60" t="s">
        <v>844</v>
      </c>
      <c r="B156" s="60" t="s">
        <v>511</v>
      </c>
      <c r="C156" s="60" t="s">
        <v>512</v>
      </c>
      <c r="D156" s="60" t="s">
        <v>513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840</f>
        <v>840</v>
      </c>
      <c r="L156" s="67" t="s">
        <v>840</v>
      </c>
      <c r="M156" s="66">
        <f>893</f>
        <v>893</v>
      </c>
      <c r="N156" s="67" t="s">
        <v>119</v>
      </c>
      <c r="O156" s="66">
        <f>815</f>
        <v>815</v>
      </c>
      <c r="P156" s="67" t="s">
        <v>245</v>
      </c>
      <c r="Q156" s="66">
        <f>824</f>
        <v>824</v>
      </c>
      <c r="R156" s="67" t="s">
        <v>50</v>
      </c>
      <c r="S156" s="68">
        <f>847.86</f>
        <v>847.86</v>
      </c>
      <c r="T156" s="65">
        <f>169420</f>
        <v>169420</v>
      </c>
      <c r="U156" s="65" t="str">
        <f t="shared" si="2"/>
        <v>－</v>
      </c>
      <c r="V156" s="65">
        <f>144342130</f>
        <v>144342130</v>
      </c>
      <c r="W156" s="65" t="str">
        <f t="shared" si="3"/>
        <v>－</v>
      </c>
      <c r="X156" s="69">
        <f>22</f>
        <v>22</v>
      </c>
    </row>
    <row r="157" spans="1:24">
      <c r="A157" s="60" t="s">
        <v>844</v>
      </c>
      <c r="B157" s="60" t="s">
        <v>514</v>
      </c>
      <c r="C157" s="60" t="s">
        <v>515</v>
      </c>
      <c r="D157" s="60" t="s">
        <v>516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10</v>
      </c>
      <c r="K157" s="66">
        <f>1988</f>
        <v>1988</v>
      </c>
      <c r="L157" s="67" t="s">
        <v>840</v>
      </c>
      <c r="M157" s="66">
        <f>2058</f>
        <v>2058</v>
      </c>
      <c r="N157" s="67" t="s">
        <v>61</v>
      </c>
      <c r="O157" s="66">
        <f>1981</f>
        <v>1981</v>
      </c>
      <c r="P157" s="67" t="s">
        <v>822</v>
      </c>
      <c r="Q157" s="66">
        <f>2003</f>
        <v>2003</v>
      </c>
      <c r="R157" s="67" t="s">
        <v>50</v>
      </c>
      <c r="S157" s="68">
        <f>2003.4</f>
        <v>2003.4</v>
      </c>
      <c r="T157" s="65">
        <f>2380</f>
        <v>2380</v>
      </c>
      <c r="U157" s="65" t="str">
        <f t="shared" si="2"/>
        <v>－</v>
      </c>
      <c r="V157" s="65">
        <f>4823920</f>
        <v>4823920</v>
      </c>
      <c r="W157" s="65" t="str">
        <f t="shared" si="3"/>
        <v>－</v>
      </c>
      <c r="X157" s="69">
        <f>10</f>
        <v>10</v>
      </c>
    </row>
    <row r="158" spans="1:24">
      <c r="A158" s="60" t="s">
        <v>844</v>
      </c>
      <c r="B158" s="60" t="s">
        <v>517</v>
      </c>
      <c r="C158" s="60" t="s">
        <v>518</v>
      </c>
      <c r="D158" s="60" t="s">
        <v>519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10</v>
      </c>
      <c r="K158" s="66">
        <f>2010</f>
        <v>2010</v>
      </c>
      <c r="L158" s="67" t="s">
        <v>840</v>
      </c>
      <c r="M158" s="66">
        <f>2092</f>
        <v>2092</v>
      </c>
      <c r="N158" s="67" t="s">
        <v>65</v>
      </c>
      <c r="O158" s="66">
        <f>1980</f>
        <v>1980</v>
      </c>
      <c r="P158" s="67" t="s">
        <v>86</v>
      </c>
      <c r="Q158" s="66">
        <f>2021</f>
        <v>2021</v>
      </c>
      <c r="R158" s="67" t="s">
        <v>50</v>
      </c>
      <c r="S158" s="68">
        <f>2034.78</f>
        <v>2034.78</v>
      </c>
      <c r="T158" s="65">
        <f>22450</f>
        <v>22450</v>
      </c>
      <c r="U158" s="65" t="str">
        <f t="shared" si="2"/>
        <v>－</v>
      </c>
      <c r="V158" s="65">
        <f>46121720</f>
        <v>46121720</v>
      </c>
      <c r="W158" s="65" t="str">
        <f t="shared" si="3"/>
        <v>－</v>
      </c>
      <c r="X158" s="69">
        <f>18</f>
        <v>18</v>
      </c>
    </row>
    <row r="159" spans="1:24">
      <c r="A159" s="60" t="s">
        <v>844</v>
      </c>
      <c r="B159" s="60" t="s">
        <v>520</v>
      </c>
      <c r="C159" s="60" t="s">
        <v>521</v>
      </c>
      <c r="D159" s="60" t="s">
        <v>522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10</v>
      </c>
      <c r="K159" s="66">
        <f>1188</f>
        <v>1188</v>
      </c>
      <c r="L159" s="67" t="s">
        <v>840</v>
      </c>
      <c r="M159" s="66">
        <f>1237</f>
        <v>1237</v>
      </c>
      <c r="N159" s="67" t="s">
        <v>65</v>
      </c>
      <c r="O159" s="66">
        <f>1170</f>
        <v>1170</v>
      </c>
      <c r="P159" s="67" t="s">
        <v>86</v>
      </c>
      <c r="Q159" s="66">
        <f>1188</f>
        <v>1188</v>
      </c>
      <c r="R159" s="67" t="s">
        <v>50</v>
      </c>
      <c r="S159" s="68">
        <f>1195.94</f>
        <v>1195.94</v>
      </c>
      <c r="T159" s="65">
        <f>2670</f>
        <v>2670</v>
      </c>
      <c r="U159" s="65" t="str">
        <f t="shared" si="2"/>
        <v>－</v>
      </c>
      <c r="V159" s="65">
        <f>3178740</f>
        <v>3178740</v>
      </c>
      <c r="W159" s="65" t="str">
        <f t="shared" si="3"/>
        <v>－</v>
      </c>
      <c r="X159" s="69">
        <f>17</f>
        <v>17</v>
      </c>
    </row>
    <row r="160" spans="1:24">
      <c r="A160" s="60" t="s">
        <v>844</v>
      </c>
      <c r="B160" s="60" t="s">
        <v>523</v>
      </c>
      <c r="C160" s="60" t="s">
        <v>524</v>
      </c>
      <c r="D160" s="60" t="s">
        <v>525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2334</f>
        <v>2334</v>
      </c>
      <c r="L160" s="67" t="s">
        <v>840</v>
      </c>
      <c r="M160" s="66">
        <f>2518</f>
        <v>2518</v>
      </c>
      <c r="N160" s="67" t="s">
        <v>65</v>
      </c>
      <c r="O160" s="66">
        <f>2262</f>
        <v>2262</v>
      </c>
      <c r="P160" s="67" t="s">
        <v>86</v>
      </c>
      <c r="Q160" s="66">
        <f>2356</f>
        <v>2356</v>
      </c>
      <c r="R160" s="67" t="s">
        <v>50</v>
      </c>
      <c r="S160" s="68">
        <f>2389.95</f>
        <v>2389.9499999999998</v>
      </c>
      <c r="T160" s="65">
        <f>4775617</f>
        <v>4775617</v>
      </c>
      <c r="U160" s="65">
        <f>83004</f>
        <v>83004</v>
      </c>
      <c r="V160" s="65">
        <f>11412307416</f>
        <v>11412307416</v>
      </c>
      <c r="W160" s="65">
        <f>206608431</f>
        <v>206608431</v>
      </c>
      <c r="X160" s="69">
        <f>22</f>
        <v>22</v>
      </c>
    </row>
    <row r="161" spans="1:24">
      <c r="A161" s="60" t="s">
        <v>844</v>
      </c>
      <c r="B161" s="60" t="s">
        <v>526</v>
      </c>
      <c r="C161" s="60" t="s">
        <v>527</v>
      </c>
      <c r="D161" s="60" t="s">
        <v>528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2736</f>
        <v>2736</v>
      </c>
      <c r="L161" s="67" t="s">
        <v>840</v>
      </c>
      <c r="M161" s="66">
        <f>2756</f>
        <v>2756</v>
      </c>
      <c r="N161" s="67" t="s">
        <v>814</v>
      </c>
      <c r="O161" s="66">
        <f>2689</f>
        <v>2689</v>
      </c>
      <c r="P161" s="67" t="s">
        <v>175</v>
      </c>
      <c r="Q161" s="66">
        <f>2738</f>
        <v>2738</v>
      </c>
      <c r="R161" s="67" t="s">
        <v>50</v>
      </c>
      <c r="S161" s="68">
        <f>2717.86</f>
        <v>2717.86</v>
      </c>
      <c r="T161" s="65">
        <f>251331</f>
        <v>251331</v>
      </c>
      <c r="U161" s="65">
        <f>183000</f>
        <v>183000</v>
      </c>
      <c r="V161" s="65">
        <f>684980726</f>
        <v>684980726</v>
      </c>
      <c r="W161" s="65">
        <f>499535100</f>
        <v>499535100</v>
      </c>
      <c r="X161" s="69">
        <f>22</f>
        <v>22</v>
      </c>
    </row>
    <row r="162" spans="1:24">
      <c r="A162" s="60" t="s">
        <v>844</v>
      </c>
      <c r="B162" s="60" t="s">
        <v>529</v>
      </c>
      <c r="C162" s="60" t="s">
        <v>530</v>
      </c>
      <c r="D162" s="60" t="s">
        <v>531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2092</f>
        <v>2092</v>
      </c>
      <c r="L162" s="67" t="s">
        <v>840</v>
      </c>
      <c r="M162" s="66">
        <f>2272</f>
        <v>2272</v>
      </c>
      <c r="N162" s="67" t="s">
        <v>65</v>
      </c>
      <c r="O162" s="66">
        <f>2035</f>
        <v>2035</v>
      </c>
      <c r="P162" s="67" t="s">
        <v>86</v>
      </c>
      <c r="Q162" s="66">
        <f>2131</f>
        <v>2131</v>
      </c>
      <c r="R162" s="67" t="s">
        <v>50</v>
      </c>
      <c r="S162" s="68">
        <f>2157.27</f>
        <v>2157.27</v>
      </c>
      <c r="T162" s="65">
        <f>270124</f>
        <v>270124</v>
      </c>
      <c r="U162" s="65">
        <f>93000</f>
        <v>93000</v>
      </c>
      <c r="V162" s="65">
        <f>583316845</f>
        <v>583316845</v>
      </c>
      <c r="W162" s="65">
        <f>202163800</f>
        <v>202163800</v>
      </c>
      <c r="X162" s="69">
        <f>22</f>
        <v>22</v>
      </c>
    </row>
    <row r="163" spans="1:24">
      <c r="A163" s="60" t="s">
        <v>844</v>
      </c>
      <c r="B163" s="60" t="s">
        <v>532</v>
      </c>
      <c r="C163" s="60" t="s">
        <v>533</v>
      </c>
      <c r="D163" s="60" t="s">
        <v>534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1620</f>
        <v>1620</v>
      </c>
      <c r="L163" s="67" t="s">
        <v>840</v>
      </c>
      <c r="M163" s="66">
        <f>1801</f>
        <v>1801</v>
      </c>
      <c r="N163" s="67" t="s">
        <v>175</v>
      </c>
      <c r="O163" s="66">
        <f>1617</f>
        <v>1617</v>
      </c>
      <c r="P163" s="67" t="s">
        <v>840</v>
      </c>
      <c r="Q163" s="66">
        <f>1741</f>
        <v>1741</v>
      </c>
      <c r="R163" s="67" t="s">
        <v>50</v>
      </c>
      <c r="S163" s="68">
        <f>1725.27</f>
        <v>1725.27</v>
      </c>
      <c r="T163" s="65">
        <f>69241</f>
        <v>69241</v>
      </c>
      <c r="U163" s="65" t="str">
        <f>"－"</f>
        <v>－</v>
      </c>
      <c r="V163" s="65">
        <f>119732233</f>
        <v>119732233</v>
      </c>
      <c r="W163" s="65" t="str">
        <f>"－"</f>
        <v>－</v>
      </c>
      <c r="X163" s="69">
        <f>22</f>
        <v>22</v>
      </c>
    </row>
    <row r="164" spans="1:24">
      <c r="A164" s="60" t="s">
        <v>844</v>
      </c>
      <c r="B164" s="60" t="s">
        <v>535</v>
      </c>
      <c r="C164" s="60" t="s">
        <v>536</v>
      </c>
      <c r="D164" s="60" t="s">
        <v>537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1692</f>
        <v>1692</v>
      </c>
      <c r="L164" s="67" t="s">
        <v>840</v>
      </c>
      <c r="M164" s="66">
        <f>1966</f>
        <v>1966</v>
      </c>
      <c r="N164" s="67" t="s">
        <v>119</v>
      </c>
      <c r="O164" s="66">
        <f>1690</f>
        <v>1690</v>
      </c>
      <c r="P164" s="67" t="s">
        <v>245</v>
      </c>
      <c r="Q164" s="66">
        <f>1732</f>
        <v>1732</v>
      </c>
      <c r="R164" s="67" t="s">
        <v>50</v>
      </c>
      <c r="S164" s="68">
        <f>1790.91</f>
        <v>1790.91</v>
      </c>
      <c r="T164" s="65">
        <f>454618</f>
        <v>454618</v>
      </c>
      <c r="U164" s="65">
        <f>46</f>
        <v>46</v>
      </c>
      <c r="V164" s="65">
        <f>819439902</f>
        <v>819439902</v>
      </c>
      <c r="W164" s="65">
        <f>82017</f>
        <v>82017</v>
      </c>
      <c r="X164" s="69">
        <f>22</f>
        <v>22</v>
      </c>
    </row>
    <row r="165" spans="1:24">
      <c r="A165" s="60" t="s">
        <v>844</v>
      </c>
      <c r="B165" s="60" t="s">
        <v>538</v>
      </c>
      <c r="C165" s="60" t="s">
        <v>539</v>
      </c>
      <c r="D165" s="60" t="s">
        <v>540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</v>
      </c>
      <c r="K165" s="66">
        <f>9000</f>
        <v>9000</v>
      </c>
      <c r="L165" s="67" t="s">
        <v>840</v>
      </c>
      <c r="M165" s="66">
        <f>9390</f>
        <v>9390</v>
      </c>
      <c r="N165" s="67" t="s">
        <v>119</v>
      </c>
      <c r="O165" s="66">
        <f>8630</f>
        <v>8630</v>
      </c>
      <c r="P165" s="67" t="s">
        <v>815</v>
      </c>
      <c r="Q165" s="66">
        <f>8980</f>
        <v>8980</v>
      </c>
      <c r="R165" s="67" t="s">
        <v>50</v>
      </c>
      <c r="S165" s="68">
        <f>9083.18</f>
        <v>9083.18</v>
      </c>
      <c r="T165" s="65">
        <f>44499</f>
        <v>44499</v>
      </c>
      <c r="U165" s="65">
        <f>114</f>
        <v>114</v>
      </c>
      <c r="V165" s="65">
        <f>403149050</f>
        <v>403149050</v>
      </c>
      <c r="W165" s="65">
        <f>1037220</f>
        <v>1037220</v>
      </c>
      <c r="X165" s="69">
        <f>22</f>
        <v>22</v>
      </c>
    </row>
    <row r="166" spans="1:24">
      <c r="A166" s="60" t="s">
        <v>844</v>
      </c>
      <c r="B166" s="60" t="s">
        <v>541</v>
      </c>
      <c r="C166" s="60" t="s">
        <v>542</v>
      </c>
      <c r="D166" s="60" t="s">
        <v>543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100</v>
      </c>
      <c r="K166" s="66">
        <f>119</f>
        <v>119</v>
      </c>
      <c r="L166" s="67" t="s">
        <v>840</v>
      </c>
      <c r="M166" s="66">
        <f>123</f>
        <v>123</v>
      </c>
      <c r="N166" s="67" t="s">
        <v>65</v>
      </c>
      <c r="O166" s="66">
        <f>112</f>
        <v>112</v>
      </c>
      <c r="P166" s="67" t="s">
        <v>815</v>
      </c>
      <c r="Q166" s="66">
        <f>114</f>
        <v>114</v>
      </c>
      <c r="R166" s="67" t="s">
        <v>245</v>
      </c>
      <c r="S166" s="68">
        <f>118.4</f>
        <v>118.4</v>
      </c>
      <c r="T166" s="65">
        <f>26100</f>
        <v>26100</v>
      </c>
      <c r="U166" s="65" t="str">
        <f>"－"</f>
        <v>－</v>
      </c>
      <c r="V166" s="65">
        <f>3075000</f>
        <v>3075000</v>
      </c>
      <c r="W166" s="65" t="str">
        <f>"－"</f>
        <v>－</v>
      </c>
      <c r="X166" s="69">
        <f>20</f>
        <v>20</v>
      </c>
    </row>
    <row r="167" spans="1:24">
      <c r="A167" s="60" t="s">
        <v>844</v>
      </c>
      <c r="B167" s="60" t="s">
        <v>544</v>
      </c>
      <c r="C167" s="60" t="s">
        <v>545</v>
      </c>
      <c r="D167" s="60" t="s">
        <v>546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f>769</f>
        <v>769</v>
      </c>
      <c r="L167" s="67" t="s">
        <v>840</v>
      </c>
      <c r="M167" s="66">
        <f>893</f>
        <v>893</v>
      </c>
      <c r="N167" s="67" t="s">
        <v>65</v>
      </c>
      <c r="O167" s="66">
        <f>746</f>
        <v>746</v>
      </c>
      <c r="P167" s="67" t="s">
        <v>815</v>
      </c>
      <c r="Q167" s="66">
        <f>847</f>
        <v>847</v>
      </c>
      <c r="R167" s="67" t="s">
        <v>50</v>
      </c>
      <c r="S167" s="68">
        <f>823.27</f>
        <v>823.27</v>
      </c>
      <c r="T167" s="65">
        <f>174117241</f>
        <v>174117241</v>
      </c>
      <c r="U167" s="65">
        <f>444632</f>
        <v>444632</v>
      </c>
      <c r="V167" s="65">
        <f>143089033999</f>
        <v>143089033999</v>
      </c>
      <c r="W167" s="65">
        <f>361355774</f>
        <v>361355774</v>
      </c>
      <c r="X167" s="69">
        <f>22</f>
        <v>22</v>
      </c>
    </row>
    <row r="168" spans="1:24">
      <c r="A168" s="60" t="s">
        <v>844</v>
      </c>
      <c r="B168" s="60" t="s">
        <v>737</v>
      </c>
      <c r="C168" s="60" t="s">
        <v>738</v>
      </c>
      <c r="D168" s="60" t="s">
        <v>739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</v>
      </c>
      <c r="K168" s="66">
        <f>17990</f>
        <v>17990</v>
      </c>
      <c r="L168" s="67" t="s">
        <v>840</v>
      </c>
      <c r="M168" s="66">
        <f>18270</f>
        <v>18270</v>
      </c>
      <c r="N168" s="67" t="s">
        <v>50</v>
      </c>
      <c r="O168" s="66">
        <f>17430</f>
        <v>17430</v>
      </c>
      <c r="P168" s="67" t="s">
        <v>815</v>
      </c>
      <c r="Q168" s="66">
        <f>18260</f>
        <v>18260</v>
      </c>
      <c r="R168" s="67" t="s">
        <v>50</v>
      </c>
      <c r="S168" s="68">
        <f>17900.91</f>
        <v>17900.91</v>
      </c>
      <c r="T168" s="65">
        <f>3595</f>
        <v>3595</v>
      </c>
      <c r="U168" s="65" t="str">
        <f>"－"</f>
        <v>－</v>
      </c>
      <c r="V168" s="65">
        <f>64491470</f>
        <v>64491470</v>
      </c>
      <c r="W168" s="65" t="str">
        <f>"－"</f>
        <v>－</v>
      </c>
      <c r="X168" s="69">
        <f>22</f>
        <v>22</v>
      </c>
    </row>
    <row r="169" spans="1:24">
      <c r="A169" s="60" t="s">
        <v>844</v>
      </c>
      <c r="B169" s="60" t="s">
        <v>740</v>
      </c>
      <c r="C169" s="60" t="s">
        <v>741</v>
      </c>
      <c r="D169" s="60" t="s">
        <v>742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10</v>
      </c>
      <c r="K169" s="66">
        <f>1758</f>
        <v>1758</v>
      </c>
      <c r="L169" s="67" t="s">
        <v>840</v>
      </c>
      <c r="M169" s="66">
        <f>2256</f>
        <v>2256</v>
      </c>
      <c r="N169" s="67" t="s">
        <v>814</v>
      </c>
      <c r="O169" s="66">
        <f>1751</f>
        <v>1751</v>
      </c>
      <c r="P169" s="67" t="s">
        <v>815</v>
      </c>
      <c r="Q169" s="66">
        <f>1872</f>
        <v>1872</v>
      </c>
      <c r="R169" s="67" t="s">
        <v>50</v>
      </c>
      <c r="S169" s="68">
        <f>1915.27</f>
        <v>1915.27</v>
      </c>
      <c r="T169" s="65">
        <f>31440</f>
        <v>31440</v>
      </c>
      <c r="U169" s="65" t="str">
        <f>"－"</f>
        <v>－</v>
      </c>
      <c r="V169" s="65">
        <f>62713660</f>
        <v>62713660</v>
      </c>
      <c r="W169" s="65" t="str">
        <f>"－"</f>
        <v>－</v>
      </c>
      <c r="X169" s="69">
        <f>22</f>
        <v>22</v>
      </c>
    </row>
    <row r="170" spans="1:24">
      <c r="A170" s="60" t="s">
        <v>844</v>
      </c>
      <c r="B170" s="60" t="s">
        <v>743</v>
      </c>
      <c r="C170" s="60" t="s">
        <v>744</v>
      </c>
      <c r="D170" s="60" t="s">
        <v>745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</v>
      </c>
      <c r="K170" s="66">
        <f>11400</f>
        <v>11400</v>
      </c>
      <c r="L170" s="67" t="s">
        <v>840</v>
      </c>
      <c r="M170" s="66">
        <f>11400</f>
        <v>11400</v>
      </c>
      <c r="N170" s="67" t="s">
        <v>840</v>
      </c>
      <c r="O170" s="66">
        <f>9160</f>
        <v>9160</v>
      </c>
      <c r="P170" s="67" t="s">
        <v>821</v>
      </c>
      <c r="Q170" s="66">
        <f>10090</f>
        <v>10090</v>
      </c>
      <c r="R170" s="67" t="s">
        <v>50</v>
      </c>
      <c r="S170" s="68">
        <f>10055.5</f>
        <v>10055.5</v>
      </c>
      <c r="T170" s="65">
        <f>1317</f>
        <v>1317</v>
      </c>
      <c r="U170" s="65" t="str">
        <f>"－"</f>
        <v>－</v>
      </c>
      <c r="V170" s="65">
        <f>13719280</f>
        <v>13719280</v>
      </c>
      <c r="W170" s="65" t="str">
        <f>"－"</f>
        <v>－</v>
      </c>
      <c r="X170" s="69">
        <f>20</f>
        <v>20</v>
      </c>
    </row>
    <row r="171" spans="1:24">
      <c r="A171" s="60" t="s">
        <v>844</v>
      </c>
      <c r="B171" s="60" t="s">
        <v>746</v>
      </c>
      <c r="C171" s="60" t="s">
        <v>747</v>
      </c>
      <c r="D171" s="60" t="s">
        <v>748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</v>
      </c>
      <c r="K171" s="66">
        <f>23490</f>
        <v>23490</v>
      </c>
      <c r="L171" s="67" t="s">
        <v>840</v>
      </c>
      <c r="M171" s="66">
        <f>24480</f>
        <v>24480</v>
      </c>
      <c r="N171" s="67" t="s">
        <v>119</v>
      </c>
      <c r="O171" s="66">
        <f>19410</f>
        <v>19410</v>
      </c>
      <c r="P171" s="67" t="s">
        <v>815</v>
      </c>
      <c r="Q171" s="66">
        <f>22390</f>
        <v>22390</v>
      </c>
      <c r="R171" s="67" t="s">
        <v>50</v>
      </c>
      <c r="S171" s="68">
        <f>23203.75</f>
        <v>23203.75</v>
      </c>
      <c r="T171" s="65">
        <f>428</f>
        <v>428</v>
      </c>
      <c r="U171" s="65" t="str">
        <f>"－"</f>
        <v>－</v>
      </c>
      <c r="V171" s="65">
        <f>9664960</f>
        <v>9664960</v>
      </c>
      <c r="W171" s="65" t="str">
        <f>"－"</f>
        <v>－</v>
      </c>
      <c r="X171" s="69">
        <f>16</f>
        <v>16</v>
      </c>
    </row>
    <row r="172" spans="1:24">
      <c r="A172" s="60" t="s">
        <v>844</v>
      </c>
      <c r="B172" s="60" t="s">
        <v>749</v>
      </c>
      <c r="C172" s="60" t="s">
        <v>750</v>
      </c>
      <c r="D172" s="60" t="s">
        <v>751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</v>
      </c>
      <c r="K172" s="66">
        <f>13100</f>
        <v>13100</v>
      </c>
      <c r="L172" s="67" t="s">
        <v>840</v>
      </c>
      <c r="M172" s="66">
        <f>14330</f>
        <v>14330</v>
      </c>
      <c r="N172" s="67" t="s">
        <v>65</v>
      </c>
      <c r="O172" s="66">
        <f>13100</f>
        <v>13100</v>
      </c>
      <c r="P172" s="67" t="s">
        <v>840</v>
      </c>
      <c r="Q172" s="66">
        <f>14330</f>
        <v>14330</v>
      </c>
      <c r="R172" s="67" t="s">
        <v>65</v>
      </c>
      <c r="S172" s="68">
        <f>13715</f>
        <v>13715</v>
      </c>
      <c r="T172" s="65">
        <f>4</f>
        <v>4</v>
      </c>
      <c r="U172" s="65" t="str">
        <f>"－"</f>
        <v>－</v>
      </c>
      <c r="V172" s="65">
        <f>54860</f>
        <v>54860</v>
      </c>
      <c r="W172" s="65" t="str">
        <f>"－"</f>
        <v>－</v>
      </c>
      <c r="X172" s="69">
        <f>2</f>
        <v>2</v>
      </c>
    </row>
    <row r="173" spans="1:24">
      <c r="A173" s="60" t="s">
        <v>844</v>
      </c>
      <c r="B173" s="60" t="s">
        <v>547</v>
      </c>
      <c r="C173" s="60" t="s">
        <v>548</v>
      </c>
      <c r="D173" s="60" t="s">
        <v>549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</v>
      </c>
      <c r="K173" s="66">
        <f>50700</f>
        <v>50700</v>
      </c>
      <c r="L173" s="67" t="s">
        <v>840</v>
      </c>
      <c r="M173" s="66">
        <f>51600</f>
        <v>51600</v>
      </c>
      <c r="N173" s="67" t="s">
        <v>817</v>
      </c>
      <c r="O173" s="66">
        <f>48900</f>
        <v>48900</v>
      </c>
      <c r="P173" s="67" t="s">
        <v>840</v>
      </c>
      <c r="Q173" s="66">
        <f>51100</f>
        <v>51100</v>
      </c>
      <c r="R173" s="67" t="s">
        <v>50</v>
      </c>
      <c r="S173" s="68">
        <f>50928.57</f>
        <v>50928.57</v>
      </c>
      <c r="T173" s="65">
        <f>11910</f>
        <v>11910</v>
      </c>
      <c r="U173" s="65">
        <f>6870</f>
        <v>6870</v>
      </c>
      <c r="V173" s="65">
        <f>605643446</f>
        <v>605643446</v>
      </c>
      <c r="W173" s="65">
        <f>350186446</f>
        <v>350186446</v>
      </c>
      <c r="X173" s="69">
        <f>21</f>
        <v>21</v>
      </c>
    </row>
    <row r="174" spans="1:24">
      <c r="A174" s="60" t="s">
        <v>844</v>
      </c>
      <c r="B174" s="60" t="s">
        <v>550</v>
      </c>
      <c r="C174" s="60" t="s">
        <v>551</v>
      </c>
      <c r="D174" s="60" t="s">
        <v>552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100</v>
      </c>
      <c r="K174" s="66">
        <f>123</f>
        <v>123</v>
      </c>
      <c r="L174" s="67" t="s">
        <v>840</v>
      </c>
      <c r="M174" s="66">
        <f>135</f>
        <v>135</v>
      </c>
      <c r="N174" s="67" t="s">
        <v>65</v>
      </c>
      <c r="O174" s="66">
        <f>118</f>
        <v>118</v>
      </c>
      <c r="P174" s="67" t="s">
        <v>815</v>
      </c>
      <c r="Q174" s="66">
        <f>131</f>
        <v>131</v>
      </c>
      <c r="R174" s="67" t="s">
        <v>50</v>
      </c>
      <c r="S174" s="68">
        <f>128.5</f>
        <v>128.5</v>
      </c>
      <c r="T174" s="65">
        <f>14960300</f>
        <v>14960300</v>
      </c>
      <c r="U174" s="65">
        <f>65900</f>
        <v>65900</v>
      </c>
      <c r="V174" s="65">
        <f>1922850518</f>
        <v>1922850518</v>
      </c>
      <c r="W174" s="65">
        <f>8515318</f>
        <v>8515318</v>
      </c>
      <c r="X174" s="69">
        <f>22</f>
        <v>22</v>
      </c>
    </row>
    <row r="175" spans="1:24">
      <c r="A175" s="60" t="s">
        <v>844</v>
      </c>
      <c r="B175" s="60" t="s">
        <v>553</v>
      </c>
      <c r="C175" s="60" t="s">
        <v>554</v>
      </c>
      <c r="D175" s="60" t="s">
        <v>555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24270</f>
        <v>24270</v>
      </c>
      <c r="L175" s="67" t="s">
        <v>840</v>
      </c>
      <c r="M175" s="66">
        <f>26680</f>
        <v>26680</v>
      </c>
      <c r="N175" s="67" t="s">
        <v>119</v>
      </c>
      <c r="O175" s="66">
        <f>23600</f>
        <v>23600</v>
      </c>
      <c r="P175" s="67" t="s">
        <v>86</v>
      </c>
      <c r="Q175" s="66">
        <f>24540</f>
        <v>24540</v>
      </c>
      <c r="R175" s="67" t="s">
        <v>50</v>
      </c>
      <c r="S175" s="68">
        <f>24984.09</f>
        <v>24984.09</v>
      </c>
      <c r="T175" s="65">
        <f>21940</f>
        <v>21940</v>
      </c>
      <c r="U175" s="65" t="str">
        <f>"－"</f>
        <v>－</v>
      </c>
      <c r="V175" s="65">
        <f>546747400</f>
        <v>546747400</v>
      </c>
      <c r="W175" s="65" t="str">
        <f>"－"</f>
        <v>－</v>
      </c>
      <c r="X175" s="69">
        <f>22</f>
        <v>22</v>
      </c>
    </row>
    <row r="176" spans="1:24">
      <c r="A176" s="60" t="s">
        <v>844</v>
      </c>
      <c r="B176" s="60" t="s">
        <v>556</v>
      </c>
      <c r="C176" s="60" t="s">
        <v>557</v>
      </c>
      <c r="D176" s="60" t="s">
        <v>558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2387</f>
        <v>2387</v>
      </c>
      <c r="L176" s="67" t="s">
        <v>840</v>
      </c>
      <c r="M176" s="66">
        <f>2590</f>
        <v>2590</v>
      </c>
      <c r="N176" s="67" t="s">
        <v>65</v>
      </c>
      <c r="O176" s="66">
        <f>2330</f>
        <v>2330</v>
      </c>
      <c r="P176" s="67" t="s">
        <v>86</v>
      </c>
      <c r="Q176" s="66">
        <f>2438</f>
        <v>2438</v>
      </c>
      <c r="R176" s="67" t="s">
        <v>50</v>
      </c>
      <c r="S176" s="68">
        <f>2461.36</f>
        <v>2461.36</v>
      </c>
      <c r="T176" s="65">
        <f>135520</f>
        <v>135520</v>
      </c>
      <c r="U176" s="65" t="str">
        <f>"－"</f>
        <v>－</v>
      </c>
      <c r="V176" s="65">
        <f>333697970</f>
        <v>333697970</v>
      </c>
      <c r="W176" s="65" t="str">
        <f>"－"</f>
        <v>－</v>
      </c>
      <c r="X176" s="69">
        <f>22</f>
        <v>22</v>
      </c>
    </row>
    <row r="177" spans="1:24">
      <c r="A177" s="60" t="s">
        <v>844</v>
      </c>
      <c r="B177" s="60" t="s">
        <v>559</v>
      </c>
      <c r="C177" s="60" t="s">
        <v>560</v>
      </c>
      <c r="D177" s="60" t="s">
        <v>561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</v>
      </c>
      <c r="K177" s="66">
        <f>1254</f>
        <v>1254</v>
      </c>
      <c r="L177" s="67" t="s">
        <v>840</v>
      </c>
      <c r="M177" s="66">
        <f>1409</f>
        <v>1409</v>
      </c>
      <c r="N177" s="67" t="s">
        <v>65</v>
      </c>
      <c r="O177" s="66">
        <f>1254</f>
        <v>1254</v>
      </c>
      <c r="P177" s="67" t="s">
        <v>840</v>
      </c>
      <c r="Q177" s="66">
        <f>1350</f>
        <v>1350</v>
      </c>
      <c r="R177" s="67" t="s">
        <v>50</v>
      </c>
      <c r="S177" s="68">
        <f>1344.64</f>
        <v>1344.64</v>
      </c>
      <c r="T177" s="65">
        <f>265740</f>
        <v>265740</v>
      </c>
      <c r="U177" s="65">
        <f>150</f>
        <v>150</v>
      </c>
      <c r="V177" s="65">
        <f>357249530</f>
        <v>357249530</v>
      </c>
      <c r="W177" s="65">
        <f>202530</f>
        <v>202530</v>
      </c>
      <c r="X177" s="69">
        <f>22</f>
        <v>22</v>
      </c>
    </row>
    <row r="178" spans="1:24">
      <c r="A178" s="60" t="s">
        <v>844</v>
      </c>
      <c r="B178" s="60" t="s">
        <v>562</v>
      </c>
      <c r="C178" s="60" t="s">
        <v>563</v>
      </c>
      <c r="D178" s="60" t="s">
        <v>564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100</v>
      </c>
      <c r="K178" s="66">
        <f>154</f>
        <v>154</v>
      </c>
      <c r="L178" s="67" t="s">
        <v>840</v>
      </c>
      <c r="M178" s="66">
        <f>159</f>
        <v>159</v>
      </c>
      <c r="N178" s="67" t="s">
        <v>833</v>
      </c>
      <c r="O178" s="66">
        <f>146</f>
        <v>146</v>
      </c>
      <c r="P178" s="67" t="s">
        <v>86</v>
      </c>
      <c r="Q178" s="66">
        <f>153</f>
        <v>153</v>
      </c>
      <c r="R178" s="67" t="s">
        <v>50</v>
      </c>
      <c r="S178" s="68">
        <f>153.32</f>
        <v>153.32</v>
      </c>
      <c r="T178" s="65">
        <f>274000</f>
        <v>274000</v>
      </c>
      <c r="U178" s="65" t="str">
        <f t="shared" ref="U178:U194" si="4">"－"</f>
        <v>－</v>
      </c>
      <c r="V178" s="65">
        <f>42094900</f>
        <v>42094900</v>
      </c>
      <c r="W178" s="65" t="str">
        <f t="shared" ref="W178:W194" si="5">"－"</f>
        <v>－</v>
      </c>
      <c r="X178" s="69">
        <f>22</f>
        <v>22</v>
      </c>
    </row>
    <row r="179" spans="1:24">
      <c r="A179" s="60" t="s">
        <v>844</v>
      </c>
      <c r="B179" s="60" t="s">
        <v>565</v>
      </c>
      <c r="C179" s="60" t="s">
        <v>566</v>
      </c>
      <c r="D179" s="60" t="s">
        <v>567</v>
      </c>
      <c r="E179" s="61" t="s">
        <v>46</v>
      </c>
      <c r="F179" s="62" t="s">
        <v>46</v>
      </c>
      <c r="G179" s="63" t="s">
        <v>46</v>
      </c>
      <c r="H179" s="64" t="s">
        <v>843</v>
      </c>
      <c r="I179" s="64" t="s">
        <v>47</v>
      </c>
      <c r="J179" s="65">
        <v>10</v>
      </c>
      <c r="K179" s="66">
        <f>5140</f>
        <v>5140</v>
      </c>
      <c r="L179" s="67" t="s">
        <v>840</v>
      </c>
      <c r="M179" s="66">
        <f>5470</f>
        <v>5470</v>
      </c>
      <c r="N179" s="67" t="s">
        <v>814</v>
      </c>
      <c r="O179" s="66">
        <f>5070</f>
        <v>5070</v>
      </c>
      <c r="P179" s="67" t="s">
        <v>79</v>
      </c>
      <c r="Q179" s="66">
        <f>5350</f>
        <v>5350</v>
      </c>
      <c r="R179" s="67" t="s">
        <v>245</v>
      </c>
      <c r="S179" s="68">
        <f>5220.56</f>
        <v>5220.5600000000004</v>
      </c>
      <c r="T179" s="65">
        <f>2200</f>
        <v>2200</v>
      </c>
      <c r="U179" s="65" t="str">
        <f t="shared" si="4"/>
        <v>－</v>
      </c>
      <c r="V179" s="65">
        <f>11432300</f>
        <v>11432300</v>
      </c>
      <c r="W179" s="65" t="str">
        <f t="shared" si="5"/>
        <v>－</v>
      </c>
      <c r="X179" s="69">
        <f>18</f>
        <v>18</v>
      </c>
    </row>
    <row r="180" spans="1:24">
      <c r="A180" s="60" t="s">
        <v>844</v>
      </c>
      <c r="B180" s="60" t="s">
        <v>752</v>
      </c>
      <c r="C180" s="60" t="s">
        <v>753</v>
      </c>
      <c r="D180" s="60" t="s">
        <v>754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 t="str">
        <f>"－"</f>
        <v>－</v>
      </c>
      <c r="L180" s="67"/>
      <c r="M180" s="66" t="str">
        <f>"－"</f>
        <v>－</v>
      </c>
      <c r="N180" s="67"/>
      <c r="O180" s="66" t="str">
        <f>"－"</f>
        <v>－</v>
      </c>
      <c r="P180" s="67"/>
      <c r="Q180" s="66" t="str">
        <f>"－"</f>
        <v>－</v>
      </c>
      <c r="R180" s="67"/>
      <c r="S180" s="68" t="str">
        <f>"－"</f>
        <v>－</v>
      </c>
      <c r="T180" s="65" t="str">
        <f>"－"</f>
        <v>－</v>
      </c>
      <c r="U180" s="65" t="str">
        <f t="shared" si="4"/>
        <v>－</v>
      </c>
      <c r="V180" s="65" t="str">
        <f>"－"</f>
        <v>－</v>
      </c>
      <c r="W180" s="65" t="str">
        <f t="shared" si="5"/>
        <v>－</v>
      </c>
      <c r="X180" s="69" t="str">
        <f>"－"</f>
        <v>－</v>
      </c>
    </row>
    <row r="181" spans="1:24">
      <c r="A181" s="60" t="s">
        <v>844</v>
      </c>
      <c r="B181" s="60" t="s">
        <v>755</v>
      </c>
      <c r="C181" s="60" t="s">
        <v>756</v>
      </c>
      <c r="D181" s="60" t="s">
        <v>757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248</f>
        <v>248</v>
      </c>
      <c r="L181" s="67" t="s">
        <v>840</v>
      </c>
      <c r="M181" s="66">
        <f>303</f>
        <v>303</v>
      </c>
      <c r="N181" s="67" t="s">
        <v>119</v>
      </c>
      <c r="O181" s="66">
        <f>200</f>
        <v>200</v>
      </c>
      <c r="P181" s="67" t="s">
        <v>50</v>
      </c>
      <c r="Q181" s="66">
        <f>262</f>
        <v>262</v>
      </c>
      <c r="R181" s="67" t="s">
        <v>50</v>
      </c>
      <c r="S181" s="68">
        <f>276.57</f>
        <v>276.57</v>
      </c>
      <c r="T181" s="65">
        <f>19240</f>
        <v>19240</v>
      </c>
      <c r="U181" s="65" t="str">
        <f t="shared" si="4"/>
        <v>－</v>
      </c>
      <c r="V181" s="65">
        <f>5168850</f>
        <v>5168850</v>
      </c>
      <c r="W181" s="65" t="str">
        <f t="shared" si="5"/>
        <v>－</v>
      </c>
      <c r="X181" s="69">
        <f>21</f>
        <v>21</v>
      </c>
    </row>
    <row r="182" spans="1:24">
      <c r="A182" s="60" t="s">
        <v>844</v>
      </c>
      <c r="B182" s="60" t="s">
        <v>758</v>
      </c>
      <c r="C182" s="60" t="s">
        <v>759</v>
      </c>
      <c r="D182" s="60" t="s">
        <v>760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</v>
      </c>
      <c r="K182" s="66">
        <f>1060</f>
        <v>1060</v>
      </c>
      <c r="L182" s="67" t="s">
        <v>65</v>
      </c>
      <c r="M182" s="66">
        <f>1080</f>
        <v>1080</v>
      </c>
      <c r="N182" s="67" t="s">
        <v>65</v>
      </c>
      <c r="O182" s="66">
        <f>1022</f>
        <v>1022</v>
      </c>
      <c r="P182" s="67" t="s">
        <v>175</v>
      </c>
      <c r="Q182" s="66">
        <f>1022</f>
        <v>1022</v>
      </c>
      <c r="R182" s="67" t="s">
        <v>175</v>
      </c>
      <c r="S182" s="68">
        <f>1060.67</f>
        <v>1060.67</v>
      </c>
      <c r="T182" s="65">
        <f>200</f>
        <v>200</v>
      </c>
      <c r="U182" s="65" t="str">
        <f t="shared" si="4"/>
        <v>－</v>
      </c>
      <c r="V182" s="65">
        <f>214040</f>
        <v>214040</v>
      </c>
      <c r="W182" s="65" t="str">
        <f t="shared" si="5"/>
        <v>－</v>
      </c>
      <c r="X182" s="69">
        <f>3</f>
        <v>3</v>
      </c>
    </row>
    <row r="183" spans="1:24">
      <c r="A183" s="60" t="s">
        <v>844</v>
      </c>
      <c r="B183" s="60" t="s">
        <v>761</v>
      </c>
      <c r="C183" s="60" t="s">
        <v>762</v>
      </c>
      <c r="D183" s="60" t="s">
        <v>763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</v>
      </c>
      <c r="K183" s="66">
        <f>432</f>
        <v>432</v>
      </c>
      <c r="L183" s="67" t="s">
        <v>840</v>
      </c>
      <c r="M183" s="66">
        <f>475</f>
        <v>475</v>
      </c>
      <c r="N183" s="67" t="s">
        <v>86</v>
      </c>
      <c r="O183" s="66">
        <f>412</f>
        <v>412</v>
      </c>
      <c r="P183" s="67" t="s">
        <v>821</v>
      </c>
      <c r="Q183" s="66">
        <f>428</f>
        <v>428</v>
      </c>
      <c r="R183" s="67" t="s">
        <v>50</v>
      </c>
      <c r="S183" s="68">
        <f>437.59</f>
        <v>437.59</v>
      </c>
      <c r="T183" s="65">
        <f>8880</f>
        <v>8880</v>
      </c>
      <c r="U183" s="65" t="str">
        <f t="shared" si="4"/>
        <v>－</v>
      </c>
      <c r="V183" s="65">
        <f>3933950</f>
        <v>3933950</v>
      </c>
      <c r="W183" s="65" t="str">
        <f t="shared" si="5"/>
        <v>－</v>
      </c>
      <c r="X183" s="69">
        <f>22</f>
        <v>22</v>
      </c>
    </row>
    <row r="184" spans="1:24">
      <c r="A184" s="60" t="s">
        <v>844</v>
      </c>
      <c r="B184" s="60" t="s">
        <v>764</v>
      </c>
      <c r="C184" s="60" t="s">
        <v>765</v>
      </c>
      <c r="D184" s="60" t="s">
        <v>766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</v>
      </c>
      <c r="K184" s="66">
        <f>278</f>
        <v>278</v>
      </c>
      <c r="L184" s="67" t="s">
        <v>840</v>
      </c>
      <c r="M184" s="66">
        <f>296</f>
        <v>296</v>
      </c>
      <c r="N184" s="67" t="s">
        <v>65</v>
      </c>
      <c r="O184" s="66">
        <f>267</f>
        <v>267</v>
      </c>
      <c r="P184" s="67" t="s">
        <v>245</v>
      </c>
      <c r="Q184" s="66">
        <f>273</f>
        <v>273</v>
      </c>
      <c r="R184" s="67" t="s">
        <v>50</v>
      </c>
      <c r="S184" s="68">
        <f>279.32</f>
        <v>279.32</v>
      </c>
      <c r="T184" s="65">
        <f>979340</f>
        <v>979340</v>
      </c>
      <c r="U184" s="65" t="str">
        <f t="shared" si="4"/>
        <v>－</v>
      </c>
      <c r="V184" s="65">
        <f>274691410</f>
        <v>274691410</v>
      </c>
      <c r="W184" s="65" t="str">
        <f t="shared" si="5"/>
        <v>－</v>
      </c>
      <c r="X184" s="69">
        <f>22</f>
        <v>22</v>
      </c>
    </row>
    <row r="185" spans="1:24">
      <c r="A185" s="60" t="s">
        <v>844</v>
      </c>
      <c r="B185" s="60" t="s">
        <v>767</v>
      </c>
      <c r="C185" s="60" t="s">
        <v>768</v>
      </c>
      <c r="D185" s="60" t="s">
        <v>769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100</v>
      </c>
      <c r="K185" s="66">
        <f>2</f>
        <v>2</v>
      </c>
      <c r="L185" s="67" t="s">
        <v>840</v>
      </c>
      <c r="M185" s="66">
        <f>2</f>
        <v>2</v>
      </c>
      <c r="N185" s="67" t="s">
        <v>840</v>
      </c>
      <c r="O185" s="66">
        <f>1</f>
        <v>1</v>
      </c>
      <c r="P185" s="67" t="s">
        <v>840</v>
      </c>
      <c r="Q185" s="66">
        <f>2</f>
        <v>2</v>
      </c>
      <c r="R185" s="67" t="s">
        <v>50</v>
      </c>
      <c r="S185" s="68">
        <f>1.73</f>
        <v>1.73</v>
      </c>
      <c r="T185" s="65">
        <f>224761800</f>
        <v>224761800</v>
      </c>
      <c r="U185" s="65" t="str">
        <f t="shared" si="4"/>
        <v>－</v>
      </c>
      <c r="V185" s="65">
        <f>415887600</f>
        <v>415887600</v>
      </c>
      <c r="W185" s="65" t="str">
        <f t="shared" si="5"/>
        <v>－</v>
      </c>
      <c r="X185" s="69">
        <f>22</f>
        <v>22</v>
      </c>
    </row>
    <row r="186" spans="1:24">
      <c r="A186" s="60" t="s">
        <v>844</v>
      </c>
      <c r="B186" s="60" t="s">
        <v>770</v>
      </c>
      <c r="C186" s="60" t="s">
        <v>771</v>
      </c>
      <c r="D186" s="60" t="s">
        <v>772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10</v>
      </c>
      <c r="K186" s="66">
        <f>362</f>
        <v>362</v>
      </c>
      <c r="L186" s="67" t="s">
        <v>840</v>
      </c>
      <c r="M186" s="66">
        <f>422</f>
        <v>422</v>
      </c>
      <c r="N186" s="67" t="s">
        <v>65</v>
      </c>
      <c r="O186" s="66">
        <f>338</f>
        <v>338</v>
      </c>
      <c r="P186" s="67" t="s">
        <v>815</v>
      </c>
      <c r="Q186" s="66">
        <f>398</f>
        <v>398</v>
      </c>
      <c r="R186" s="67" t="s">
        <v>50</v>
      </c>
      <c r="S186" s="68">
        <f>386.45</f>
        <v>386.45</v>
      </c>
      <c r="T186" s="65">
        <f>8175830</f>
        <v>8175830</v>
      </c>
      <c r="U186" s="65" t="str">
        <f t="shared" si="4"/>
        <v>－</v>
      </c>
      <c r="V186" s="65">
        <f>3158078700</f>
        <v>3158078700</v>
      </c>
      <c r="W186" s="65" t="str">
        <f t="shared" si="5"/>
        <v>－</v>
      </c>
      <c r="X186" s="69">
        <f>22</f>
        <v>22</v>
      </c>
    </row>
    <row r="187" spans="1:24">
      <c r="A187" s="60" t="s">
        <v>844</v>
      </c>
      <c r="B187" s="60" t="s">
        <v>773</v>
      </c>
      <c r="C187" s="60" t="s">
        <v>774</v>
      </c>
      <c r="D187" s="60" t="s">
        <v>775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</v>
      </c>
      <c r="K187" s="66">
        <f>1650</f>
        <v>1650</v>
      </c>
      <c r="L187" s="67" t="s">
        <v>840</v>
      </c>
      <c r="M187" s="66">
        <f>2100</f>
        <v>2100</v>
      </c>
      <c r="N187" s="67" t="s">
        <v>175</v>
      </c>
      <c r="O187" s="66">
        <f>1650</f>
        <v>1650</v>
      </c>
      <c r="P187" s="67" t="s">
        <v>840</v>
      </c>
      <c r="Q187" s="66">
        <f>1940</f>
        <v>1940</v>
      </c>
      <c r="R187" s="67" t="s">
        <v>50</v>
      </c>
      <c r="S187" s="68">
        <f>1947.9</f>
        <v>1947.9</v>
      </c>
      <c r="T187" s="65">
        <f>3716</f>
        <v>3716</v>
      </c>
      <c r="U187" s="65" t="str">
        <f t="shared" si="4"/>
        <v>－</v>
      </c>
      <c r="V187" s="65">
        <f>7335411</f>
        <v>7335411</v>
      </c>
      <c r="W187" s="65" t="str">
        <f t="shared" si="5"/>
        <v>－</v>
      </c>
      <c r="X187" s="69">
        <f>21</f>
        <v>21</v>
      </c>
    </row>
    <row r="188" spans="1:24">
      <c r="A188" s="60" t="s">
        <v>844</v>
      </c>
      <c r="B188" s="60" t="s">
        <v>776</v>
      </c>
      <c r="C188" s="60" t="s">
        <v>777</v>
      </c>
      <c r="D188" s="60" t="s">
        <v>778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100</v>
      </c>
      <c r="K188" s="66">
        <f>264</f>
        <v>264</v>
      </c>
      <c r="L188" s="67" t="s">
        <v>840</v>
      </c>
      <c r="M188" s="66">
        <f>273</f>
        <v>273</v>
      </c>
      <c r="N188" s="67" t="s">
        <v>65</v>
      </c>
      <c r="O188" s="66">
        <f>263</f>
        <v>263</v>
      </c>
      <c r="P188" s="67" t="s">
        <v>840</v>
      </c>
      <c r="Q188" s="66">
        <f>269</f>
        <v>269</v>
      </c>
      <c r="R188" s="67" t="s">
        <v>72</v>
      </c>
      <c r="S188" s="68">
        <f>269.5</f>
        <v>269.5</v>
      </c>
      <c r="T188" s="65">
        <f>2700</f>
        <v>2700</v>
      </c>
      <c r="U188" s="65" t="str">
        <f t="shared" si="4"/>
        <v>－</v>
      </c>
      <c r="V188" s="65">
        <f>723200</f>
        <v>723200</v>
      </c>
      <c r="W188" s="65" t="str">
        <f t="shared" si="5"/>
        <v>－</v>
      </c>
      <c r="X188" s="69">
        <f>8</f>
        <v>8</v>
      </c>
    </row>
    <row r="189" spans="1:24">
      <c r="A189" s="60" t="s">
        <v>844</v>
      </c>
      <c r="B189" s="60" t="s">
        <v>779</v>
      </c>
      <c r="C189" s="60" t="s">
        <v>780</v>
      </c>
      <c r="D189" s="60" t="s">
        <v>781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</v>
      </c>
      <c r="K189" s="66">
        <f>2607</f>
        <v>2607</v>
      </c>
      <c r="L189" s="67" t="s">
        <v>840</v>
      </c>
      <c r="M189" s="66">
        <f>3200</f>
        <v>3200</v>
      </c>
      <c r="N189" s="67" t="s">
        <v>245</v>
      </c>
      <c r="O189" s="66">
        <f>2607</f>
        <v>2607</v>
      </c>
      <c r="P189" s="67" t="s">
        <v>840</v>
      </c>
      <c r="Q189" s="66">
        <f>3200</f>
        <v>3200</v>
      </c>
      <c r="R189" s="67" t="s">
        <v>50</v>
      </c>
      <c r="S189" s="68">
        <f>2852.41</f>
        <v>2852.41</v>
      </c>
      <c r="T189" s="65">
        <f>2100</f>
        <v>2100</v>
      </c>
      <c r="U189" s="65" t="str">
        <f t="shared" si="4"/>
        <v>－</v>
      </c>
      <c r="V189" s="65">
        <f>6038210</f>
        <v>6038210</v>
      </c>
      <c r="W189" s="65" t="str">
        <f t="shared" si="5"/>
        <v>－</v>
      </c>
      <c r="X189" s="69">
        <f>17</f>
        <v>17</v>
      </c>
    </row>
    <row r="190" spans="1:24">
      <c r="A190" s="60" t="s">
        <v>844</v>
      </c>
      <c r="B190" s="60" t="s">
        <v>782</v>
      </c>
      <c r="C190" s="60" t="s">
        <v>783</v>
      </c>
      <c r="D190" s="60" t="s">
        <v>784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</v>
      </c>
      <c r="K190" s="66">
        <f>1313</f>
        <v>1313</v>
      </c>
      <c r="L190" s="67" t="s">
        <v>814</v>
      </c>
      <c r="M190" s="66">
        <f>1351</f>
        <v>1351</v>
      </c>
      <c r="N190" s="67" t="s">
        <v>61</v>
      </c>
      <c r="O190" s="66">
        <f>1256</f>
        <v>1256</v>
      </c>
      <c r="P190" s="67" t="s">
        <v>819</v>
      </c>
      <c r="Q190" s="66">
        <f>1256</f>
        <v>1256</v>
      </c>
      <c r="R190" s="67" t="s">
        <v>816</v>
      </c>
      <c r="S190" s="68">
        <f>1303.8</f>
        <v>1303.8</v>
      </c>
      <c r="T190" s="65">
        <f>480</f>
        <v>480</v>
      </c>
      <c r="U190" s="65" t="str">
        <f t="shared" si="4"/>
        <v>－</v>
      </c>
      <c r="V190" s="65">
        <f>632260</f>
        <v>632260</v>
      </c>
      <c r="W190" s="65" t="str">
        <f t="shared" si="5"/>
        <v>－</v>
      </c>
      <c r="X190" s="69">
        <f>10</f>
        <v>10</v>
      </c>
    </row>
    <row r="191" spans="1:24">
      <c r="A191" s="60" t="s">
        <v>844</v>
      </c>
      <c r="B191" s="60" t="s">
        <v>785</v>
      </c>
      <c r="C191" s="60" t="s">
        <v>786</v>
      </c>
      <c r="D191" s="60" t="s">
        <v>787</v>
      </c>
      <c r="E191" s="61" t="s">
        <v>46</v>
      </c>
      <c r="F191" s="62" t="s">
        <v>46</v>
      </c>
      <c r="G191" s="63" t="s">
        <v>46</v>
      </c>
      <c r="H191" s="64"/>
      <c r="I191" s="64" t="s">
        <v>47</v>
      </c>
      <c r="J191" s="65">
        <v>100</v>
      </c>
      <c r="K191" s="66">
        <f>66</f>
        <v>66</v>
      </c>
      <c r="L191" s="67" t="s">
        <v>840</v>
      </c>
      <c r="M191" s="66">
        <f>69</f>
        <v>69</v>
      </c>
      <c r="N191" s="67" t="s">
        <v>817</v>
      </c>
      <c r="O191" s="66">
        <f>59</f>
        <v>59</v>
      </c>
      <c r="P191" s="67" t="s">
        <v>245</v>
      </c>
      <c r="Q191" s="66">
        <f>62</f>
        <v>62</v>
      </c>
      <c r="R191" s="67" t="s">
        <v>50</v>
      </c>
      <c r="S191" s="68">
        <f>64</f>
        <v>64</v>
      </c>
      <c r="T191" s="65">
        <f>11629400</f>
        <v>11629400</v>
      </c>
      <c r="U191" s="65" t="str">
        <f t="shared" si="4"/>
        <v>－</v>
      </c>
      <c r="V191" s="65">
        <f>741388900</f>
        <v>741388900</v>
      </c>
      <c r="W191" s="65" t="str">
        <f t="shared" si="5"/>
        <v>－</v>
      </c>
      <c r="X191" s="69">
        <f>22</f>
        <v>22</v>
      </c>
    </row>
    <row r="192" spans="1:24">
      <c r="A192" s="60" t="s">
        <v>844</v>
      </c>
      <c r="B192" s="60" t="s">
        <v>788</v>
      </c>
      <c r="C192" s="60" t="s">
        <v>789</v>
      </c>
      <c r="D192" s="60" t="s">
        <v>790</v>
      </c>
      <c r="E192" s="61" t="s">
        <v>46</v>
      </c>
      <c r="F192" s="62" t="s">
        <v>46</v>
      </c>
      <c r="G192" s="63" t="s">
        <v>46</v>
      </c>
      <c r="H192" s="64"/>
      <c r="I192" s="64" t="s">
        <v>47</v>
      </c>
      <c r="J192" s="65">
        <v>100</v>
      </c>
      <c r="K192" s="66">
        <f>67</f>
        <v>67</v>
      </c>
      <c r="L192" s="67" t="s">
        <v>840</v>
      </c>
      <c r="M192" s="66">
        <f>71</f>
        <v>71</v>
      </c>
      <c r="N192" s="67" t="s">
        <v>65</v>
      </c>
      <c r="O192" s="66">
        <f>63</f>
        <v>63</v>
      </c>
      <c r="P192" s="67" t="s">
        <v>821</v>
      </c>
      <c r="Q192" s="66">
        <f>65</f>
        <v>65</v>
      </c>
      <c r="R192" s="67" t="s">
        <v>50</v>
      </c>
      <c r="S192" s="68">
        <f>66.55</f>
        <v>66.55</v>
      </c>
      <c r="T192" s="65">
        <f>3127000</f>
        <v>3127000</v>
      </c>
      <c r="U192" s="65" t="str">
        <f t="shared" si="4"/>
        <v>－</v>
      </c>
      <c r="V192" s="65">
        <f>206997200</f>
        <v>206997200</v>
      </c>
      <c r="W192" s="65" t="str">
        <f t="shared" si="5"/>
        <v>－</v>
      </c>
      <c r="X192" s="69">
        <f>22</f>
        <v>22</v>
      </c>
    </row>
    <row r="193" spans="1:24">
      <c r="A193" s="60" t="s">
        <v>844</v>
      </c>
      <c r="B193" s="60" t="s">
        <v>791</v>
      </c>
      <c r="C193" s="60" t="s">
        <v>792</v>
      </c>
      <c r="D193" s="60" t="s">
        <v>793</v>
      </c>
      <c r="E193" s="61" t="s">
        <v>46</v>
      </c>
      <c r="F193" s="62" t="s">
        <v>46</v>
      </c>
      <c r="G193" s="63" t="s">
        <v>46</v>
      </c>
      <c r="H193" s="64"/>
      <c r="I193" s="64" t="s">
        <v>47</v>
      </c>
      <c r="J193" s="65">
        <v>10</v>
      </c>
      <c r="K193" s="66">
        <f>1955</f>
        <v>1955</v>
      </c>
      <c r="L193" s="67" t="s">
        <v>840</v>
      </c>
      <c r="M193" s="66">
        <f>1980</f>
        <v>1980</v>
      </c>
      <c r="N193" s="67" t="s">
        <v>65</v>
      </c>
      <c r="O193" s="66">
        <f>1832</f>
        <v>1832</v>
      </c>
      <c r="P193" s="67" t="s">
        <v>815</v>
      </c>
      <c r="Q193" s="66">
        <f>1838</f>
        <v>1838</v>
      </c>
      <c r="R193" s="67" t="s">
        <v>50</v>
      </c>
      <c r="S193" s="68">
        <f>1878.73</f>
        <v>1878.73</v>
      </c>
      <c r="T193" s="65">
        <f>13420</f>
        <v>13420</v>
      </c>
      <c r="U193" s="65" t="str">
        <f t="shared" si="4"/>
        <v>－</v>
      </c>
      <c r="V193" s="65">
        <f>25235830</f>
        <v>25235830</v>
      </c>
      <c r="W193" s="65" t="str">
        <f t="shared" si="5"/>
        <v>－</v>
      </c>
      <c r="X193" s="69">
        <f>22</f>
        <v>22</v>
      </c>
    </row>
    <row r="194" spans="1:24">
      <c r="A194" s="60" t="s">
        <v>844</v>
      </c>
      <c r="B194" s="60" t="s">
        <v>568</v>
      </c>
      <c r="C194" s="60" t="s">
        <v>569</v>
      </c>
      <c r="D194" s="60" t="s">
        <v>570</v>
      </c>
      <c r="E194" s="61" t="s">
        <v>46</v>
      </c>
      <c r="F194" s="62" t="s">
        <v>46</v>
      </c>
      <c r="G194" s="63" t="s">
        <v>46</v>
      </c>
      <c r="H194" s="64"/>
      <c r="I194" s="64" t="s">
        <v>47</v>
      </c>
      <c r="J194" s="65">
        <v>10</v>
      </c>
      <c r="K194" s="66">
        <f>1483</f>
        <v>1483</v>
      </c>
      <c r="L194" s="67" t="s">
        <v>840</v>
      </c>
      <c r="M194" s="66">
        <f>1570</f>
        <v>1570</v>
      </c>
      <c r="N194" s="67" t="s">
        <v>119</v>
      </c>
      <c r="O194" s="66">
        <f>1437</f>
        <v>1437</v>
      </c>
      <c r="P194" s="67" t="s">
        <v>245</v>
      </c>
      <c r="Q194" s="66">
        <f>1452</f>
        <v>1452</v>
      </c>
      <c r="R194" s="67" t="s">
        <v>50</v>
      </c>
      <c r="S194" s="68">
        <f>1496.36</f>
        <v>1496.36</v>
      </c>
      <c r="T194" s="65">
        <f>113740</f>
        <v>113740</v>
      </c>
      <c r="U194" s="65" t="str">
        <f t="shared" si="4"/>
        <v>－</v>
      </c>
      <c r="V194" s="65">
        <f>170133790</f>
        <v>170133790</v>
      </c>
      <c r="W194" s="65" t="str">
        <f t="shared" si="5"/>
        <v>－</v>
      </c>
      <c r="X194" s="69">
        <f>22</f>
        <v>22</v>
      </c>
    </row>
    <row r="195" spans="1:24">
      <c r="A195" s="60" t="s">
        <v>844</v>
      </c>
      <c r="B195" s="60" t="s">
        <v>571</v>
      </c>
      <c r="C195" s="60" t="s">
        <v>572</v>
      </c>
      <c r="D195" s="60" t="s">
        <v>573</v>
      </c>
      <c r="E195" s="61" t="s">
        <v>46</v>
      </c>
      <c r="F195" s="62" t="s">
        <v>46</v>
      </c>
      <c r="G195" s="63" t="s">
        <v>46</v>
      </c>
      <c r="H195" s="64"/>
      <c r="I195" s="64" t="s">
        <v>47</v>
      </c>
      <c r="J195" s="65">
        <v>10</v>
      </c>
      <c r="K195" s="66">
        <f>95</f>
        <v>95</v>
      </c>
      <c r="L195" s="67" t="s">
        <v>840</v>
      </c>
      <c r="M195" s="66">
        <f>110</f>
        <v>110</v>
      </c>
      <c r="N195" s="67" t="s">
        <v>65</v>
      </c>
      <c r="O195" s="66">
        <f>92</f>
        <v>92</v>
      </c>
      <c r="P195" s="67" t="s">
        <v>815</v>
      </c>
      <c r="Q195" s="66">
        <f>104</f>
        <v>104</v>
      </c>
      <c r="R195" s="67" t="s">
        <v>50</v>
      </c>
      <c r="S195" s="68">
        <f>101.23</f>
        <v>101.23</v>
      </c>
      <c r="T195" s="65">
        <f>754691830</f>
        <v>754691830</v>
      </c>
      <c r="U195" s="65">
        <f>5778170</f>
        <v>5778170</v>
      </c>
      <c r="V195" s="65">
        <f>76036979860</f>
        <v>76036979860</v>
      </c>
      <c r="W195" s="65">
        <f>587928400</f>
        <v>587928400</v>
      </c>
      <c r="X195" s="69">
        <f>22</f>
        <v>22</v>
      </c>
    </row>
    <row r="196" spans="1:24">
      <c r="A196" s="60" t="s">
        <v>844</v>
      </c>
      <c r="B196" s="60" t="s">
        <v>574</v>
      </c>
      <c r="C196" s="60" t="s">
        <v>575</v>
      </c>
      <c r="D196" s="60" t="s">
        <v>576</v>
      </c>
      <c r="E196" s="61" t="s">
        <v>46</v>
      </c>
      <c r="F196" s="62" t="s">
        <v>46</v>
      </c>
      <c r="G196" s="63" t="s">
        <v>46</v>
      </c>
      <c r="H196" s="64"/>
      <c r="I196" s="64" t="s">
        <v>577</v>
      </c>
      <c r="J196" s="65">
        <v>1</v>
      </c>
      <c r="K196" s="66">
        <f>7850</f>
        <v>7850</v>
      </c>
      <c r="L196" s="67" t="s">
        <v>840</v>
      </c>
      <c r="M196" s="66">
        <f>9890</f>
        <v>9890</v>
      </c>
      <c r="N196" s="67" t="s">
        <v>65</v>
      </c>
      <c r="O196" s="66">
        <f>7850</f>
        <v>7850</v>
      </c>
      <c r="P196" s="67" t="s">
        <v>840</v>
      </c>
      <c r="Q196" s="66">
        <f>8900</f>
        <v>8900</v>
      </c>
      <c r="R196" s="67" t="s">
        <v>50</v>
      </c>
      <c r="S196" s="68">
        <f>8875.91</f>
        <v>8875.91</v>
      </c>
      <c r="T196" s="65">
        <f>29014</f>
        <v>29014</v>
      </c>
      <c r="U196" s="65" t="str">
        <f>"－"</f>
        <v>－</v>
      </c>
      <c r="V196" s="65">
        <f>256768950</f>
        <v>256768950</v>
      </c>
      <c r="W196" s="65" t="str">
        <f>"－"</f>
        <v>－</v>
      </c>
      <c r="X196" s="69">
        <f>22</f>
        <v>22</v>
      </c>
    </row>
    <row r="197" spans="1:24">
      <c r="A197" s="60" t="s">
        <v>844</v>
      </c>
      <c r="B197" s="60" t="s">
        <v>578</v>
      </c>
      <c r="C197" s="60" t="s">
        <v>579</v>
      </c>
      <c r="D197" s="60" t="s">
        <v>580</v>
      </c>
      <c r="E197" s="61" t="s">
        <v>46</v>
      </c>
      <c r="F197" s="62" t="s">
        <v>46</v>
      </c>
      <c r="G197" s="63" t="s">
        <v>46</v>
      </c>
      <c r="H197" s="64"/>
      <c r="I197" s="64" t="s">
        <v>577</v>
      </c>
      <c r="J197" s="65">
        <v>1</v>
      </c>
      <c r="K197" s="66">
        <f>7150</f>
        <v>7150</v>
      </c>
      <c r="L197" s="67" t="s">
        <v>840</v>
      </c>
      <c r="M197" s="66">
        <f>7150</f>
        <v>7150</v>
      </c>
      <c r="N197" s="67" t="s">
        <v>840</v>
      </c>
      <c r="O197" s="66">
        <f>6260</f>
        <v>6260</v>
      </c>
      <c r="P197" s="67" t="s">
        <v>175</v>
      </c>
      <c r="Q197" s="66">
        <f>6480</f>
        <v>6480</v>
      </c>
      <c r="R197" s="67" t="s">
        <v>50</v>
      </c>
      <c r="S197" s="68">
        <f>6510.91</f>
        <v>6510.91</v>
      </c>
      <c r="T197" s="65">
        <f>9846</f>
        <v>9846</v>
      </c>
      <c r="U197" s="65" t="str">
        <f>"－"</f>
        <v>－</v>
      </c>
      <c r="V197" s="65">
        <f>65198770</f>
        <v>65198770</v>
      </c>
      <c r="W197" s="65" t="str">
        <f>"－"</f>
        <v>－</v>
      </c>
      <c r="X197" s="69">
        <f>22</f>
        <v>22</v>
      </c>
    </row>
    <row r="198" spans="1:24">
      <c r="A198" s="60" t="s">
        <v>844</v>
      </c>
      <c r="B198" s="60" t="s">
        <v>581</v>
      </c>
      <c r="C198" s="60" t="s">
        <v>582</v>
      </c>
      <c r="D198" s="60" t="s">
        <v>583</v>
      </c>
      <c r="E198" s="61" t="s">
        <v>46</v>
      </c>
      <c r="F198" s="62" t="s">
        <v>46</v>
      </c>
      <c r="G198" s="63" t="s">
        <v>46</v>
      </c>
      <c r="H198" s="64"/>
      <c r="I198" s="64" t="s">
        <v>577</v>
      </c>
      <c r="J198" s="65">
        <v>1</v>
      </c>
      <c r="K198" s="66">
        <f>7510</f>
        <v>7510</v>
      </c>
      <c r="L198" s="67" t="s">
        <v>840</v>
      </c>
      <c r="M198" s="66">
        <f>9470</f>
        <v>9470</v>
      </c>
      <c r="N198" s="67" t="s">
        <v>65</v>
      </c>
      <c r="O198" s="66">
        <f>7510</f>
        <v>7510</v>
      </c>
      <c r="P198" s="67" t="s">
        <v>840</v>
      </c>
      <c r="Q198" s="66">
        <f>8360</f>
        <v>8360</v>
      </c>
      <c r="R198" s="67" t="s">
        <v>50</v>
      </c>
      <c r="S198" s="68">
        <f>8361.9</f>
        <v>8361.9</v>
      </c>
      <c r="T198" s="65">
        <f>2106</f>
        <v>2106</v>
      </c>
      <c r="U198" s="65" t="str">
        <f>"－"</f>
        <v>－</v>
      </c>
      <c r="V198" s="65">
        <f>17720430</f>
        <v>17720430</v>
      </c>
      <c r="W198" s="65" t="str">
        <f>"－"</f>
        <v>－</v>
      </c>
      <c r="X198" s="69">
        <f>21</f>
        <v>21</v>
      </c>
    </row>
    <row r="199" spans="1:24">
      <c r="A199" s="60" t="s">
        <v>844</v>
      </c>
      <c r="B199" s="60" t="s">
        <v>584</v>
      </c>
      <c r="C199" s="60" t="s">
        <v>585</v>
      </c>
      <c r="D199" s="60" t="s">
        <v>586</v>
      </c>
      <c r="E199" s="61" t="s">
        <v>46</v>
      </c>
      <c r="F199" s="62" t="s">
        <v>46</v>
      </c>
      <c r="G199" s="63" t="s">
        <v>46</v>
      </c>
      <c r="H199" s="64"/>
      <c r="I199" s="64" t="s">
        <v>577</v>
      </c>
      <c r="J199" s="65">
        <v>1</v>
      </c>
      <c r="K199" s="66">
        <f>8750</f>
        <v>8750</v>
      </c>
      <c r="L199" s="67" t="s">
        <v>840</v>
      </c>
      <c r="M199" s="66">
        <f>8940</f>
        <v>8940</v>
      </c>
      <c r="N199" s="67" t="s">
        <v>840</v>
      </c>
      <c r="O199" s="66">
        <f>8250</f>
        <v>8250</v>
      </c>
      <c r="P199" s="67" t="s">
        <v>65</v>
      </c>
      <c r="Q199" s="66">
        <f>8540</f>
        <v>8540</v>
      </c>
      <c r="R199" s="67" t="s">
        <v>50</v>
      </c>
      <c r="S199" s="68">
        <f>8592.27</f>
        <v>8592.27</v>
      </c>
      <c r="T199" s="65">
        <f>13618</f>
        <v>13618</v>
      </c>
      <c r="U199" s="65" t="str">
        <f>"－"</f>
        <v>－</v>
      </c>
      <c r="V199" s="65">
        <f>116111210</f>
        <v>116111210</v>
      </c>
      <c r="W199" s="65" t="str">
        <f>"－"</f>
        <v>－</v>
      </c>
      <c r="X199" s="69">
        <f>22</f>
        <v>22</v>
      </c>
    </row>
    <row r="200" spans="1:24">
      <c r="A200" s="60" t="s">
        <v>844</v>
      </c>
      <c r="B200" s="60" t="s">
        <v>587</v>
      </c>
      <c r="C200" s="60" t="s">
        <v>588</v>
      </c>
      <c r="D200" s="60" t="s">
        <v>589</v>
      </c>
      <c r="E200" s="61" t="s">
        <v>46</v>
      </c>
      <c r="F200" s="62" t="s">
        <v>46</v>
      </c>
      <c r="G200" s="63" t="s">
        <v>46</v>
      </c>
      <c r="H200" s="64"/>
      <c r="I200" s="64" t="s">
        <v>577</v>
      </c>
      <c r="J200" s="65">
        <v>1</v>
      </c>
      <c r="K200" s="66">
        <f>955</f>
        <v>955</v>
      </c>
      <c r="L200" s="67" t="s">
        <v>840</v>
      </c>
      <c r="M200" s="66">
        <f>1235</f>
        <v>1235</v>
      </c>
      <c r="N200" s="67" t="s">
        <v>815</v>
      </c>
      <c r="O200" s="66">
        <f>876</f>
        <v>876</v>
      </c>
      <c r="P200" s="67" t="s">
        <v>65</v>
      </c>
      <c r="Q200" s="66">
        <f>975</f>
        <v>975</v>
      </c>
      <c r="R200" s="67" t="s">
        <v>50</v>
      </c>
      <c r="S200" s="68">
        <f>981.05</f>
        <v>981.05</v>
      </c>
      <c r="T200" s="65">
        <f>19428893</f>
        <v>19428893</v>
      </c>
      <c r="U200" s="65">
        <f>9471</f>
        <v>9471</v>
      </c>
      <c r="V200" s="65">
        <f>19881907235</f>
        <v>19881907235</v>
      </c>
      <c r="W200" s="65">
        <f>9361685</f>
        <v>9361685</v>
      </c>
      <c r="X200" s="69">
        <f>22</f>
        <v>22</v>
      </c>
    </row>
    <row r="201" spans="1:24">
      <c r="A201" s="60" t="s">
        <v>844</v>
      </c>
      <c r="B201" s="60" t="s">
        <v>590</v>
      </c>
      <c r="C201" s="60" t="s">
        <v>591</v>
      </c>
      <c r="D201" s="60" t="s">
        <v>592</v>
      </c>
      <c r="E201" s="61" t="s">
        <v>46</v>
      </c>
      <c r="F201" s="62" t="s">
        <v>46</v>
      </c>
      <c r="G201" s="63" t="s">
        <v>46</v>
      </c>
      <c r="H201" s="64"/>
      <c r="I201" s="64" t="s">
        <v>577</v>
      </c>
      <c r="J201" s="65">
        <v>1</v>
      </c>
      <c r="K201" s="66">
        <f>16580</f>
        <v>16580</v>
      </c>
      <c r="L201" s="67" t="s">
        <v>840</v>
      </c>
      <c r="M201" s="66">
        <f>17290</f>
        <v>17290</v>
      </c>
      <c r="N201" s="67" t="s">
        <v>50</v>
      </c>
      <c r="O201" s="66">
        <f>15960</f>
        <v>15960</v>
      </c>
      <c r="P201" s="67" t="s">
        <v>815</v>
      </c>
      <c r="Q201" s="66">
        <f>17280</f>
        <v>17280</v>
      </c>
      <c r="R201" s="67" t="s">
        <v>50</v>
      </c>
      <c r="S201" s="68">
        <f>16449.55</f>
        <v>16449.55</v>
      </c>
      <c r="T201" s="65">
        <f>39746</f>
        <v>39746</v>
      </c>
      <c r="U201" s="65" t="str">
        <f>"－"</f>
        <v>－</v>
      </c>
      <c r="V201" s="65">
        <f>655020150</f>
        <v>655020150</v>
      </c>
      <c r="W201" s="65" t="str">
        <f>"－"</f>
        <v>－</v>
      </c>
      <c r="X201" s="69">
        <f>22</f>
        <v>22</v>
      </c>
    </row>
    <row r="202" spans="1:24">
      <c r="A202" s="60" t="s">
        <v>844</v>
      </c>
      <c r="B202" s="60" t="s">
        <v>593</v>
      </c>
      <c r="C202" s="60" t="s">
        <v>594</v>
      </c>
      <c r="D202" s="60" t="s">
        <v>595</v>
      </c>
      <c r="E202" s="61" t="s">
        <v>46</v>
      </c>
      <c r="F202" s="62" t="s">
        <v>46</v>
      </c>
      <c r="G202" s="63" t="s">
        <v>46</v>
      </c>
      <c r="H202" s="64"/>
      <c r="I202" s="64" t="s">
        <v>577</v>
      </c>
      <c r="J202" s="65">
        <v>1</v>
      </c>
      <c r="K202" s="66">
        <f>6060</f>
        <v>6060</v>
      </c>
      <c r="L202" s="67" t="s">
        <v>840</v>
      </c>
      <c r="M202" s="66">
        <f>6220</f>
        <v>6220</v>
      </c>
      <c r="N202" s="67" t="s">
        <v>61</v>
      </c>
      <c r="O202" s="66">
        <f>5900</f>
        <v>5900</v>
      </c>
      <c r="P202" s="67" t="s">
        <v>50</v>
      </c>
      <c r="Q202" s="66">
        <f>5910</f>
        <v>5910</v>
      </c>
      <c r="R202" s="67" t="s">
        <v>50</v>
      </c>
      <c r="S202" s="68">
        <f>6039.09</f>
        <v>6039.09</v>
      </c>
      <c r="T202" s="65">
        <f>22192</f>
        <v>22192</v>
      </c>
      <c r="U202" s="65" t="str">
        <f>"－"</f>
        <v>－</v>
      </c>
      <c r="V202" s="65">
        <f>135115200</f>
        <v>135115200</v>
      </c>
      <c r="W202" s="65" t="str">
        <f>"－"</f>
        <v>－</v>
      </c>
      <c r="X202" s="69">
        <f>22</f>
        <v>22</v>
      </c>
    </row>
    <row r="203" spans="1:24">
      <c r="A203" s="60" t="s">
        <v>844</v>
      </c>
      <c r="B203" s="60" t="s">
        <v>596</v>
      </c>
      <c r="C203" s="60" t="s">
        <v>597</v>
      </c>
      <c r="D203" s="60" t="s">
        <v>598</v>
      </c>
      <c r="E203" s="61" t="s">
        <v>46</v>
      </c>
      <c r="F203" s="62" t="s">
        <v>46</v>
      </c>
      <c r="G203" s="63" t="s">
        <v>46</v>
      </c>
      <c r="H203" s="64"/>
      <c r="I203" s="64" t="s">
        <v>577</v>
      </c>
      <c r="J203" s="65">
        <v>1</v>
      </c>
      <c r="K203" s="66">
        <f>240</f>
        <v>240</v>
      </c>
      <c r="L203" s="67" t="s">
        <v>840</v>
      </c>
      <c r="M203" s="66">
        <f>315</f>
        <v>315</v>
      </c>
      <c r="N203" s="67" t="s">
        <v>65</v>
      </c>
      <c r="O203" s="66">
        <f>211</f>
        <v>211</v>
      </c>
      <c r="P203" s="67" t="s">
        <v>815</v>
      </c>
      <c r="Q203" s="66">
        <f>249</f>
        <v>249</v>
      </c>
      <c r="R203" s="67" t="s">
        <v>50</v>
      </c>
      <c r="S203" s="68">
        <f>256.05</f>
        <v>256.05</v>
      </c>
      <c r="T203" s="65">
        <f>702730570</f>
        <v>702730570</v>
      </c>
      <c r="U203" s="65">
        <f>4000</f>
        <v>4000</v>
      </c>
      <c r="V203" s="65">
        <f>181420548775</f>
        <v>181420548775</v>
      </c>
      <c r="W203" s="65">
        <f>1244000</f>
        <v>1244000</v>
      </c>
      <c r="X203" s="69">
        <f>22</f>
        <v>22</v>
      </c>
    </row>
    <row r="204" spans="1:24">
      <c r="A204" s="60" t="s">
        <v>844</v>
      </c>
      <c r="B204" s="60" t="s">
        <v>599</v>
      </c>
      <c r="C204" s="60" t="s">
        <v>600</v>
      </c>
      <c r="D204" s="60" t="s">
        <v>601</v>
      </c>
      <c r="E204" s="61" t="s">
        <v>46</v>
      </c>
      <c r="F204" s="62" t="s">
        <v>46</v>
      </c>
      <c r="G204" s="63" t="s">
        <v>46</v>
      </c>
      <c r="H204" s="64"/>
      <c r="I204" s="64" t="s">
        <v>577</v>
      </c>
      <c r="J204" s="65">
        <v>1</v>
      </c>
      <c r="K204" s="66">
        <f>6790</f>
        <v>6790</v>
      </c>
      <c r="L204" s="67" t="s">
        <v>840</v>
      </c>
      <c r="M204" s="66">
        <f>7060</f>
        <v>7060</v>
      </c>
      <c r="N204" s="67" t="s">
        <v>86</v>
      </c>
      <c r="O204" s="66">
        <f>5920</f>
        <v>5920</v>
      </c>
      <c r="P204" s="67" t="s">
        <v>65</v>
      </c>
      <c r="Q204" s="66">
        <f>6350</f>
        <v>6350</v>
      </c>
      <c r="R204" s="67" t="s">
        <v>50</v>
      </c>
      <c r="S204" s="68">
        <f>6480.45</f>
        <v>6480.45</v>
      </c>
      <c r="T204" s="65">
        <f>401163</f>
        <v>401163</v>
      </c>
      <c r="U204" s="65" t="str">
        <f>"－"</f>
        <v>－</v>
      </c>
      <c r="V204" s="65">
        <f>2605897880</f>
        <v>2605897880</v>
      </c>
      <c r="W204" s="65" t="str">
        <f>"－"</f>
        <v>－</v>
      </c>
      <c r="X204" s="69">
        <f>22</f>
        <v>22</v>
      </c>
    </row>
    <row r="205" spans="1:24">
      <c r="A205" s="60" t="s">
        <v>844</v>
      </c>
      <c r="B205" s="60" t="s">
        <v>602</v>
      </c>
      <c r="C205" s="60" t="s">
        <v>603</v>
      </c>
      <c r="D205" s="60" t="s">
        <v>604</v>
      </c>
      <c r="E205" s="61" t="s">
        <v>46</v>
      </c>
      <c r="F205" s="62" t="s">
        <v>46</v>
      </c>
      <c r="G205" s="63" t="s">
        <v>46</v>
      </c>
      <c r="H205" s="64"/>
      <c r="I205" s="64" t="s">
        <v>577</v>
      </c>
      <c r="J205" s="65">
        <v>1</v>
      </c>
      <c r="K205" s="66">
        <f>17340</f>
        <v>17340</v>
      </c>
      <c r="L205" s="67" t="s">
        <v>840</v>
      </c>
      <c r="M205" s="66">
        <f>20600</f>
        <v>20600</v>
      </c>
      <c r="N205" s="67" t="s">
        <v>119</v>
      </c>
      <c r="O205" s="66">
        <f>16370</f>
        <v>16370</v>
      </c>
      <c r="P205" s="67" t="s">
        <v>86</v>
      </c>
      <c r="Q205" s="66">
        <f>17440</f>
        <v>17440</v>
      </c>
      <c r="R205" s="67" t="s">
        <v>50</v>
      </c>
      <c r="S205" s="68">
        <f>18256.36</f>
        <v>18256.36</v>
      </c>
      <c r="T205" s="65">
        <f>932084</f>
        <v>932084</v>
      </c>
      <c r="U205" s="65">
        <f>405</f>
        <v>405</v>
      </c>
      <c r="V205" s="65">
        <f>16988733020</f>
        <v>16988733020</v>
      </c>
      <c r="W205" s="65">
        <f>7091550</f>
        <v>7091550</v>
      </c>
      <c r="X205" s="69">
        <f>22</f>
        <v>22</v>
      </c>
    </row>
    <row r="206" spans="1:24">
      <c r="A206" s="60" t="s">
        <v>844</v>
      </c>
      <c r="B206" s="60" t="s">
        <v>605</v>
      </c>
      <c r="C206" s="60" t="s">
        <v>606</v>
      </c>
      <c r="D206" s="60" t="s">
        <v>607</v>
      </c>
      <c r="E206" s="61" t="s">
        <v>46</v>
      </c>
      <c r="F206" s="62" t="s">
        <v>46</v>
      </c>
      <c r="G206" s="63" t="s">
        <v>46</v>
      </c>
      <c r="H206" s="64"/>
      <c r="I206" s="64" t="s">
        <v>577</v>
      </c>
      <c r="J206" s="65">
        <v>1</v>
      </c>
      <c r="K206" s="66">
        <f>4310</f>
        <v>4310</v>
      </c>
      <c r="L206" s="67" t="s">
        <v>840</v>
      </c>
      <c r="M206" s="66">
        <f>4430</f>
        <v>4430</v>
      </c>
      <c r="N206" s="67" t="s">
        <v>86</v>
      </c>
      <c r="O206" s="66">
        <f>3945</f>
        <v>3945</v>
      </c>
      <c r="P206" s="67" t="s">
        <v>119</v>
      </c>
      <c r="Q206" s="66">
        <f>4260</f>
        <v>4260</v>
      </c>
      <c r="R206" s="67" t="s">
        <v>50</v>
      </c>
      <c r="S206" s="68">
        <f>4182.5</f>
        <v>4182.5</v>
      </c>
      <c r="T206" s="65">
        <f>888219</f>
        <v>888219</v>
      </c>
      <c r="U206" s="65">
        <f>196</f>
        <v>196</v>
      </c>
      <c r="V206" s="65">
        <f>3728695660</f>
        <v>3728695660</v>
      </c>
      <c r="W206" s="65">
        <f>809160</f>
        <v>809160</v>
      </c>
      <c r="X206" s="69">
        <f>22</f>
        <v>22</v>
      </c>
    </row>
    <row r="207" spans="1:24">
      <c r="A207" s="60" t="s">
        <v>844</v>
      </c>
      <c r="B207" s="60" t="s">
        <v>608</v>
      </c>
      <c r="C207" s="60" t="s">
        <v>609</v>
      </c>
      <c r="D207" s="60" t="s">
        <v>610</v>
      </c>
      <c r="E207" s="61" t="s">
        <v>46</v>
      </c>
      <c r="F207" s="62" t="s">
        <v>46</v>
      </c>
      <c r="G207" s="63" t="s">
        <v>46</v>
      </c>
      <c r="H207" s="64"/>
      <c r="I207" s="64" t="s">
        <v>577</v>
      </c>
      <c r="J207" s="65">
        <v>1</v>
      </c>
      <c r="K207" s="66">
        <f>10550</f>
        <v>10550</v>
      </c>
      <c r="L207" s="67" t="s">
        <v>840</v>
      </c>
      <c r="M207" s="66">
        <f>11450</f>
        <v>11450</v>
      </c>
      <c r="N207" s="67" t="s">
        <v>175</v>
      </c>
      <c r="O207" s="66">
        <f>10080</f>
        <v>10080</v>
      </c>
      <c r="P207" s="67" t="s">
        <v>815</v>
      </c>
      <c r="Q207" s="66">
        <f>10990</f>
        <v>10990</v>
      </c>
      <c r="R207" s="67" t="s">
        <v>50</v>
      </c>
      <c r="S207" s="68">
        <f>10890.45</f>
        <v>10890.45</v>
      </c>
      <c r="T207" s="65">
        <f>226050</f>
        <v>226050</v>
      </c>
      <c r="U207" s="65">
        <f>11272</f>
        <v>11272</v>
      </c>
      <c r="V207" s="65">
        <f>2450261960</f>
        <v>2450261960</v>
      </c>
      <c r="W207" s="65">
        <f>121735920</f>
        <v>121735920</v>
      </c>
      <c r="X207" s="69">
        <f>22</f>
        <v>22</v>
      </c>
    </row>
    <row r="208" spans="1:24">
      <c r="A208" s="60" t="s">
        <v>844</v>
      </c>
      <c r="B208" s="60" t="s">
        <v>611</v>
      </c>
      <c r="C208" s="60" t="s">
        <v>612</v>
      </c>
      <c r="D208" s="60" t="s">
        <v>613</v>
      </c>
      <c r="E208" s="61" t="s">
        <v>46</v>
      </c>
      <c r="F208" s="62" t="s">
        <v>46</v>
      </c>
      <c r="G208" s="63" t="s">
        <v>46</v>
      </c>
      <c r="H208" s="64"/>
      <c r="I208" s="64" t="s">
        <v>577</v>
      </c>
      <c r="J208" s="65">
        <v>1</v>
      </c>
      <c r="K208" s="66">
        <f>9610</f>
        <v>9610</v>
      </c>
      <c r="L208" s="67" t="s">
        <v>840</v>
      </c>
      <c r="M208" s="66">
        <f>11340</f>
        <v>11340</v>
      </c>
      <c r="N208" s="67" t="s">
        <v>65</v>
      </c>
      <c r="O208" s="66">
        <f>9590</f>
        <v>9590</v>
      </c>
      <c r="P208" s="67" t="s">
        <v>840</v>
      </c>
      <c r="Q208" s="66">
        <f>10120</f>
        <v>10120</v>
      </c>
      <c r="R208" s="67" t="s">
        <v>50</v>
      </c>
      <c r="S208" s="68">
        <f>10409.05</f>
        <v>10409.049999999999</v>
      </c>
      <c r="T208" s="65">
        <f>1608</f>
        <v>1608</v>
      </c>
      <c r="U208" s="65" t="str">
        <f>"－"</f>
        <v>－</v>
      </c>
      <c r="V208" s="65">
        <f>16792380</f>
        <v>16792380</v>
      </c>
      <c r="W208" s="65" t="str">
        <f>"－"</f>
        <v>－</v>
      </c>
      <c r="X208" s="69">
        <f>21</f>
        <v>21</v>
      </c>
    </row>
    <row r="209" spans="1:24">
      <c r="A209" s="60" t="s">
        <v>844</v>
      </c>
      <c r="B209" s="60" t="s">
        <v>614</v>
      </c>
      <c r="C209" s="60" t="s">
        <v>615</v>
      </c>
      <c r="D209" s="60" t="s">
        <v>616</v>
      </c>
      <c r="E209" s="61" t="s">
        <v>46</v>
      </c>
      <c r="F209" s="62" t="s">
        <v>46</v>
      </c>
      <c r="G209" s="63" t="s">
        <v>46</v>
      </c>
      <c r="H209" s="64"/>
      <c r="I209" s="64" t="s">
        <v>577</v>
      </c>
      <c r="J209" s="65">
        <v>1</v>
      </c>
      <c r="K209" s="66">
        <f>13380</f>
        <v>13380</v>
      </c>
      <c r="L209" s="67" t="s">
        <v>840</v>
      </c>
      <c r="M209" s="66">
        <f>14470</f>
        <v>14470</v>
      </c>
      <c r="N209" s="67" t="s">
        <v>119</v>
      </c>
      <c r="O209" s="66">
        <f>12710</f>
        <v>12710</v>
      </c>
      <c r="P209" s="67" t="s">
        <v>86</v>
      </c>
      <c r="Q209" s="66">
        <f>13180</f>
        <v>13180</v>
      </c>
      <c r="R209" s="67" t="s">
        <v>50</v>
      </c>
      <c r="S209" s="68">
        <f>13454.55</f>
        <v>13454.55</v>
      </c>
      <c r="T209" s="65">
        <f>38127</f>
        <v>38127</v>
      </c>
      <c r="U209" s="65">
        <f>2200</f>
        <v>2200</v>
      </c>
      <c r="V209" s="65">
        <f>517381960</f>
        <v>517381960</v>
      </c>
      <c r="W209" s="65">
        <f>29458000</f>
        <v>29458000</v>
      </c>
      <c r="X209" s="69">
        <f>22</f>
        <v>22</v>
      </c>
    </row>
    <row r="210" spans="1:24">
      <c r="A210" s="60" t="s">
        <v>844</v>
      </c>
      <c r="B210" s="60" t="s">
        <v>617</v>
      </c>
      <c r="C210" s="60" t="s">
        <v>618</v>
      </c>
      <c r="D210" s="60" t="s">
        <v>619</v>
      </c>
      <c r="E210" s="61" t="s">
        <v>46</v>
      </c>
      <c r="F210" s="62" t="s">
        <v>46</v>
      </c>
      <c r="G210" s="63" t="s">
        <v>46</v>
      </c>
      <c r="H210" s="64"/>
      <c r="I210" s="64" t="s">
        <v>577</v>
      </c>
      <c r="J210" s="65">
        <v>1</v>
      </c>
      <c r="K210" s="66">
        <f>11880</f>
        <v>11880</v>
      </c>
      <c r="L210" s="67" t="s">
        <v>840</v>
      </c>
      <c r="M210" s="66">
        <f>12850</f>
        <v>12850</v>
      </c>
      <c r="N210" s="67" t="s">
        <v>119</v>
      </c>
      <c r="O210" s="66">
        <f>11420</f>
        <v>11420</v>
      </c>
      <c r="P210" s="67" t="s">
        <v>840</v>
      </c>
      <c r="Q210" s="66">
        <f>11910</f>
        <v>11910</v>
      </c>
      <c r="R210" s="67" t="s">
        <v>50</v>
      </c>
      <c r="S210" s="68">
        <f>12061.05</f>
        <v>12061.05</v>
      </c>
      <c r="T210" s="65">
        <f>10638</f>
        <v>10638</v>
      </c>
      <c r="U210" s="65" t="str">
        <f>"－"</f>
        <v>－</v>
      </c>
      <c r="V210" s="65">
        <f>126986550</f>
        <v>126986550</v>
      </c>
      <c r="W210" s="65" t="str">
        <f>"－"</f>
        <v>－</v>
      </c>
      <c r="X210" s="69">
        <f>19</f>
        <v>19</v>
      </c>
    </row>
    <row r="211" spans="1:24">
      <c r="A211" s="60" t="s">
        <v>844</v>
      </c>
      <c r="B211" s="60" t="s">
        <v>620</v>
      </c>
      <c r="C211" s="60" t="s">
        <v>621</v>
      </c>
      <c r="D211" s="60" t="s">
        <v>622</v>
      </c>
      <c r="E211" s="61" t="s">
        <v>46</v>
      </c>
      <c r="F211" s="62" t="s">
        <v>46</v>
      </c>
      <c r="G211" s="63" t="s">
        <v>46</v>
      </c>
      <c r="H211" s="64"/>
      <c r="I211" s="64" t="s">
        <v>577</v>
      </c>
      <c r="J211" s="65">
        <v>1</v>
      </c>
      <c r="K211" s="66">
        <f>5610</f>
        <v>5610</v>
      </c>
      <c r="L211" s="67" t="s">
        <v>840</v>
      </c>
      <c r="M211" s="66">
        <f>7090</f>
        <v>7090</v>
      </c>
      <c r="N211" s="67" t="s">
        <v>65</v>
      </c>
      <c r="O211" s="66">
        <f>5140</f>
        <v>5140</v>
      </c>
      <c r="P211" s="67" t="s">
        <v>815</v>
      </c>
      <c r="Q211" s="66">
        <f>6330</f>
        <v>6330</v>
      </c>
      <c r="R211" s="67" t="s">
        <v>50</v>
      </c>
      <c r="S211" s="68">
        <f>6215</f>
        <v>6215</v>
      </c>
      <c r="T211" s="65">
        <f>329796</f>
        <v>329796</v>
      </c>
      <c r="U211" s="65">
        <f>196</f>
        <v>196</v>
      </c>
      <c r="V211" s="65">
        <f>2040650370</f>
        <v>2040650370</v>
      </c>
      <c r="W211" s="65">
        <f>1173680</f>
        <v>1173680</v>
      </c>
      <c r="X211" s="69">
        <f>22</f>
        <v>22</v>
      </c>
    </row>
    <row r="212" spans="1:24">
      <c r="A212" s="60" t="s">
        <v>844</v>
      </c>
      <c r="B212" s="60" t="s">
        <v>623</v>
      </c>
      <c r="C212" s="60" t="s">
        <v>624</v>
      </c>
      <c r="D212" s="60" t="s">
        <v>625</v>
      </c>
      <c r="E212" s="61" t="s">
        <v>46</v>
      </c>
      <c r="F212" s="62" t="s">
        <v>46</v>
      </c>
      <c r="G212" s="63" t="s">
        <v>46</v>
      </c>
      <c r="H212" s="64"/>
      <c r="I212" s="64" t="s">
        <v>577</v>
      </c>
      <c r="J212" s="65">
        <v>1</v>
      </c>
      <c r="K212" s="66">
        <f>7270</f>
        <v>7270</v>
      </c>
      <c r="L212" s="67" t="s">
        <v>840</v>
      </c>
      <c r="M212" s="66">
        <f>7410</f>
        <v>7410</v>
      </c>
      <c r="N212" s="67" t="s">
        <v>815</v>
      </c>
      <c r="O212" s="66">
        <f>6300</f>
        <v>6300</v>
      </c>
      <c r="P212" s="67" t="s">
        <v>175</v>
      </c>
      <c r="Q212" s="66">
        <f>6430</f>
        <v>6430</v>
      </c>
      <c r="R212" s="67" t="s">
        <v>50</v>
      </c>
      <c r="S212" s="68">
        <f>6602.73</f>
        <v>6602.73</v>
      </c>
      <c r="T212" s="65">
        <f>7207</f>
        <v>7207</v>
      </c>
      <c r="U212" s="65" t="str">
        <f>"－"</f>
        <v>－</v>
      </c>
      <c r="V212" s="65">
        <f>47936010</f>
        <v>47936010</v>
      </c>
      <c r="W212" s="65" t="str">
        <f>"－"</f>
        <v>－</v>
      </c>
      <c r="X212" s="69">
        <f>22</f>
        <v>22</v>
      </c>
    </row>
    <row r="213" spans="1:24">
      <c r="A213" s="60" t="s">
        <v>844</v>
      </c>
      <c r="B213" s="60" t="s">
        <v>626</v>
      </c>
      <c r="C213" s="60" t="s">
        <v>627</v>
      </c>
      <c r="D213" s="60" t="s">
        <v>628</v>
      </c>
      <c r="E213" s="61" t="s">
        <v>46</v>
      </c>
      <c r="F213" s="62" t="s">
        <v>46</v>
      </c>
      <c r="G213" s="63" t="s">
        <v>46</v>
      </c>
      <c r="H213" s="64"/>
      <c r="I213" s="64" t="s">
        <v>577</v>
      </c>
      <c r="J213" s="65">
        <v>1</v>
      </c>
      <c r="K213" s="66">
        <f>8720</f>
        <v>8720</v>
      </c>
      <c r="L213" s="67" t="s">
        <v>833</v>
      </c>
      <c r="M213" s="66">
        <f>9280</f>
        <v>9280</v>
      </c>
      <c r="N213" s="67" t="s">
        <v>65</v>
      </c>
      <c r="O213" s="66">
        <f>8230</f>
        <v>8230</v>
      </c>
      <c r="P213" s="67" t="s">
        <v>245</v>
      </c>
      <c r="Q213" s="66">
        <f>8440</f>
        <v>8440</v>
      </c>
      <c r="R213" s="67" t="s">
        <v>50</v>
      </c>
      <c r="S213" s="68">
        <f>8659.23</f>
        <v>8659.23</v>
      </c>
      <c r="T213" s="65">
        <f>4314</f>
        <v>4314</v>
      </c>
      <c r="U213" s="65">
        <f>198</f>
        <v>198</v>
      </c>
      <c r="V213" s="65">
        <f>37405430</f>
        <v>37405430</v>
      </c>
      <c r="W213" s="65">
        <f>1776060</f>
        <v>1776060</v>
      </c>
      <c r="X213" s="69">
        <f>13</f>
        <v>13</v>
      </c>
    </row>
    <row r="214" spans="1:24">
      <c r="A214" s="60" t="s">
        <v>844</v>
      </c>
      <c r="B214" s="60" t="s">
        <v>629</v>
      </c>
      <c r="C214" s="60" t="s">
        <v>630</v>
      </c>
      <c r="D214" s="60" t="s">
        <v>631</v>
      </c>
      <c r="E214" s="61" t="s">
        <v>46</v>
      </c>
      <c r="F214" s="62" t="s">
        <v>46</v>
      </c>
      <c r="G214" s="63" t="s">
        <v>46</v>
      </c>
      <c r="H214" s="64"/>
      <c r="I214" s="64" t="s">
        <v>577</v>
      </c>
      <c r="J214" s="65">
        <v>1</v>
      </c>
      <c r="K214" s="66">
        <f>10040</f>
        <v>10040</v>
      </c>
      <c r="L214" s="67" t="s">
        <v>814</v>
      </c>
      <c r="M214" s="66">
        <f>10040</f>
        <v>10040</v>
      </c>
      <c r="N214" s="67" t="s">
        <v>814</v>
      </c>
      <c r="O214" s="66">
        <f>9580</f>
        <v>9580</v>
      </c>
      <c r="P214" s="67" t="s">
        <v>72</v>
      </c>
      <c r="Q214" s="66">
        <f>9580</f>
        <v>9580</v>
      </c>
      <c r="R214" s="67" t="s">
        <v>50</v>
      </c>
      <c r="S214" s="68">
        <f>9802.5</f>
        <v>9802.5</v>
      </c>
      <c r="T214" s="65">
        <f>8345</f>
        <v>8345</v>
      </c>
      <c r="U214" s="65" t="str">
        <f>"－"</f>
        <v>－</v>
      </c>
      <c r="V214" s="65">
        <f>82482220</f>
        <v>82482220</v>
      </c>
      <c r="W214" s="65" t="str">
        <f>"－"</f>
        <v>－</v>
      </c>
      <c r="X214" s="69">
        <f>8</f>
        <v>8</v>
      </c>
    </row>
    <row r="215" spans="1:24">
      <c r="A215" s="60" t="s">
        <v>844</v>
      </c>
      <c r="B215" s="60" t="s">
        <v>632</v>
      </c>
      <c r="C215" s="60" t="s">
        <v>633</v>
      </c>
      <c r="D215" s="60" t="s">
        <v>634</v>
      </c>
      <c r="E215" s="61" t="s">
        <v>46</v>
      </c>
      <c r="F215" s="62" t="s">
        <v>46</v>
      </c>
      <c r="G215" s="63" t="s">
        <v>46</v>
      </c>
      <c r="H215" s="64"/>
      <c r="I215" s="64" t="s">
        <v>577</v>
      </c>
      <c r="J215" s="65">
        <v>1</v>
      </c>
      <c r="K215" s="66">
        <f>10390</f>
        <v>10390</v>
      </c>
      <c r="L215" s="67" t="s">
        <v>833</v>
      </c>
      <c r="M215" s="66">
        <f>10800</f>
        <v>10800</v>
      </c>
      <c r="N215" s="67" t="s">
        <v>818</v>
      </c>
      <c r="O215" s="66">
        <f>9990</f>
        <v>9990</v>
      </c>
      <c r="P215" s="67" t="s">
        <v>815</v>
      </c>
      <c r="Q215" s="66">
        <f>10210</f>
        <v>10210</v>
      </c>
      <c r="R215" s="67" t="s">
        <v>99</v>
      </c>
      <c r="S215" s="68">
        <f>10365</f>
        <v>10365</v>
      </c>
      <c r="T215" s="65">
        <f>439</f>
        <v>439</v>
      </c>
      <c r="U215" s="65" t="str">
        <f>"－"</f>
        <v>－</v>
      </c>
      <c r="V215" s="65">
        <f>4632660</f>
        <v>4632660</v>
      </c>
      <c r="W215" s="65" t="str">
        <f>"－"</f>
        <v>－</v>
      </c>
      <c r="X215" s="69">
        <f>10</f>
        <v>10</v>
      </c>
    </row>
    <row r="216" spans="1:24">
      <c r="A216" s="60" t="s">
        <v>844</v>
      </c>
      <c r="B216" s="60" t="s">
        <v>635</v>
      </c>
      <c r="C216" s="60" t="s">
        <v>636</v>
      </c>
      <c r="D216" s="60" t="s">
        <v>637</v>
      </c>
      <c r="E216" s="61" t="s">
        <v>46</v>
      </c>
      <c r="F216" s="62" t="s">
        <v>46</v>
      </c>
      <c r="G216" s="63" t="s">
        <v>46</v>
      </c>
      <c r="H216" s="64"/>
      <c r="I216" s="64" t="s">
        <v>577</v>
      </c>
      <c r="J216" s="65">
        <v>1</v>
      </c>
      <c r="K216" s="66">
        <f>10790</f>
        <v>10790</v>
      </c>
      <c r="L216" s="67" t="s">
        <v>840</v>
      </c>
      <c r="M216" s="66">
        <f>11350</f>
        <v>11350</v>
      </c>
      <c r="N216" s="67" t="s">
        <v>65</v>
      </c>
      <c r="O216" s="66">
        <f>10520</f>
        <v>10520</v>
      </c>
      <c r="P216" s="67" t="s">
        <v>815</v>
      </c>
      <c r="Q216" s="66">
        <f>10650</f>
        <v>10650</v>
      </c>
      <c r="R216" s="67" t="s">
        <v>821</v>
      </c>
      <c r="S216" s="68">
        <f>10846.88</f>
        <v>10846.88</v>
      </c>
      <c r="T216" s="65">
        <f>9312</f>
        <v>9312</v>
      </c>
      <c r="U216" s="65" t="str">
        <f>"－"</f>
        <v>－</v>
      </c>
      <c r="V216" s="65">
        <f>100122280</f>
        <v>100122280</v>
      </c>
      <c r="W216" s="65" t="str">
        <f>"－"</f>
        <v>－</v>
      </c>
      <c r="X216" s="69">
        <f>16</f>
        <v>16</v>
      </c>
    </row>
    <row r="217" spans="1:24">
      <c r="A217" s="60" t="s">
        <v>844</v>
      </c>
      <c r="B217" s="60" t="s">
        <v>638</v>
      </c>
      <c r="C217" s="60" t="s">
        <v>639</v>
      </c>
      <c r="D217" s="60" t="s">
        <v>640</v>
      </c>
      <c r="E217" s="61" t="s">
        <v>46</v>
      </c>
      <c r="F217" s="62" t="s">
        <v>46</v>
      </c>
      <c r="G217" s="63" t="s">
        <v>46</v>
      </c>
      <c r="H217" s="64"/>
      <c r="I217" s="64" t="s">
        <v>577</v>
      </c>
      <c r="J217" s="65">
        <v>1</v>
      </c>
      <c r="K217" s="66">
        <f>9570</f>
        <v>9570</v>
      </c>
      <c r="L217" s="67" t="s">
        <v>833</v>
      </c>
      <c r="M217" s="66">
        <f>10020</f>
        <v>10020</v>
      </c>
      <c r="N217" s="67" t="s">
        <v>65</v>
      </c>
      <c r="O217" s="66">
        <f>9270</f>
        <v>9270</v>
      </c>
      <c r="P217" s="67" t="s">
        <v>245</v>
      </c>
      <c r="Q217" s="66">
        <f>9440</f>
        <v>9440</v>
      </c>
      <c r="R217" s="67" t="s">
        <v>50</v>
      </c>
      <c r="S217" s="68">
        <f>9654</f>
        <v>9654</v>
      </c>
      <c r="T217" s="65">
        <f>11163</f>
        <v>11163</v>
      </c>
      <c r="U217" s="65">
        <f>390</f>
        <v>390</v>
      </c>
      <c r="V217" s="65">
        <f>108767630</f>
        <v>108767630</v>
      </c>
      <c r="W217" s="65">
        <f>3825900</f>
        <v>3825900</v>
      </c>
      <c r="X217" s="69">
        <f>20</f>
        <v>20</v>
      </c>
    </row>
    <row r="218" spans="1:24">
      <c r="A218" s="60" t="s">
        <v>844</v>
      </c>
      <c r="B218" s="60" t="s">
        <v>641</v>
      </c>
      <c r="C218" s="60" t="s">
        <v>642</v>
      </c>
      <c r="D218" s="60" t="s">
        <v>643</v>
      </c>
      <c r="E218" s="61" t="s">
        <v>46</v>
      </c>
      <c r="F218" s="62" t="s">
        <v>46</v>
      </c>
      <c r="G218" s="63" t="s">
        <v>46</v>
      </c>
      <c r="H218" s="64"/>
      <c r="I218" s="64" t="s">
        <v>577</v>
      </c>
      <c r="J218" s="65">
        <v>1</v>
      </c>
      <c r="K218" s="66">
        <f>9060</f>
        <v>9060</v>
      </c>
      <c r="L218" s="67" t="s">
        <v>833</v>
      </c>
      <c r="M218" s="66">
        <f>9360</f>
        <v>9360</v>
      </c>
      <c r="N218" s="67" t="s">
        <v>817</v>
      </c>
      <c r="O218" s="66">
        <f>9060</f>
        <v>9060</v>
      </c>
      <c r="P218" s="67" t="s">
        <v>833</v>
      </c>
      <c r="Q218" s="66">
        <f>9200</f>
        <v>9200</v>
      </c>
      <c r="R218" s="67" t="s">
        <v>245</v>
      </c>
      <c r="S218" s="68">
        <f>9248.75</f>
        <v>9248.75</v>
      </c>
      <c r="T218" s="65">
        <f>3119</f>
        <v>3119</v>
      </c>
      <c r="U218" s="65" t="str">
        <f>"－"</f>
        <v>－</v>
      </c>
      <c r="V218" s="65">
        <f>29072140</f>
        <v>29072140</v>
      </c>
      <c r="W218" s="65" t="str">
        <f>"－"</f>
        <v>－</v>
      </c>
      <c r="X218" s="69">
        <f>8</f>
        <v>8</v>
      </c>
    </row>
    <row r="219" spans="1:24">
      <c r="A219" s="60" t="s">
        <v>844</v>
      </c>
      <c r="B219" s="60" t="s">
        <v>644</v>
      </c>
      <c r="C219" s="60" t="s">
        <v>645</v>
      </c>
      <c r="D219" s="60" t="s">
        <v>646</v>
      </c>
      <c r="E219" s="61" t="s">
        <v>46</v>
      </c>
      <c r="F219" s="62" t="s">
        <v>46</v>
      </c>
      <c r="G219" s="63" t="s">
        <v>46</v>
      </c>
      <c r="H219" s="64"/>
      <c r="I219" s="64" t="s">
        <v>577</v>
      </c>
      <c r="J219" s="65">
        <v>1</v>
      </c>
      <c r="K219" s="66">
        <f>11570</f>
        <v>11570</v>
      </c>
      <c r="L219" s="67" t="s">
        <v>833</v>
      </c>
      <c r="M219" s="66">
        <f>11680</f>
        <v>11680</v>
      </c>
      <c r="N219" s="67" t="s">
        <v>814</v>
      </c>
      <c r="O219" s="66">
        <f>11570</f>
        <v>11570</v>
      </c>
      <c r="P219" s="67" t="s">
        <v>833</v>
      </c>
      <c r="Q219" s="66">
        <f>11680</f>
        <v>11680</v>
      </c>
      <c r="R219" s="67" t="s">
        <v>814</v>
      </c>
      <c r="S219" s="68">
        <f>11625</f>
        <v>11625</v>
      </c>
      <c r="T219" s="65">
        <f>363</f>
        <v>363</v>
      </c>
      <c r="U219" s="65" t="str">
        <f>"－"</f>
        <v>－</v>
      </c>
      <c r="V219" s="65">
        <f>4232910</f>
        <v>4232910</v>
      </c>
      <c r="W219" s="65" t="str">
        <f>"－"</f>
        <v>－</v>
      </c>
      <c r="X219" s="69">
        <f>2</f>
        <v>2</v>
      </c>
    </row>
    <row r="220" spans="1:24">
      <c r="A220" s="60" t="s">
        <v>844</v>
      </c>
      <c r="B220" s="60" t="s">
        <v>647</v>
      </c>
      <c r="C220" s="60" t="s">
        <v>648</v>
      </c>
      <c r="D220" s="60" t="s">
        <v>649</v>
      </c>
      <c r="E220" s="61" t="s">
        <v>46</v>
      </c>
      <c r="F220" s="62" t="s">
        <v>46</v>
      </c>
      <c r="G220" s="63" t="s">
        <v>46</v>
      </c>
      <c r="H220" s="64"/>
      <c r="I220" s="64" t="s">
        <v>47</v>
      </c>
      <c r="J220" s="65">
        <v>10</v>
      </c>
      <c r="K220" s="66">
        <f>1004</f>
        <v>1004</v>
      </c>
      <c r="L220" s="67" t="s">
        <v>840</v>
      </c>
      <c r="M220" s="66">
        <f>1008</f>
        <v>1008</v>
      </c>
      <c r="N220" s="67" t="s">
        <v>61</v>
      </c>
      <c r="O220" s="66">
        <f>998</f>
        <v>998</v>
      </c>
      <c r="P220" s="67" t="s">
        <v>817</v>
      </c>
      <c r="Q220" s="66">
        <f>1000</f>
        <v>1000</v>
      </c>
      <c r="R220" s="67" t="s">
        <v>50</v>
      </c>
      <c r="S220" s="68">
        <f>1001.64</f>
        <v>1001.64</v>
      </c>
      <c r="T220" s="65">
        <f>525680</f>
        <v>525680</v>
      </c>
      <c r="U220" s="65">
        <f>398000</f>
        <v>398000</v>
      </c>
      <c r="V220" s="65">
        <f>526425910</f>
        <v>526425910</v>
      </c>
      <c r="W220" s="65">
        <f>398536200</f>
        <v>398536200</v>
      </c>
      <c r="X220" s="69">
        <f>22</f>
        <v>22</v>
      </c>
    </row>
    <row r="221" spans="1:24">
      <c r="A221" s="60" t="s">
        <v>844</v>
      </c>
      <c r="B221" s="60" t="s">
        <v>650</v>
      </c>
      <c r="C221" s="60" t="s">
        <v>651</v>
      </c>
      <c r="D221" s="60" t="s">
        <v>652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f>992</f>
        <v>992</v>
      </c>
      <c r="L221" s="67" t="s">
        <v>840</v>
      </c>
      <c r="M221" s="66">
        <f>1010</f>
        <v>1010</v>
      </c>
      <c r="N221" s="67" t="s">
        <v>817</v>
      </c>
      <c r="O221" s="66">
        <f>984</f>
        <v>984</v>
      </c>
      <c r="P221" s="67" t="s">
        <v>309</v>
      </c>
      <c r="Q221" s="66">
        <f>1001</f>
        <v>1001</v>
      </c>
      <c r="R221" s="67" t="s">
        <v>50</v>
      </c>
      <c r="S221" s="68">
        <f>994.82</f>
        <v>994.82</v>
      </c>
      <c r="T221" s="65">
        <f>748970</f>
        <v>748970</v>
      </c>
      <c r="U221" s="65" t="str">
        <f>"－"</f>
        <v>－</v>
      </c>
      <c r="V221" s="65">
        <f>742438980</f>
        <v>742438980</v>
      </c>
      <c r="W221" s="65" t="str">
        <f>"－"</f>
        <v>－</v>
      </c>
      <c r="X221" s="69">
        <f>22</f>
        <v>22</v>
      </c>
    </row>
    <row r="222" spans="1:24">
      <c r="A222" s="60" t="s">
        <v>844</v>
      </c>
      <c r="B222" s="60" t="s">
        <v>653</v>
      </c>
      <c r="C222" s="60" t="s">
        <v>654</v>
      </c>
      <c r="D222" s="60" t="s">
        <v>655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1054</f>
        <v>1054</v>
      </c>
      <c r="L222" s="67" t="s">
        <v>840</v>
      </c>
      <c r="M222" s="66">
        <f>1059</f>
        <v>1059</v>
      </c>
      <c r="N222" s="67" t="s">
        <v>50</v>
      </c>
      <c r="O222" s="66">
        <f>1041</f>
        <v>1041</v>
      </c>
      <c r="P222" s="67" t="s">
        <v>65</v>
      </c>
      <c r="Q222" s="66">
        <f>1059</f>
        <v>1059</v>
      </c>
      <c r="R222" s="67" t="s">
        <v>50</v>
      </c>
      <c r="S222" s="68">
        <f>1050.77</f>
        <v>1050.77</v>
      </c>
      <c r="T222" s="65">
        <f>614980</f>
        <v>614980</v>
      </c>
      <c r="U222" s="65">
        <f>380000</f>
        <v>380000</v>
      </c>
      <c r="V222" s="65">
        <f>643323760</f>
        <v>643323760</v>
      </c>
      <c r="W222" s="65">
        <f>396948000</f>
        <v>396948000</v>
      </c>
      <c r="X222" s="69">
        <f>22</f>
        <v>22</v>
      </c>
    </row>
    <row r="223" spans="1:24">
      <c r="A223" s="60" t="s">
        <v>844</v>
      </c>
      <c r="B223" s="60" t="s">
        <v>656</v>
      </c>
      <c r="C223" s="60" t="s">
        <v>657</v>
      </c>
      <c r="D223" s="60" t="s">
        <v>658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1022</f>
        <v>1022</v>
      </c>
      <c r="L223" s="67" t="s">
        <v>840</v>
      </c>
      <c r="M223" s="66">
        <f>1107</f>
        <v>1107</v>
      </c>
      <c r="N223" s="67" t="s">
        <v>65</v>
      </c>
      <c r="O223" s="66">
        <f>995</f>
        <v>995</v>
      </c>
      <c r="P223" s="67" t="s">
        <v>86</v>
      </c>
      <c r="Q223" s="66">
        <f>1042</f>
        <v>1042</v>
      </c>
      <c r="R223" s="67" t="s">
        <v>50</v>
      </c>
      <c r="S223" s="68">
        <f>1053.36</f>
        <v>1053.3599999999999</v>
      </c>
      <c r="T223" s="65">
        <f>121160</f>
        <v>121160</v>
      </c>
      <c r="U223" s="65">
        <f>240</f>
        <v>240</v>
      </c>
      <c r="V223" s="65">
        <f>127199830</f>
        <v>127199830</v>
      </c>
      <c r="W223" s="65">
        <f>249110</f>
        <v>249110</v>
      </c>
      <c r="X223" s="69">
        <f>22</f>
        <v>22</v>
      </c>
    </row>
    <row r="224" spans="1:24">
      <c r="A224" s="60" t="s">
        <v>844</v>
      </c>
      <c r="B224" s="60" t="s">
        <v>659</v>
      </c>
      <c r="C224" s="60" t="s">
        <v>660</v>
      </c>
      <c r="D224" s="60" t="s">
        <v>661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1058</f>
        <v>1058</v>
      </c>
      <c r="L224" s="67" t="s">
        <v>840</v>
      </c>
      <c r="M224" s="66">
        <f>1129</f>
        <v>1129</v>
      </c>
      <c r="N224" s="67" t="s">
        <v>119</v>
      </c>
      <c r="O224" s="66">
        <f>1030</f>
        <v>1030</v>
      </c>
      <c r="P224" s="67" t="s">
        <v>86</v>
      </c>
      <c r="Q224" s="66">
        <f>1075</f>
        <v>1075</v>
      </c>
      <c r="R224" s="67" t="s">
        <v>50</v>
      </c>
      <c r="S224" s="68">
        <f>1085.36</f>
        <v>1085.3599999999999</v>
      </c>
      <c r="T224" s="65">
        <f>50360</f>
        <v>50360</v>
      </c>
      <c r="U224" s="65" t="str">
        <f>"－"</f>
        <v>－</v>
      </c>
      <c r="V224" s="65">
        <f>54840310</f>
        <v>54840310</v>
      </c>
      <c r="W224" s="65" t="str">
        <f>"－"</f>
        <v>－</v>
      </c>
      <c r="X224" s="69">
        <f>22</f>
        <v>22</v>
      </c>
    </row>
    <row r="225" spans="1:24">
      <c r="A225" s="60" t="s">
        <v>844</v>
      </c>
      <c r="B225" s="60" t="s">
        <v>662</v>
      </c>
      <c r="C225" s="60" t="s">
        <v>663</v>
      </c>
      <c r="D225" s="60" t="s">
        <v>664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833</f>
        <v>833</v>
      </c>
      <c r="L225" s="67" t="s">
        <v>840</v>
      </c>
      <c r="M225" s="66">
        <f>941</f>
        <v>941</v>
      </c>
      <c r="N225" s="67" t="s">
        <v>65</v>
      </c>
      <c r="O225" s="66">
        <f>808</f>
        <v>808</v>
      </c>
      <c r="P225" s="67" t="s">
        <v>245</v>
      </c>
      <c r="Q225" s="66">
        <f>823</f>
        <v>823</v>
      </c>
      <c r="R225" s="67" t="s">
        <v>50</v>
      </c>
      <c r="S225" s="68">
        <f>858.27</f>
        <v>858.27</v>
      </c>
      <c r="T225" s="65">
        <f>587600</f>
        <v>587600</v>
      </c>
      <c r="U225" s="65">
        <f>20</f>
        <v>20</v>
      </c>
      <c r="V225" s="65">
        <f>500737410</f>
        <v>500737410</v>
      </c>
      <c r="W225" s="65">
        <f>16700</f>
        <v>16700</v>
      </c>
      <c r="X225" s="69">
        <f>22</f>
        <v>22</v>
      </c>
    </row>
    <row r="226" spans="1:24">
      <c r="A226" s="60" t="s">
        <v>844</v>
      </c>
      <c r="B226" s="60" t="s">
        <v>665</v>
      </c>
      <c r="C226" s="60" t="s">
        <v>666</v>
      </c>
      <c r="D226" s="60" t="s">
        <v>667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10</v>
      </c>
      <c r="K226" s="66">
        <f>749</f>
        <v>749</v>
      </c>
      <c r="L226" s="67" t="s">
        <v>840</v>
      </c>
      <c r="M226" s="66">
        <f>818</f>
        <v>818</v>
      </c>
      <c r="N226" s="67" t="s">
        <v>99</v>
      </c>
      <c r="O226" s="66">
        <f>711</f>
        <v>711</v>
      </c>
      <c r="P226" s="67" t="s">
        <v>815</v>
      </c>
      <c r="Q226" s="66">
        <f>764</f>
        <v>764</v>
      </c>
      <c r="R226" s="67" t="s">
        <v>50</v>
      </c>
      <c r="S226" s="68">
        <f>778.32</f>
        <v>778.32</v>
      </c>
      <c r="T226" s="65">
        <f>16628160</f>
        <v>16628160</v>
      </c>
      <c r="U226" s="65">
        <f>7970</f>
        <v>7970</v>
      </c>
      <c r="V226" s="65">
        <f>12815909524</f>
        <v>12815909524</v>
      </c>
      <c r="W226" s="65">
        <f>6114354</f>
        <v>6114354</v>
      </c>
      <c r="X226" s="69">
        <f>22</f>
        <v>22</v>
      </c>
    </row>
    <row r="227" spans="1:24">
      <c r="A227" s="60" t="s">
        <v>844</v>
      </c>
      <c r="B227" s="60" t="s">
        <v>668</v>
      </c>
      <c r="C227" s="60" t="s">
        <v>669</v>
      </c>
      <c r="D227" s="60" t="s">
        <v>670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986</f>
        <v>986</v>
      </c>
      <c r="L227" s="67" t="s">
        <v>840</v>
      </c>
      <c r="M227" s="66">
        <f>1023</f>
        <v>1023</v>
      </c>
      <c r="N227" s="67" t="s">
        <v>119</v>
      </c>
      <c r="O227" s="66">
        <f>951</f>
        <v>951</v>
      </c>
      <c r="P227" s="67" t="s">
        <v>86</v>
      </c>
      <c r="Q227" s="66">
        <f>962</f>
        <v>962</v>
      </c>
      <c r="R227" s="67" t="s">
        <v>50</v>
      </c>
      <c r="S227" s="68">
        <f>989.77</f>
        <v>989.77</v>
      </c>
      <c r="T227" s="65">
        <f>300510</f>
        <v>300510</v>
      </c>
      <c r="U227" s="65">
        <f>70000</f>
        <v>70000</v>
      </c>
      <c r="V227" s="65">
        <f>295020140</f>
        <v>295020140</v>
      </c>
      <c r="W227" s="65">
        <f>68772900</f>
        <v>68772900</v>
      </c>
      <c r="X227" s="69">
        <f>22</f>
        <v>22</v>
      </c>
    </row>
    <row r="228" spans="1:24">
      <c r="A228" s="60" t="s">
        <v>844</v>
      </c>
      <c r="B228" s="60" t="s">
        <v>671</v>
      </c>
      <c r="C228" s="60" t="s">
        <v>672</v>
      </c>
      <c r="D228" s="60" t="s">
        <v>673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</v>
      </c>
      <c r="K228" s="66">
        <f>918</f>
        <v>918</v>
      </c>
      <c r="L228" s="67" t="s">
        <v>840</v>
      </c>
      <c r="M228" s="66">
        <f>952</f>
        <v>952</v>
      </c>
      <c r="N228" s="67" t="s">
        <v>65</v>
      </c>
      <c r="O228" s="66">
        <f>899</f>
        <v>899</v>
      </c>
      <c r="P228" s="67" t="s">
        <v>86</v>
      </c>
      <c r="Q228" s="66">
        <f>920</f>
        <v>920</v>
      </c>
      <c r="R228" s="67" t="s">
        <v>50</v>
      </c>
      <c r="S228" s="68">
        <f>929.32</f>
        <v>929.32</v>
      </c>
      <c r="T228" s="65">
        <f>112481</f>
        <v>112481</v>
      </c>
      <c r="U228" s="65">
        <f>58600</f>
        <v>58600</v>
      </c>
      <c r="V228" s="65">
        <f>104825386</f>
        <v>104825386</v>
      </c>
      <c r="W228" s="65">
        <f>55013680</f>
        <v>55013680</v>
      </c>
      <c r="X228" s="69">
        <f>22</f>
        <v>22</v>
      </c>
    </row>
    <row r="229" spans="1:24">
      <c r="A229" s="60" t="s">
        <v>844</v>
      </c>
      <c r="B229" s="60" t="s">
        <v>674</v>
      </c>
      <c r="C229" s="60" t="s">
        <v>675</v>
      </c>
      <c r="D229" s="60" t="s">
        <v>676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10</v>
      </c>
      <c r="K229" s="66">
        <f>1010</f>
        <v>1010</v>
      </c>
      <c r="L229" s="67" t="s">
        <v>840</v>
      </c>
      <c r="M229" s="66">
        <f>1053</f>
        <v>1053</v>
      </c>
      <c r="N229" s="67" t="s">
        <v>65</v>
      </c>
      <c r="O229" s="66">
        <f>996</f>
        <v>996</v>
      </c>
      <c r="P229" s="67" t="s">
        <v>815</v>
      </c>
      <c r="Q229" s="66">
        <f>1024</f>
        <v>1024</v>
      </c>
      <c r="R229" s="67" t="s">
        <v>50</v>
      </c>
      <c r="S229" s="68">
        <f>1019.5</f>
        <v>1019.5</v>
      </c>
      <c r="T229" s="65">
        <f>46150</f>
        <v>46150</v>
      </c>
      <c r="U229" s="65" t="str">
        <f>"－"</f>
        <v>－</v>
      </c>
      <c r="V229" s="65">
        <f>47201740</f>
        <v>47201740</v>
      </c>
      <c r="W229" s="65" t="str">
        <f>"－"</f>
        <v>－</v>
      </c>
      <c r="X229" s="69">
        <f>22</f>
        <v>22</v>
      </c>
    </row>
    <row r="230" spans="1:24">
      <c r="A230" s="60" t="s">
        <v>844</v>
      </c>
      <c r="B230" s="60" t="s">
        <v>677</v>
      </c>
      <c r="C230" s="60" t="s">
        <v>678</v>
      </c>
      <c r="D230" s="60" t="s">
        <v>679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10</v>
      </c>
      <c r="K230" s="66">
        <f>888</f>
        <v>888</v>
      </c>
      <c r="L230" s="67" t="s">
        <v>840</v>
      </c>
      <c r="M230" s="66">
        <f>1009</f>
        <v>1009</v>
      </c>
      <c r="N230" s="67" t="s">
        <v>65</v>
      </c>
      <c r="O230" s="66">
        <f>888</f>
        <v>888</v>
      </c>
      <c r="P230" s="67" t="s">
        <v>840</v>
      </c>
      <c r="Q230" s="66">
        <f>928</f>
        <v>928</v>
      </c>
      <c r="R230" s="67" t="s">
        <v>50</v>
      </c>
      <c r="S230" s="68">
        <f>924.09</f>
        <v>924.09</v>
      </c>
      <c r="T230" s="65">
        <f>16910</f>
        <v>16910</v>
      </c>
      <c r="U230" s="65" t="str">
        <f>"－"</f>
        <v>－</v>
      </c>
      <c r="V230" s="65">
        <f>15709450</f>
        <v>15709450</v>
      </c>
      <c r="W230" s="65" t="str">
        <f>"－"</f>
        <v>－</v>
      </c>
      <c r="X230" s="69">
        <f>22</f>
        <v>22</v>
      </c>
    </row>
    <row r="231" spans="1:24">
      <c r="A231" s="60" t="s">
        <v>844</v>
      </c>
      <c r="B231" s="60" t="s">
        <v>680</v>
      </c>
      <c r="C231" s="60" t="s">
        <v>681</v>
      </c>
      <c r="D231" s="60" t="s">
        <v>682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1059</f>
        <v>1059</v>
      </c>
      <c r="L231" s="67" t="s">
        <v>840</v>
      </c>
      <c r="M231" s="66">
        <f>1132</f>
        <v>1132</v>
      </c>
      <c r="N231" s="67" t="s">
        <v>119</v>
      </c>
      <c r="O231" s="66">
        <f>1033</f>
        <v>1033</v>
      </c>
      <c r="P231" s="67" t="s">
        <v>86</v>
      </c>
      <c r="Q231" s="66">
        <f>1068</f>
        <v>1068</v>
      </c>
      <c r="R231" s="67" t="s">
        <v>50</v>
      </c>
      <c r="S231" s="68">
        <f>1085.09</f>
        <v>1085.0899999999999</v>
      </c>
      <c r="T231" s="65">
        <f>13193620</f>
        <v>13193620</v>
      </c>
      <c r="U231" s="65">
        <f>4651150</f>
        <v>4651150</v>
      </c>
      <c r="V231" s="65">
        <f>14476953925</f>
        <v>14476953925</v>
      </c>
      <c r="W231" s="65">
        <f>5144231125</f>
        <v>5144231125</v>
      </c>
      <c r="X231" s="69">
        <f>22</f>
        <v>22</v>
      </c>
    </row>
    <row r="232" spans="1:24">
      <c r="A232" s="60" t="s">
        <v>844</v>
      </c>
      <c r="B232" s="60" t="s">
        <v>683</v>
      </c>
      <c r="C232" s="60" t="s">
        <v>684</v>
      </c>
      <c r="D232" s="60" t="s">
        <v>685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</v>
      </c>
      <c r="K232" s="66">
        <f>2394</f>
        <v>2394</v>
      </c>
      <c r="L232" s="67" t="s">
        <v>840</v>
      </c>
      <c r="M232" s="66">
        <f>2570</f>
        <v>2570</v>
      </c>
      <c r="N232" s="67" t="s">
        <v>65</v>
      </c>
      <c r="O232" s="66">
        <f>2346</f>
        <v>2346</v>
      </c>
      <c r="P232" s="67" t="s">
        <v>815</v>
      </c>
      <c r="Q232" s="66">
        <f>2457</f>
        <v>2457</v>
      </c>
      <c r="R232" s="67" t="s">
        <v>50</v>
      </c>
      <c r="S232" s="68">
        <f>2471.05</f>
        <v>2471.0500000000002</v>
      </c>
      <c r="T232" s="65">
        <f>64866</f>
        <v>64866</v>
      </c>
      <c r="U232" s="65" t="str">
        <f>"－"</f>
        <v>－</v>
      </c>
      <c r="V232" s="65">
        <f>158590692</f>
        <v>158590692</v>
      </c>
      <c r="W232" s="65" t="str">
        <f>"－"</f>
        <v>－</v>
      </c>
      <c r="X232" s="69">
        <f>22</f>
        <v>22</v>
      </c>
    </row>
    <row r="233" spans="1:24">
      <c r="A233" s="60" t="s">
        <v>844</v>
      </c>
      <c r="B233" s="60" t="s">
        <v>686</v>
      </c>
      <c r="C233" s="60" t="s">
        <v>687</v>
      </c>
      <c r="D233" s="60" t="s">
        <v>688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10</v>
      </c>
      <c r="K233" s="66">
        <f>1461</f>
        <v>1461</v>
      </c>
      <c r="L233" s="67" t="s">
        <v>814</v>
      </c>
      <c r="M233" s="66">
        <f>1515</f>
        <v>1515</v>
      </c>
      <c r="N233" s="67" t="s">
        <v>119</v>
      </c>
      <c r="O233" s="66">
        <f>1418</f>
        <v>1418</v>
      </c>
      <c r="P233" s="67" t="s">
        <v>86</v>
      </c>
      <c r="Q233" s="66">
        <f>1426</f>
        <v>1426</v>
      </c>
      <c r="R233" s="67" t="s">
        <v>245</v>
      </c>
      <c r="S233" s="68">
        <f>1458.82</f>
        <v>1458.82</v>
      </c>
      <c r="T233" s="65">
        <f>2018800</f>
        <v>2018800</v>
      </c>
      <c r="U233" s="65">
        <f>2000000</f>
        <v>2000000</v>
      </c>
      <c r="V233" s="65">
        <f>2976895350</f>
        <v>2976895350</v>
      </c>
      <c r="W233" s="65">
        <f>2949320000</f>
        <v>2949320000</v>
      </c>
      <c r="X233" s="69">
        <f>17</f>
        <v>17</v>
      </c>
    </row>
    <row r="234" spans="1:24">
      <c r="A234" s="60" t="s">
        <v>844</v>
      </c>
      <c r="B234" s="60" t="s">
        <v>689</v>
      </c>
      <c r="C234" s="60" t="s">
        <v>690</v>
      </c>
      <c r="D234" s="60" t="s">
        <v>691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10</v>
      </c>
      <c r="K234" s="66">
        <f>1677</f>
        <v>1677</v>
      </c>
      <c r="L234" s="67" t="s">
        <v>840</v>
      </c>
      <c r="M234" s="66">
        <f>1677</f>
        <v>1677</v>
      </c>
      <c r="N234" s="67" t="s">
        <v>840</v>
      </c>
      <c r="O234" s="66">
        <f>1569</f>
        <v>1569</v>
      </c>
      <c r="P234" s="67" t="s">
        <v>815</v>
      </c>
      <c r="Q234" s="66">
        <f>1603</f>
        <v>1603</v>
      </c>
      <c r="R234" s="67" t="s">
        <v>821</v>
      </c>
      <c r="S234" s="68">
        <f>1612.15</f>
        <v>1612.15</v>
      </c>
      <c r="T234" s="65">
        <f>296150</f>
        <v>296150</v>
      </c>
      <c r="U234" s="65">
        <f>180000</f>
        <v>180000</v>
      </c>
      <c r="V234" s="65">
        <f>482746970</f>
        <v>482746970</v>
      </c>
      <c r="W234" s="65">
        <f>294669000</f>
        <v>294669000</v>
      </c>
      <c r="X234" s="69">
        <f>13</f>
        <v>13</v>
      </c>
    </row>
    <row r="235" spans="1:24">
      <c r="A235" s="60" t="s">
        <v>844</v>
      </c>
      <c r="B235" s="60" t="s">
        <v>692</v>
      </c>
      <c r="C235" s="60" t="s">
        <v>693</v>
      </c>
      <c r="D235" s="60" t="s">
        <v>694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</v>
      </c>
      <c r="K235" s="66">
        <f>22550</f>
        <v>22550</v>
      </c>
      <c r="L235" s="67" t="s">
        <v>833</v>
      </c>
      <c r="M235" s="66">
        <f>23450</f>
        <v>23450</v>
      </c>
      <c r="N235" s="67" t="s">
        <v>65</v>
      </c>
      <c r="O235" s="66">
        <f>22250</f>
        <v>22250</v>
      </c>
      <c r="P235" s="67" t="s">
        <v>86</v>
      </c>
      <c r="Q235" s="66">
        <f>22750</f>
        <v>22750</v>
      </c>
      <c r="R235" s="67" t="s">
        <v>50</v>
      </c>
      <c r="S235" s="68">
        <f>22858.89</f>
        <v>22858.89</v>
      </c>
      <c r="T235" s="65">
        <f>8451</f>
        <v>8451</v>
      </c>
      <c r="U235" s="65" t="str">
        <f>"－"</f>
        <v>－</v>
      </c>
      <c r="V235" s="65">
        <f>192296420</f>
        <v>192296420</v>
      </c>
      <c r="W235" s="65" t="str">
        <f>"－"</f>
        <v>－</v>
      </c>
      <c r="X235" s="69">
        <f>9</f>
        <v>9</v>
      </c>
    </row>
    <row r="236" spans="1:24">
      <c r="A236" s="60" t="s">
        <v>844</v>
      </c>
      <c r="B236" s="60" t="s">
        <v>695</v>
      </c>
      <c r="C236" s="60" t="s">
        <v>696</v>
      </c>
      <c r="D236" s="60" t="s">
        <v>697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</v>
      </c>
      <c r="K236" s="66">
        <f>14680</f>
        <v>14680</v>
      </c>
      <c r="L236" s="67" t="s">
        <v>814</v>
      </c>
      <c r="M236" s="66">
        <f>14970</f>
        <v>14970</v>
      </c>
      <c r="N236" s="67" t="s">
        <v>79</v>
      </c>
      <c r="O236" s="66">
        <f>14040</f>
        <v>14040</v>
      </c>
      <c r="P236" s="67" t="s">
        <v>86</v>
      </c>
      <c r="Q236" s="66">
        <f>14350</f>
        <v>14350</v>
      </c>
      <c r="R236" s="67" t="s">
        <v>50</v>
      </c>
      <c r="S236" s="68">
        <f>14563.33</f>
        <v>14563.33</v>
      </c>
      <c r="T236" s="65">
        <f>48242</f>
        <v>48242</v>
      </c>
      <c r="U236" s="65">
        <f>10000</f>
        <v>10000</v>
      </c>
      <c r="V236" s="65">
        <f>706072050</f>
        <v>706072050</v>
      </c>
      <c r="W236" s="65">
        <f>145790000</f>
        <v>145790000</v>
      </c>
      <c r="X236" s="69">
        <f>15</f>
        <v>15</v>
      </c>
    </row>
    <row r="237" spans="1:24">
      <c r="A237" s="60" t="s">
        <v>844</v>
      </c>
      <c r="B237" s="60" t="s">
        <v>698</v>
      </c>
      <c r="C237" s="60" t="s">
        <v>699</v>
      </c>
      <c r="D237" s="60" t="s">
        <v>700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10</v>
      </c>
      <c r="K237" s="66">
        <f>995</f>
        <v>995</v>
      </c>
      <c r="L237" s="67" t="s">
        <v>840</v>
      </c>
      <c r="M237" s="66">
        <f>1035</f>
        <v>1035</v>
      </c>
      <c r="N237" s="67" t="s">
        <v>119</v>
      </c>
      <c r="O237" s="66">
        <f>970</f>
        <v>970</v>
      </c>
      <c r="P237" s="67" t="s">
        <v>815</v>
      </c>
      <c r="Q237" s="66">
        <f>986</f>
        <v>986</v>
      </c>
      <c r="R237" s="67" t="s">
        <v>245</v>
      </c>
      <c r="S237" s="68">
        <f>1003.92</f>
        <v>1003.92</v>
      </c>
      <c r="T237" s="65">
        <f>338340</f>
        <v>338340</v>
      </c>
      <c r="U237" s="65">
        <f>204000</f>
        <v>204000</v>
      </c>
      <c r="V237" s="65">
        <f>336450590</f>
        <v>336450590</v>
      </c>
      <c r="W237" s="65">
        <f>202179700</f>
        <v>202179700</v>
      </c>
      <c r="X237" s="69">
        <f>12</f>
        <v>12</v>
      </c>
    </row>
    <row r="238" spans="1:24">
      <c r="A238" s="60" t="s">
        <v>844</v>
      </c>
      <c r="B238" s="60" t="s">
        <v>701</v>
      </c>
      <c r="C238" s="60" t="s">
        <v>702</v>
      </c>
      <c r="D238" s="60" t="s">
        <v>703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10</v>
      </c>
      <c r="K238" s="66">
        <f>986</f>
        <v>986</v>
      </c>
      <c r="L238" s="67" t="s">
        <v>840</v>
      </c>
      <c r="M238" s="66">
        <f>1024</f>
        <v>1024</v>
      </c>
      <c r="N238" s="67" t="s">
        <v>818</v>
      </c>
      <c r="O238" s="66">
        <f>935</f>
        <v>935</v>
      </c>
      <c r="P238" s="67" t="s">
        <v>815</v>
      </c>
      <c r="Q238" s="66">
        <f>961</f>
        <v>961</v>
      </c>
      <c r="R238" s="67" t="s">
        <v>50</v>
      </c>
      <c r="S238" s="68">
        <f>990.11</f>
        <v>990.11</v>
      </c>
      <c r="T238" s="65">
        <f>22730</f>
        <v>22730</v>
      </c>
      <c r="U238" s="65" t="str">
        <f t="shared" ref="U238:U246" si="6">"－"</f>
        <v>－</v>
      </c>
      <c r="V238" s="65">
        <f>22722960</f>
        <v>22722960</v>
      </c>
      <c r="W238" s="65" t="str">
        <f t="shared" ref="W238:W246" si="7">"－"</f>
        <v>－</v>
      </c>
      <c r="X238" s="69">
        <f>19</f>
        <v>19</v>
      </c>
    </row>
    <row r="239" spans="1:24">
      <c r="A239" s="60" t="s">
        <v>844</v>
      </c>
      <c r="B239" s="60" t="s">
        <v>704</v>
      </c>
      <c r="C239" s="60" t="s">
        <v>705</v>
      </c>
      <c r="D239" s="60" t="s">
        <v>706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</v>
      </c>
      <c r="K239" s="66">
        <f>880</f>
        <v>880</v>
      </c>
      <c r="L239" s="67" t="s">
        <v>840</v>
      </c>
      <c r="M239" s="66">
        <f>933</f>
        <v>933</v>
      </c>
      <c r="N239" s="67" t="s">
        <v>119</v>
      </c>
      <c r="O239" s="66">
        <f>863</f>
        <v>863</v>
      </c>
      <c r="P239" s="67" t="s">
        <v>245</v>
      </c>
      <c r="Q239" s="66">
        <f>875</f>
        <v>875</v>
      </c>
      <c r="R239" s="67" t="s">
        <v>50</v>
      </c>
      <c r="S239" s="68">
        <f>893.82</f>
        <v>893.82</v>
      </c>
      <c r="T239" s="65">
        <f>28917</f>
        <v>28917</v>
      </c>
      <c r="U239" s="65" t="str">
        <f t="shared" si="6"/>
        <v>－</v>
      </c>
      <c r="V239" s="65">
        <f>25801662</f>
        <v>25801662</v>
      </c>
      <c r="W239" s="65" t="str">
        <f t="shared" si="7"/>
        <v>－</v>
      </c>
      <c r="X239" s="69">
        <f>22</f>
        <v>22</v>
      </c>
    </row>
    <row r="240" spans="1:24">
      <c r="A240" s="60" t="s">
        <v>844</v>
      </c>
      <c r="B240" s="60" t="s">
        <v>707</v>
      </c>
      <c r="C240" s="60" t="s">
        <v>708</v>
      </c>
      <c r="D240" s="60" t="s">
        <v>709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</v>
      </c>
      <c r="K240" s="66">
        <f>9650</f>
        <v>9650</v>
      </c>
      <c r="L240" s="67" t="s">
        <v>840</v>
      </c>
      <c r="M240" s="66">
        <f>10000</f>
        <v>10000</v>
      </c>
      <c r="N240" s="67" t="s">
        <v>65</v>
      </c>
      <c r="O240" s="66">
        <f>9510</f>
        <v>9510</v>
      </c>
      <c r="P240" s="67" t="s">
        <v>245</v>
      </c>
      <c r="Q240" s="66">
        <f>9750</f>
        <v>9750</v>
      </c>
      <c r="R240" s="67" t="s">
        <v>50</v>
      </c>
      <c r="S240" s="68">
        <f>9804.76</f>
        <v>9804.76</v>
      </c>
      <c r="T240" s="65">
        <f>1263</f>
        <v>1263</v>
      </c>
      <c r="U240" s="65" t="str">
        <f t="shared" si="6"/>
        <v>－</v>
      </c>
      <c r="V240" s="65">
        <f>12355500</f>
        <v>12355500</v>
      </c>
      <c r="W240" s="65" t="str">
        <f t="shared" si="7"/>
        <v>－</v>
      </c>
      <c r="X240" s="69">
        <f>21</f>
        <v>21</v>
      </c>
    </row>
    <row r="241" spans="1:24">
      <c r="A241" s="60" t="s">
        <v>844</v>
      </c>
      <c r="B241" s="60" t="s">
        <v>710</v>
      </c>
      <c r="C241" s="60" t="s">
        <v>711</v>
      </c>
      <c r="D241" s="60" t="s">
        <v>712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</v>
      </c>
      <c r="K241" s="66">
        <f>1838</f>
        <v>1838</v>
      </c>
      <c r="L241" s="67" t="s">
        <v>840</v>
      </c>
      <c r="M241" s="66">
        <f>2000</f>
        <v>2000</v>
      </c>
      <c r="N241" s="67" t="s">
        <v>65</v>
      </c>
      <c r="O241" s="66">
        <f>1756</f>
        <v>1756</v>
      </c>
      <c r="P241" s="67" t="s">
        <v>50</v>
      </c>
      <c r="Q241" s="66">
        <f>1769</f>
        <v>1769</v>
      </c>
      <c r="R241" s="67" t="s">
        <v>50</v>
      </c>
      <c r="S241" s="68">
        <f>1854.23</f>
        <v>1854.23</v>
      </c>
      <c r="T241" s="65">
        <f>18431</f>
        <v>18431</v>
      </c>
      <c r="U241" s="65" t="str">
        <f t="shared" si="6"/>
        <v>－</v>
      </c>
      <c r="V241" s="65">
        <f>34265507</f>
        <v>34265507</v>
      </c>
      <c r="W241" s="65" t="str">
        <f t="shared" si="7"/>
        <v>－</v>
      </c>
      <c r="X241" s="69">
        <f>22</f>
        <v>22</v>
      </c>
    </row>
    <row r="242" spans="1:24">
      <c r="A242" s="60" t="s">
        <v>844</v>
      </c>
      <c r="B242" s="60" t="s">
        <v>713</v>
      </c>
      <c r="C242" s="60" t="s">
        <v>714</v>
      </c>
      <c r="D242" s="60" t="s">
        <v>715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10</v>
      </c>
      <c r="K242" s="66">
        <f>1049</f>
        <v>1049</v>
      </c>
      <c r="L242" s="67" t="s">
        <v>814</v>
      </c>
      <c r="M242" s="66">
        <f>1300</f>
        <v>1300</v>
      </c>
      <c r="N242" s="67" t="s">
        <v>817</v>
      </c>
      <c r="O242" s="66">
        <f>1019</f>
        <v>1019</v>
      </c>
      <c r="P242" s="67" t="s">
        <v>814</v>
      </c>
      <c r="Q242" s="66">
        <f>1130</f>
        <v>1130</v>
      </c>
      <c r="R242" s="67" t="s">
        <v>245</v>
      </c>
      <c r="S242" s="68">
        <f>1120.8</f>
        <v>1120.8</v>
      </c>
      <c r="T242" s="65">
        <f>1910</f>
        <v>1910</v>
      </c>
      <c r="U242" s="65" t="str">
        <f t="shared" si="6"/>
        <v>－</v>
      </c>
      <c r="V242" s="65">
        <f>2141370</f>
        <v>2141370</v>
      </c>
      <c r="W242" s="65" t="str">
        <f t="shared" si="7"/>
        <v>－</v>
      </c>
      <c r="X242" s="69">
        <f>15</f>
        <v>15</v>
      </c>
    </row>
    <row r="243" spans="1:24">
      <c r="A243" s="60" t="s">
        <v>844</v>
      </c>
      <c r="B243" s="60" t="s">
        <v>716</v>
      </c>
      <c r="C243" s="60" t="s">
        <v>717</v>
      </c>
      <c r="D243" s="60" t="s">
        <v>718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f>1013</f>
        <v>1013</v>
      </c>
      <c r="L243" s="67" t="s">
        <v>840</v>
      </c>
      <c r="M243" s="66">
        <f>1030</f>
        <v>1030</v>
      </c>
      <c r="N243" s="67" t="s">
        <v>833</v>
      </c>
      <c r="O243" s="66">
        <f>1005</f>
        <v>1005</v>
      </c>
      <c r="P243" s="67" t="s">
        <v>818</v>
      </c>
      <c r="Q243" s="66">
        <f>1020</f>
        <v>1020</v>
      </c>
      <c r="R243" s="67" t="s">
        <v>50</v>
      </c>
      <c r="S243" s="68">
        <f>1014.45</f>
        <v>1014.45</v>
      </c>
      <c r="T243" s="65">
        <f>139740</f>
        <v>139740</v>
      </c>
      <c r="U243" s="65" t="str">
        <f t="shared" si="6"/>
        <v>－</v>
      </c>
      <c r="V243" s="65">
        <f>141400090</f>
        <v>141400090</v>
      </c>
      <c r="W243" s="65" t="str">
        <f t="shared" si="7"/>
        <v>－</v>
      </c>
      <c r="X243" s="69">
        <f>22</f>
        <v>22</v>
      </c>
    </row>
    <row r="244" spans="1:24">
      <c r="A244" s="60" t="s">
        <v>844</v>
      </c>
      <c r="B244" s="60" t="s">
        <v>719</v>
      </c>
      <c r="C244" s="60" t="s">
        <v>720</v>
      </c>
      <c r="D244" s="60" t="s">
        <v>721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1731</f>
        <v>1731</v>
      </c>
      <c r="L244" s="67" t="s">
        <v>840</v>
      </c>
      <c r="M244" s="66">
        <f>1804</f>
        <v>1804</v>
      </c>
      <c r="N244" s="67" t="s">
        <v>61</v>
      </c>
      <c r="O244" s="66">
        <f>1663</f>
        <v>1663</v>
      </c>
      <c r="P244" s="67" t="s">
        <v>86</v>
      </c>
      <c r="Q244" s="66">
        <f>1701</f>
        <v>1701</v>
      </c>
      <c r="R244" s="67" t="s">
        <v>50</v>
      </c>
      <c r="S244" s="68">
        <f>1736.32</f>
        <v>1736.32</v>
      </c>
      <c r="T244" s="65">
        <f>55320</f>
        <v>55320</v>
      </c>
      <c r="U244" s="65" t="str">
        <f t="shared" si="6"/>
        <v>－</v>
      </c>
      <c r="V244" s="65">
        <f>96180810</f>
        <v>96180810</v>
      </c>
      <c r="W244" s="65" t="str">
        <f t="shared" si="7"/>
        <v>－</v>
      </c>
      <c r="X244" s="69">
        <f>22</f>
        <v>22</v>
      </c>
    </row>
    <row r="245" spans="1:24">
      <c r="A245" s="60" t="s">
        <v>844</v>
      </c>
      <c r="B245" s="60" t="s">
        <v>722</v>
      </c>
      <c r="C245" s="60" t="s">
        <v>723</v>
      </c>
      <c r="D245" s="60" t="s">
        <v>724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10</v>
      </c>
      <c r="K245" s="66">
        <f>1717</f>
        <v>1717</v>
      </c>
      <c r="L245" s="67" t="s">
        <v>840</v>
      </c>
      <c r="M245" s="66">
        <f>1785</f>
        <v>1785</v>
      </c>
      <c r="N245" s="67" t="s">
        <v>119</v>
      </c>
      <c r="O245" s="66">
        <f>1675</f>
        <v>1675</v>
      </c>
      <c r="P245" s="67" t="s">
        <v>815</v>
      </c>
      <c r="Q245" s="66">
        <f>1709</f>
        <v>1709</v>
      </c>
      <c r="R245" s="67" t="s">
        <v>50</v>
      </c>
      <c r="S245" s="68">
        <f>1732.15</f>
        <v>1732.15</v>
      </c>
      <c r="T245" s="65">
        <f>25150</f>
        <v>25150</v>
      </c>
      <c r="U245" s="65" t="str">
        <f t="shared" si="6"/>
        <v>－</v>
      </c>
      <c r="V245" s="65">
        <f>43673270</f>
        <v>43673270</v>
      </c>
      <c r="W245" s="65" t="str">
        <f t="shared" si="7"/>
        <v>－</v>
      </c>
      <c r="X245" s="69">
        <f>20</f>
        <v>20</v>
      </c>
    </row>
    <row r="246" spans="1:24">
      <c r="A246" s="60" t="s">
        <v>844</v>
      </c>
      <c r="B246" s="60" t="s">
        <v>725</v>
      </c>
      <c r="C246" s="60" t="s">
        <v>726</v>
      </c>
      <c r="D246" s="60" t="s">
        <v>727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10</v>
      </c>
      <c r="K246" s="66">
        <f>1594</f>
        <v>1594</v>
      </c>
      <c r="L246" s="67" t="s">
        <v>833</v>
      </c>
      <c r="M246" s="66">
        <f>1629</f>
        <v>1629</v>
      </c>
      <c r="N246" s="67" t="s">
        <v>309</v>
      </c>
      <c r="O246" s="66">
        <f>1549</f>
        <v>1549</v>
      </c>
      <c r="P246" s="67" t="s">
        <v>815</v>
      </c>
      <c r="Q246" s="66">
        <f>1629</f>
        <v>1629</v>
      </c>
      <c r="R246" s="67" t="s">
        <v>99</v>
      </c>
      <c r="S246" s="68">
        <f>1594.14</f>
        <v>1594.14</v>
      </c>
      <c r="T246" s="65">
        <f>840</f>
        <v>840</v>
      </c>
      <c r="U246" s="65" t="str">
        <f t="shared" si="6"/>
        <v>－</v>
      </c>
      <c r="V246" s="65">
        <f>1326720</f>
        <v>1326720</v>
      </c>
      <c r="W246" s="65" t="str">
        <f t="shared" si="7"/>
        <v>－</v>
      </c>
      <c r="X246" s="69">
        <f>7</f>
        <v>7</v>
      </c>
    </row>
    <row r="247" spans="1:24">
      <c r="A247" s="60" t="s">
        <v>844</v>
      </c>
      <c r="B247" s="60" t="s">
        <v>728</v>
      </c>
      <c r="C247" s="60" t="s">
        <v>729</v>
      </c>
      <c r="D247" s="60" t="s">
        <v>730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</v>
      </c>
      <c r="K247" s="66">
        <f>9330</f>
        <v>9330</v>
      </c>
      <c r="L247" s="67" t="s">
        <v>840</v>
      </c>
      <c r="M247" s="66">
        <f>10030</f>
        <v>10030</v>
      </c>
      <c r="N247" s="67" t="s">
        <v>65</v>
      </c>
      <c r="O247" s="66">
        <f>9000</f>
        <v>9000</v>
      </c>
      <c r="P247" s="67" t="s">
        <v>86</v>
      </c>
      <c r="Q247" s="66">
        <f>9390</f>
        <v>9390</v>
      </c>
      <c r="R247" s="67" t="s">
        <v>50</v>
      </c>
      <c r="S247" s="68">
        <f>9520</f>
        <v>9520</v>
      </c>
      <c r="T247" s="65">
        <f>389307</f>
        <v>389307</v>
      </c>
      <c r="U247" s="65">
        <f>22091</f>
        <v>22091</v>
      </c>
      <c r="V247" s="65">
        <f>3706615255</f>
        <v>3706615255</v>
      </c>
      <c r="W247" s="65">
        <f>213192105</f>
        <v>213192105</v>
      </c>
      <c r="X247" s="69">
        <f>22</f>
        <v>22</v>
      </c>
    </row>
    <row r="248" spans="1:24">
      <c r="A248" s="60" t="s">
        <v>844</v>
      </c>
      <c r="B248" s="60" t="s">
        <v>734</v>
      </c>
      <c r="C248" s="60" t="s">
        <v>735</v>
      </c>
      <c r="D248" s="60" t="s">
        <v>736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</v>
      </c>
      <c r="K248" s="66">
        <f>9060</f>
        <v>9060</v>
      </c>
      <c r="L248" s="67" t="s">
        <v>840</v>
      </c>
      <c r="M248" s="66">
        <f>9750</f>
        <v>9750</v>
      </c>
      <c r="N248" s="67" t="s">
        <v>65</v>
      </c>
      <c r="O248" s="66">
        <f>8810</f>
        <v>8810</v>
      </c>
      <c r="P248" s="67" t="s">
        <v>86</v>
      </c>
      <c r="Q248" s="66">
        <f>9230</f>
        <v>9230</v>
      </c>
      <c r="R248" s="67" t="s">
        <v>50</v>
      </c>
      <c r="S248" s="68">
        <f>9261.36</f>
        <v>9261.36</v>
      </c>
      <c r="T248" s="65">
        <f>47651</f>
        <v>47651</v>
      </c>
      <c r="U248" s="65">
        <f>74</f>
        <v>74</v>
      </c>
      <c r="V248" s="65">
        <f>442974200</f>
        <v>442974200</v>
      </c>
      <c r="W248" s="65">
        <f>687080</f>
        <v>687080</v>
      </c>
      <c r="X248" s="69">
        <f>22</f>
        <v>22</v>
      </c>
    </row>
    <row r="249" spans="1:24">
      <c r="A249" s="60" t="s">
        <v>844</v>
      </c>
      <c r="B249" s="60" t="s">
        <v>824</v>
      </c>
      <c r="C249" s="60" t="s">
        <v>825</v>
      </c>
      <c r="D249" s="60" t="s">
        <v>826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</v>
      </c>
      <c r="K249" s="66">
        <f>21000</f>
        <v>21000</v>
      </c>
      <c r="L249" s="67" t="s">
        <v>833</v>
      </c>
      <c r="M249" s="66">
        <f>21500</f>
        <v>21500</v>
      </c>
      <c r="N249" s="67" t="s">
        <v>61</v>
      </c>
      <c r="O249" s="66">
        <f>20620</f>
        <v>20620</v>
      </c>
      <c r="P249" s="67" t="s">
        <v>245</v>
      </c>
      <c r="Q249" s="66">
        <f>20620</f>
        <v>20620</v>
      </c>
      <c r="R249" s="67" t="s">
        <v>245</v>
      </c>
      <c r="S249" s="68">
        <f>21080</f>
        <v>21080</v>
      </c>
      <c r="T249" s="65">
        <f>149</f>
        <v>149</v>
      </c>
      <c r="U249" s="65" t="str">
        <f>"－"</f>
        <v>－</v>
      </c>
      <c r="V249" s="65">
        <f>3156350</f>
        <v>3156350</v>
      </c>
      <c r="W249" s="65" t="str">
        <f>"－"</f>
        <v>－</v>
      </c>
      <c r="X249" s="69">
        <f>10</f>
        <v>10</v>
      </c>
    </row>
    <row r="250" spans="1:24">
      <c r="A250" s="60" t="s">
        <v>844</v>
      </c>
      <c r="B250" s="60" t="s">
        <v>828</v>
      </c>
      <c r="C250" s="60" t="s">
        <v>829</v>
      </c>
      <c r="D250" s="60" t="s">
        <v>830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2756</f>
        <v>2756</v>
      </c>
      <c r="L250" s="67" t="s">
        <v>840</v>
      </c>
      <c r="M250" s="66">
        <f>2757</f>
        <v>2757</v>
      </c>
      <c r="N250" s="67" t="s">
        <v>815</v>
      </c>
      <c r="O250" s="66">
        <f>2735</f>
        <v>2735</v>
      </c>
      <c r="P250" s="67" t="s">
        <v>65</v>
      </c>
      <c r="Q250" s="66">
        <f>2737</f>
        <v>2737</v>
      </c>
      <c r="R250" s="67" t="s">
        <v>50</v>
      </c>
      <c r="S250" s="68">
        <f>2744.27</f>
        <v>2744.27</v>
      </c>
      <c r="T250" s="65">
        <f>283939</f>
        <v>283939</v>
      </c>
      <c r="U250" s="65">
        <f>216585</f>
        <v>216585</v>
      </c>
      <c r="V250" s="65">
        <f>780274514</f>
        <v>780274514</v>
      </c>
      <c r="W250" s="65">
        <f>595477636</f>
        <v>595477636</v>
      </c>
      <c r="X250" s="69">
        <f>22</f>
        <v>22</v>
      </c>
    </row>
    <row r="251" spans="1:24">
      <c r="A251" s="60" t="s">
        <v>844</v>
      </c>
      <c r="B251" s="60" t="s">
        <v>835</v>
      </c>
      <c r="C251" s="60" t="s">
        <v>836</v>
      </c>
      <c r="D251" s="60" t="s">
        <v>837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10</v>
      </c>
      <c r="K251" s="66">
        <f>2187</f>
        <v>2187</v>
      </c>
      <c r="L251" s="67" t="s">
        <v>840</v>
      </c>
      <c r="M251" s="66">
        <f>2386</f>
        <v>2386</v>
      </c>
      <c r="N251" s="67" t="s">
        <v>119</v>
      </c>
      <c r="O251" s="66">
        <f>2137</f>
        <v>2137</v>
      </c>
      <c r="P251" s="67" t="s">
        <v>86</v>
      </c>
      <c r="Q251" s="66">
        <f>2208</f>
        <v>2208</v>
      </c>
      <c r="R251" s="67" t="s">
        <v>50</v>
      </c>
      <c r="S251" s="68">
        <f>2249.59</f>
        <v>2249.59</v>
      </c>
      <c r="T251" s="65">
        <f>997230</f>
        <v>997230</v>
      </c>
      <c r="U251" s="65">
        <f>318600</f>
        <v>318600</v>
      </c>
      <c r="V251" s="65">
        <f>2221163120</f>
        <v>2221163120</v>
      </c>
      <c r="W251" s="65">
        <f>702062520</f>
        <v>702062520</v>
      </c>
      <c r="X251" s="69">
        <f>22</f>
        <v>22</v>
      </c>
    </row>
    <row r="252" spans="1:24">
      <c r="A252" s="60" t="s">
        <v>844</v>
      </c>
      <c r="B252" s="60" t="s">
        <v>849</v>
      </c>
      <c r="C252" s="60" t="s">
        <v>850</v>
      </c>
      <c r="D252" s="60" t="s">
        <v>851</v>
      </c>
      <c r="E252" s="61" t="s">
        <v>731</v>
      </c>
      <c r="F252" s="62" t="s">
        <v>732</v>
      </c>
      <c r="G252" s="63" t="s">
        <v>852</v>
      </c>
      <c r="H252" s="64"/>
      <c r="I252" s="64" t="s">
        <v>47</v>
      </c>
      <c r="J252" s="65">
        <v>1</v>
      </c>
      <c r="K252" s="66">
        <f>2014</f>
        <v>2014</v>
      </c>
      <c r="L252" s="67" t="s">
        <v>819</v>
      </c>
      <c r="M252" s="66">
        <f>2035</f>
        <v>2035</v>
      </c>
      <c r="N252" s="67" t="s">
        <v>175</v>
      </c>
      <c r="O252" s="66">
        <f>1940</f>
        <v>1940</v>
      </c>
      <c r="P252" s="67" t="s">
        <v>245</v>
      </c>
      <c r="Q252" s="66">
        <f>1975</f>
        <v>1975</v>
      </c>
      <c r="R252" s="67" t="s">
        <v>50</v>
      </c>
      <c r="S252" s="68">
        <f>1993</f>
        <v>1993</v>
      </c>
      <c r="T252" s="65">
        <f>69743</f>
        <v>69743</v>
      </c>
      <c r="U252" s="65" t="str">
        <f>"－"</f>
        <v>－</v>
      </c>
      <c r="V252" s="65">
        <f>139136797</f>
        <v>139136797</v>
      </c>
      <c r="W252" s="65" t="str">
        <f>"－"</f>
        <v>－</v>
      </c>
      <c r="X252" s="69">
        <f>8</f>
        <v>8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CD085-2827-4BAA-8394-04612AA01CB1}">
  <sheetPr>
    <pageSetUpPr fitToPage="1"/>
  </sheetPr>
  <dimension ref="A1:X251"/>
  <sheetViews>
    <sheetView showGridLines="0" view="pageBreakPreview" zoomScaleNormal="70" zoomScaleSheetLayoutView="100" workbookViewId="0"/>
  </sheetViews>
  <sheetFormatPr defaultRowHeight="13.5"/>
  <cols>
    <col min="1" max="1" width="13.125" style="1" bestFit="1" customWidth="1"/>
    <col min="2" max="2" width="10.75" style="1" bestFit="1" customWidth="1"/>
    <col min="3" max="4" width="27.625" style="1" customWidth="1"/>
    <col min="5" max="5" width="13.75" style="1" bestFit="1" customWidth="1"/>
    <col min="6" max="6" width="20.75" style="1" bestFit="1" customWidth="1"/>
    <col min="7" max="7" width="11.25" style="1" customWidth="1"/>
    <col min="8" max="8" width="8.75" style="1" bestFit="1" customWidth="1"/>
    <col min="9" max="9" width="11.75" style="1" bestFit="1" customWidth="1"/>
    <col min="10" max="10" width="12.625" style="1" bestFit="1" customWidth="1"/>
    <col min="11" max="11" width="16.25" style="1" customWidth="1"/>
    <col min="12" max="12" width="5.625" style="1" bestFit="1" customWidth="1"/>
    <col min="13" max="13" width="16.25" style="1" customWidth="1"/>
    <col min="14" max="14" width="5.625" style="1" bestFit="1" customWidth="1"/>
    <col min="15" max="15" width="16.25" style="1" customWidth="1"/>
    <col min="16" max="16" width="5.625" style="1" bestFit="1" customWidth="1"/>
    <col min="17" max="17" width="16.25" style="1" customWidth="1"/>
    <col min="18" max="18" width="5.625" style="1" bestFit="1" customWidth="1"/>
    <col min="19" max="19" width="23.875" style="1" bestFit="1" customWidth="1"/>
    <col min="20" max="20" width="16.25" style="1" customWidth="1"/>
    <col min="21" max="21" width="24.125" style="1" customWidth="1"/>
    <col min="22" max="22" width="19.875" style="1" bestFit="1" customWidth="1"/>
    <col min="23" max="23" width="25" style="1" bestFit="1" customWidth="1"/>
    <col min="24" max="24" width="13.12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842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1547</f>
        <v>1547</v>
      </c>
      <c r="L7" s="67" t="s">
        <v>840</v>
      </c>
      <c r="M7" s="66">
        <f>1680</f>
        <v>1680</v>
      </c>
      <c r="N7" s="67" t="s">
        <v>95</v>
      </c>
      <c r="O7" s="66">
        <f>1505</f>
        <v>1505</v>
      </c>
      <c r="P7" s="67" t="s">
        <v>100</v>
      </c>
      <c r="Q7" s="66">
        <f>1660</f>
        <v>1660</v>
      </c>
      <c r="R7" s="67" t="s">
        <v>245</v>
      </c>
      <c r="S7" s="68">
        <f>1580.44</f>
        <v>1580.44</v>
      </c>
      <c r="T7" s="65">
        <f>6156910</f>
        <v>6156910</v>
      </c>
      <c r="U7" s="65">
        <f>3675850</f>
        <v>3675850</v>
      </c>
      <c r="V7" s="65">
        <f>9794314642</f>
        <v>9794314642</v>
      </c>
      <c r="W7" s="65">
        <f>5851508862</f>
        <v>5851508862</v>
      </c>
      <c r="X7" s="69">
        <f>18</f>
        <v>18</v>
      </c>
    </row>
    <row r="8" spans="1:24">
      <c r="A8" s="60" t="s">
        <v>842</v>
      </c>
      <c r="B8" s="60" t="s">
        <v>52</v>
      </c>
      <c r="C8" s="60" t="s">
        <v>53</v>
      </c>
      <c r="D8" s="60" t="s">
        <v>54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1525</f>
        <v>1525</v>
      </c>
      <c r="L8" s="67" t="s">
        <v>840</v>
      </c>
      <c r="M8" s="66">
        <f>1660</f>
        <v>1660</v>
      </c>
      <c r="N8" s="67" t="s">
        <v>95</v>
      </c>
      <c r="O8" s="66">
        <f>1486</f>
        <v>1486</v>
      </c>
      <c r="P8" s="67" t="s">
        <v>100</v>
      </c>
      <c r="Q8" s="66">
        <f>1640</f>
        <v>1640</v>
      </c>
      <c r="R8" s="67" t="s">
        <v>245</v>
      </c>
      <c r="S8" s="68">
        <f>1562.28</f>
        <v>1562.28</v>
      </c>
      <c r="T8" s="65">
        <f>47351740</f>
        <v>47351740</v>
      </c>
      <c r="U8" s="65">
        <f>8520500</f>
        <v>8520500</v>
      </c>
      <c r="V8" s="65">
        <f>74072499811</f>
        <v>74072499811</v>
      </c>
      <c r="W8" s="65">
        <f>13507550171</f>
        <v>13507550171</v>
      </c>
      <c r="X8" s="69">
        <f>18</f>
        <v>18</v>
      </c>
    </row>
    <row r="9" spans="1:24">
      <c r="A9" s="60" t="s">
        <v>842</v>
      </c>
      <c r="B9" s="60" t="s">
        <v>55</v>
      </c>
      <c r="C9" s="60" t="s">
        <v>56</v>
      </c>
      <c r="D9" s="60" t="s">
        <v>57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1511</f>
        <v>1511</v>
      </c>
      <c r="L9" s="67" t="s">
        <v>840</v>
      </c>
      <c r="M9" s="66">
        <f>1642</f>
        <v>1642</v>
      </c>
      <c r="N9" s="67" t="s">
        <v>95</v>
      </c>
      <c r="O9" s="66">
        <f>1471</f>
        <v>1471</v>
      </c>
      <c r="P9" s="67" t="s">
        <v>100</v>
      </c>
      <c r="Q9" s="66">
        <f>1619</f>
        <v>1619</v>
      </c>
      <c r="R9" s="67" t="s">
        <v>245</v>
      </c>
      <c r="S9" s="68">
        <f>1544.67</f>
        <v>1544.67</v>
      </c>
      <c r="T9" s="65">
        <f>7821600</f>
        <v>7821600</v>
      </c>
      <c r="U9" s="65">
        <f>3867800</f>
        <v>3867800</v>
      </c>
      <c r="V9" s="65">
        <f>12227839300</f>
        <v>12227839300</v>
      </c>
      <c r="W9" s="65">
        <f>6054386900</f>
        <v>6054386900</v>
      </c>
      <c r="X9" s="69">
        <f>18</f>
        <v>18</v>
      </c>
    </row>
    <row r="10" spans="1:24">
      <c r="A10" s="60" t="s">
        <v>842</v>
      </c>
      <c r="B10" s="60" t="s">
        <v>58</v>
      </c>
      <c r="C10" s="60" t="s">
        <v>59</v>
      </c>
      <c r="D10" s="60" t="s">
        <v>60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31900</f>
        <v>31900</v>
      </c>
      <c r="L10" s="67" t="s">
        <v>840</v>
      </c>
      <c r="M10" s="66">
        <f>32850</f>
        <v>32850</v>
      </c>
      <c r="N10" s="67" t="s">
        <v>834</v>
      </c>
      <c r="O10" s="66">
        <f>30850</f>
        <v>30850</v>
      </c>
      <c r="P10" s="67" t="s">
        <v>840</v>
      </c>
      <c r="Q10" s="66">
        <f>31150</f>
        <v>31150</v>
      </c>
      <c r="R10" s="67" t="s">
        <v>245</v>
      </c>
      <c r="S10" s="68">
        <f>31769.44</f>
        <v>31769.439999999999</v>
      </c>
      <c r="T10" s="65">
        <f>5319</f>
        <v>5319</v>
      </c>
      <c r="U10" s="65">
        <f>3</f>
        <v>3</v>
      </c>
      <c r="V10" s="65">
        <f>168912750</f>
        <v>168912750</v>
      </c>
      <c r="W10" s="65">
        <f>93900</f>
        <v>93900</v>
      </c>
      <c r="X10" s="69">
        <f>18</f>
        <v>18</v>
      </c>
    </row>
    <row r="11" spans="1:24">
      <c r="A11" s="60" t="s">
        <v>842</v>
      </c>
      <c r="B11" s="60" t="s">
        <v>62</v>
      </c>
      <c r="C11" s="60" t="s">
        <v>63</v>
      </c>
      <c r="D11" s="60" t="s">
        <v>64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660</f>
        <v>660</v>
      </c>
      <c r="L11" s="67" t="s">
        <v>840</v>
      </c>
      <c r="M11" s="66">
        <f>746</f>
        <v>746</v>
      </c>
      <c r="N11" s="67" t="s">
        <v>95</v>
      </c>
      <c r="O11" s="66">
        <f>643</f>
        <v>643</v>
      </c>
      <c r="P11" s="67" t="s">
        <v>840</v>
      </c>
      <c r="Q11" s="66">
        <f>740</f>
        <v>740</v>
      </c>
      <c r="R11" s="67" t="s">
        <v>245</v>
      </c>
      <c r="S11" s="68">
        <f>682.61</f>
        <v>682.61</v>
      </c>
      <c r="T11" s="65">
        <f>220650</f>
        <v>220650</v>
      </c>
      <c r="U11" s="65" t="str">
        <f>"－"</f>
        <v>－</v>
      </c>
      <c r="V11" s="65">
        <f>153800300</f>
        <v>153800300</v>
      </c>
      <c r="W11" s="65" t="str">
        <f>"－"</f>
        <v>－</v>
      </c>
      <c r="X11" s="69">
        <f>18</f>
        <v>18</v>
      </c>
    </row>
    <row r="12" spans="1:24">
      <c r="A12" s="60" t="s">
        <v>842</v>
      </c>
      <c r="B12" s="60" t="s">
        <v>66</v>
      </c>
      <c r="C12" s="60" t="s">
        <v>67</v>
      </c>
      <c r="D12" s="60" t="s">
        <v>68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17040</f>
        <v>17040</v>
      </c>
      <c r="L12" s="67" t="s">
        <v>840</v>
      </c>
      <c r="M12" s="66">
        <f>18780</f>
        <v>18780</v>
      </c>
      <c r="N12" s="67" t="s">
        <v>245</v>
      </c>
      <c r="O12" s="66">
        <f>16600</f>
        <v>16600</v>
      </c>
      <c r="P12" s="67" t="s">
        <v>822</v>
      </c>
      <c r="Q12" s="66">
        <f>18330</f>
        <v>18330</v>
      </c>
      <c r="R12" s="67" t="s">
        <v>245</v>
      </c>
      <c r="S12" s="68">
        <f>17557.06</f>
        <v>17557.060000000001</v>
      </c>
      <c r="T12" s="65">
        <f>1247</f>
        <v>1247</v>
      </c>
      <c r="U12" s="65" t="str">
        <f>"－"</f>
        <v>－</v>
      </c>
      <c r="V12" s="65">
        <f>22350530</f>
        <v>22350530</v>
      </c>
      <c r="W12" s="65" t="str">
        <f>"－"</f>
        <v>－</v>
      </c>
      <c r="X12" s="69">
        <f>17</f>
        <v>17</v>
      </c>
    </row>
    <row r="13" spans="1:24">
      <c r="A13" s="60" t="s">
        <v>842</v>
      </c>
      <c r="B13" s="60" t="s">
        <v>69</v>
      </c>
      <c r="C13" s="60" t="s">
        <v>70</v>
      </c>
      <c r="D13" s="60" t="s">
        <v>71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2300</f>
        <v>2300</v>
      </c>
      <c r="L13" s="67" t="s">
        <v>840</v>
      </c>
      <c r="M13" s="66">
        <f>2398</f>
        <v>2398</v>
      </c>
      <c r="N13" s="67" t="s">
        <v>309</v>
      </c>
      <c r="O13" s="66">
        <f>2200</f>
        <v>2200</v>
      </c>
      <c r="P13" s="67" t="s">
        <v>100</v>
      </c>
      <c r="Q13" s="66">
        <f>2350</f>
        <v>2350</v>
      </c>
      <c r="R13" s="67" t="s">
        <v>95</v>
      </c>
      <c r="S13" s="68">
        <f>2275</f>
        <v>2275</v>
      </c>
      <c r="T13" s="65">
        <f>7520</f>
        <v>7520</v>
      </c>
      <c r="U13" s="65" t="str">
        <f>"－"</f>
        <v>－</v>
      </c>
      <c r="V13" s="65">
        <f>17243950</f>
        <v>17243950</v>
      </c>
      <c r="W13" s="65" t="str">
        <f>"－"</f>
        <v>－</v>
      </c>
      <c r="X13" s="69">
        <f>16</f>
        <v>16</v>
      </c>
    </row>
    <row r="14" spans="1:24">
      <c r="A14" s="60" t="s">
        <v>842</v>
      </c>
      <c r="B14" s="60" t="s">
        <v>73</v>
      </c>
      <c r="C14" s="60" t="s">
        <v>74</v>
      </c>
      <c r="D14" s="60" t="s">
        <v>75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296</f>
        <v>296</v>
      </c>
      <c r="L14" s="67" t="s">
        <v>840</v>
      </c>
      <c r="M14" s="66">
        <f>316</f>
        <v>316</v>
      </c>
      <c r="N14" s="67" t="s">
        <v>95</v>
      </c>
      <c r="O14" s="66">
        <f>291</f>
        <v>291</v>
      </c>
      <c r="P14" s="67" t="s">
        <v>840</v>
      </c>
      <c r="Q14" s="66">
        <f>315</f>
        <v>315</v>
      </c>
      <c r="R14" s="67" t="s">
        <v>245</v>
      </c>
      <c r="S14" s="68">
        <f>300.81</f>
        <v>300.81</v>
      </c>
      <c r="T14" s="65">
        <f>84000</f>
        <v>84000</v>
      </c>
      <c r="U14" s="65" t="str">
        <f>"－"</f>
        <v>－</v>
      </c>
      <c r="V14" s="65">
        <f>25510000</f>
        <v>25510000</v>
      </c>
      <c r="W14" s="65" t="str">
        <f>"－"</f>
        <v>－</v>
      </c>
      <c r="X14" s="69">
        <f>16</f>
        <v>16</v>
      </c>
    </row>
    <row r="15" spans="1:24">
      <c r="A15" s="60" t="s">
        <v>842</v>
      </c>
      <c r="B15" s="60" t="s">
        <v>76</v>
      </c>
      <c r="C15" s="60" t="s">
        <v>77</v>
      </c>
      <c r="D15" s="60" t="s">
        <v>78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20730</f>
        <v>20730</v>
      </c>
      <c r="L15" s="67" t="s">
        <v>840</v>
      </c>
      <c r="M15" s="66">
        <f>22800</f>
        <v>22800</v>
      </c>
      <c r="N15" s="67" t="s">
        <v>245</v>
      </c>
      <c r="O15" s="66">
        <f>20170</f>
        <v>20170</v>
      </c>
      <c r="P15" s="67" t="s">
        <v>100</v>
      </c>
      <c r="Q15" s="66">
        <f>22690</f>
        <v>22690</v>
      </c>
      <c r="R15" s="67" t="s">
        <v>245</v>
      </c>
      <c r="S15" s="68">
        <f>21336.11</f>
        <v>21336.11</v>
      </c>
      <c r="T15" s="65">
        <f>1745417</f>
        <v>1745417</v>
      </c>
      <c r="U15" s="65">
        <f>14</f>
        <v>14</v>
      </c>
      <c r="V15" s="65">
        <f>38033340320</f>
        <v>38033340320</v>
      </c>
      <c r="W15" s="65">
        <f>317900</f>
        <v>317900</v>
      </c>
      <c r="X15" s="69">
        <f>18</f>
        <v>18</v>
      </c>
    </row>
    <row r="16" spans="1:24">
      <c r="A16" s="60" t="s">
        <v>842</v>
      </c>
      <c r="B16" s="60" t="s">
        <v>80</v>
      </c>
      <c r="C16" s="60" t="s">
        <v>81</v>
      </c>
      <c r="D16" s="60" t="s">
        <v>82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20760</f>
        <v>20760</v>
      </c>
      <c r="L16" s="67" t="s">
        <v>840</v>
      </c>
      <c r="M16" s="66">
        <f>22840</f>
        <v>22840</v>
      </c>
      <c r="N16" s="67" t="s">
        <v>245</v>
      </c>
      <c r="O16" s="66">
        <f>20210</f>
        <v>20210</v>
      </c>
      <c r="P16" s="67" t="s">
        <v>100</v>
      </c>
      <c r="Q16" s="66">
        <f>22750</f>
        <v>22750</v>
      </c>
      <c r="R16" s="67" t="s">
        <v>245</v>
      </c>
      <c r="S16" s="68">
        <f>21366.11</f>
        <v>21366.11</v>
      </c>
      <c r="T16" s="65">
        <f>7694845</f>
        <v>7694845</v>
      </c>
      <c r="U16" s="65">
        <f>325199</f>
        <v>325199</v>
      </c>
      <c r="V16" s="65">
        <f>165866735275</f>
        <v>165866735275</v>
      </c>
      <c r="W16" s="65">
        <f>6983506505</f>
        <v>6983506505</v>
      </c>
      <c r="X16" s="69">
        <f>18</f>
        <v>18</v>
      </c>
    </row>
    <row r="17" spans="1:24">
      <c r="A17" s="60" t="s">
        <v>842</v>
      </c>
      <c r="B17" s="60" t="s">
        <v>83</v>
      </c>
      <c r="C17" s="60" t="s">
        <v>84</v>
      </c>
      <c r="D17" s="60" t="s">
        <v>85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5300</f>
        <v>5300</v>
      </c>
      <c r="L17" s="67" t="s">
        <v>840</v>
      </c>
      <c r="M17" s="66">
        <f>5670</f>
        <v>5670</v>
      </c>
      <c r="N17" s="67" t="s">
        <v>815</v>
      </c>
      <c r="O17" s="66">
        <f>5000</f>
        <v>5000</v>
      </c>
      <c r="P17" s="67" t="s">
        <v>245</v>
      </c>
      <c r="Q17" s="66">
        <f>5090</f>
        <v>5090</v>
      </c>
      <c r="R17" s="67" t="s">
        <v>245</v>
      </c>
      <c r="S17" s="68">
        <f>5370</f>
        <v>5370</v>
      </c>
      <c r="T17" s="65">
        <f>8120</f>
        <v>8120</v>
      </c>
      <c r="U17" s="65" t="str">
        <f>"－"</f>
        <v>－</v>
      </c>
      <c r="V17" s="65">
        <f>43276700</f>
        <v>43276700</v>
      </c>
      <c r="W17" s="65" t="str">
        <f>"－"</f>
        <v>－</v>
      </c>
      <c r="X17" s="69">
        <f>18</f>
        <v>18</v>
      </c>
    </row>
    <row r="18" spans="1:24">
      <c r="A18" s="60" t="s">
        <v>842</v>
      </c>
      <c r="B18" s="60" t="s">
        <v>87</v>
      </c>
      <c r="C18" s="60" t="s">
        <v>88</v>
      </c>
      <c r="D18" s="60" t="s">
        <v>89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280</f>
        <v>280</v>
      </c>
      <c r="L18" s="67" t="s">
        <v>840</v>
      </c>
      <c r="M18" s="66">
        <f>316</f>
        <v>316</v>
      </c>
      <c r="N18" s="67" t="s">
        <v>309</v>
      </c>
      <c r="O18" s="66">
        <f>264</f>
        <v>264</v>
      </c>
      <c r="P18" s="67" t="s">
        <v>840</v>
      </c>
      <c r="Q18" s="66">
        <f>300</f>
        <v>300</v>
      </c>
      <c r="R18" s="67" t="s">
        <v>245</v>
      </c>
      <c r="S18" s="68">
        <f>292.28</f>
        <v>292.27999999999997</v>
      </c>
      <c r="T18" s="65">
        <f>30400</f>
        <v>30400</v>
      </c>
      <c r="U18" s="65" t="str">
        <f>"－"</f>
        <v>－</v>
      </c>
      <c r="V18" s="65">
        <f>8873200</f>
        <v>8873200</v>
      </c>
      <c r="W18" s="65" t="str">
        <f>"－"</f>
        <v>－</v>
      </c>
      <c r="X18" s="69">
        <f>18</f>
        <v>18</v>
      </c>
    </row>
    <row r="19" spans="1:24">
      <c r="A19" s="60" t="s">
        <v>842</v>
      </c>
      <c r="B19" s="60" t="s">
        <v>92</v>
      </c>
      <c r="C19" s="60" t="s">
        <v>93</v>
      </c>
      <c r="D19" s="60" t="s">
        <v>94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123</f>
        <v>123</v>
      </c>
      <c r="L19" s="67" t="s">
        <v>840</v>
      </c>
      <c r="M19" s="66">
        <f>132</f>
        <v>132</v>
      </c>
      <c r="N19" s="67" t="s">
        <v>150</v>
      </c>
      <c r="O19" s="66">
        <f>120</f>
        <v>120</v>
      </c>
      <c r="P19" s="67" t="s">
        <v>840</v>
      </c>
      <c r="Q19" s="66">
        <f>131</f>
        <v>131</v>
      </c>
      <c r="R19" s="67" t="s">
        <v>245</v>
      </c>
      <c r="S19" s="68">
        <f>127.56</f>
        <v>127.56</v>
      </c>
      <c r="T19" s="65">
        <f>399200</f>
        <v>399200</v>
      </c>
      <c r="U19" s="65">
        <f>1400</f>
        <v>1400</v>
      </c>
      <c r="V19" s="65">
        <f>51133300</f>
        <v>51133300</v>
      </c>
      <c r="W19" s="65">
        <f>183400</f>
        <v>183400</v>
      </c>
      <c r="X19" s="69">
        <f>18</f>
        <v>18</v>
      </c>
    </row>
    <row r="20" spans="1:24">
      <c r="A20" s="60" t="s">
        <v>842</v>
      </c>
      <c r="B20" s="60" t="s">
        <v>96</v>
      </c>
      <c r="C20" s="60" t="s">
        <v>97</v>
      </c>
      <c r="D20" s="60" t="s">
        <v>98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121</f>
        <v>121</v>
      </c>
      <c r="L20" s="67" t="s">
        <v>840</v>
      </c>
      <c r="M20" s="66">
        <f>156</f>
        <v>156</v>
      </c>
      <c r="N20" s="67" t="s">
        <v>95</v>
      </c>
      <c r="O20" s="66">
        <f>115</f>
        <v>115</v>
      </c>
      <c r="P20" s="67" t="s">
        <v>65</v>
      </c>
      <c r="Q20" s="66">
        <f>152</f>
        <v>152</v>
      </c>
      <c r="R20" s="67" t="s">
        <v>245</v>
      </c>
      <c r="S20" s="68">
        <f>127.89</f>
        <v>127.89</v>
      </c>
      <c r="T20" s="65">
        <f>1162800</f>
        <v>1162800</v>
      </c>
      <c r="U20" s="65">
        <f>4900</f>
        <v>4900</v>
      </c>
      <c r="V20" s="65">
        <f>152617200</f>
        <v>152617200</v>
      </c>
      <c r="W20" s="65">
        <f>597800</f>
        <v>597800</v>
      </c>
      <c r="X20" s="69">
        <f>18</f>
        <v>18</v>
      </c>
    </row>
    <row r="21" spans="1:24">
      <c r="A21" s="60" t="s">
        <v>842</v>
      </c>
      <c r="B21" s="60" t="s">
        <v>101</v>
      </c>
      <c r="C21" s="60" t="s">
        <v>102</v>
      </c>
      <c r="D21" s="60" t="s">
        <v>103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17100</f>
        <v>17100</v>
      </c>
      <c r="L21" s="67" t="s">
        <v>840</v>
      </c>
      <c r="M21" s="66">
        <f>17790</f>
        <v>17790</v>
      </c>
      <c r="N21" s="67" t="s">
        <v>822</v>
      </c>
      <c r="O21" s="66">
        <f>16800</f>
        <v>16800</v>
      </c>
      <c r="P21" s="67" t="s">
        <v>100</v>
      </c>
      <c r="Q21" s="66">
        <f>17360</f>
        <v>17360</v>
      </c>
      <c r="R21" s="67" t="s">
        <v>245</v>
      </c>
      <c r="S21" s="68">
        <f>17360.56</f>
        <v>17360.560000000001</v>
      </c>
      <c r="T21" s="65">
        <f>232275</f>
        <v>232275</v>
      </c>
      <c r="U21" s="65" t="str">
        <f>"－"</f>
        <v>－</v>
      </c>
      <c r="V21" s="65">
        <f>4030332540</f>
        <v>4030332540</v>
      </c>
      <c r="W21" s="65" t="str">
        <f>"－"</f>
        <v>－</v>
      </c>
      <c r="X21" s="69">
        <f>18</f>
        <v>18</v>
      </c>
    </row>
    <row r="22" spans="1:24">
      <c r="A22" s="60" t="s">
        <v>842</v>
      </c>
      <c r="B22" s="60" t="s">
        <v>104</v>
      </c>
      <c r="C22" s="60" t="s">
        <v>105</v>
      </c>
      <c r="D22" s="60" t="s">
        <v>106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2300</f>
        <v>2300</v>
      </c>
      <c r="L22" s="67" t="s">
        <v>840</v>
      </c>
      <c r="M22" s="66">
        <f>2768</f>
        <v>2768</v>
      </c>
      <c r="N22" s="67" t="s">
        <v>816</v>
      </c>
      <c r="O22" s="66">
        <f>2273</f>
        <v>2273</v>
      </c>
      <c r="P22" s="67" t="s">
        <v>840</v>
      </c>
      <c r="Q22" s="66">
        <f>2540</f>
        <v>2540</v>
      </c>
      <c r="R22" s="67" t="s">
        <v>245</v>
      </c>
      <c r="S22" s="68">
        <f>2535.56</f>
        <v>2535.56</v>
      </c>
      <c r="T22" s="65">
        <f>4296</f>
        <v>4296</v>
      </c>
      <c r="U22" s="65" t="str">
        <f>"－"</f>
        <v>－</v>
      </c>
      <c r="V22" s="65">
        <f>11118609</f>
        <v>11118609</v>
      </c>
      <c r="W22" s="65" t="str">
        <f>"－"</f>
        <v>－</v>
      </c>
      <c r="X22" s="69">
        <f>18</f>
        <v>18</v>
      </c>
    </row>
    <row r="23" spans="1:24">
      <c r="A23" s="60" t="s">
        <v>842</v>
      </c>
      <c r="B23" s="60" t="s">
        <v>107</v>
      </c>
      <c r="C23" s="60" t="s">
        <v>108</v>
      </c>
      <c r="D23" s="60" t="s">
        <v>109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4800</f>
        <v>4800</v>
      </c>
      <c r="L23" s="67" t="s">
        <v>840</v>
      </c>
      <c r="M23" s="66">
        <f>4965</f>
        <v>4965</v>
      </c>
      <c r="N23" s="67" t="s">
        <v>822</v>
      </c>
      <c r="O23" s="66">
        <f>4710</f>
        <v>4710</v>
      </c>
      <c r="P23" s="67" t="s">
        <v>100</v>
      </c>
      <c r="Q23" s="66">
        <f>4820</f>
        <v>4820</v>
      </c>
      <c r="R23" s="67" t="s">
        <v>245</v>
      </c>
      <c r="S23" s="68">
        <f>4837.78</f>
        <v>4837.78</v>
      </c>
      <c r="T23" s="65">
        <f>173580</f>
        <v>173580</v>
      </c>
      <c r="U23" s="65">
        <f>70</f>
        <v>70</v>
      </c>
      <c r="V23" s="65">
        <f>840114373</f>
        <v>840114373</v>
      </c>
      <c r="W23" s="65">
        <f>340823</f>
        <v>340823</v>
      </c>
      <c r="X23" s="69">
        <f>18</f>
        <v>18</v>
      </c>
    </row>
    <row r="24" spans="1:24">
      <c r="A24" s="60" t="s">
        <v>842</v>
      </c>
      <c r="B24" s="60" t="s">
        <v>110</v>
      </c>
      <c r="C24" s="60" t="s">
        <v>111</v>
      </c>
      <c r="D24" s="60" t="s">
        <v>112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20680</f>
        <v>20680</v>
      </c>
      <c r="L24" s="67" t="s">
        <v>840</v>
      </c>
      <c r="M24" s="66">
        <f>22740</f>
        <v>22740</v>
      </c>
      <c r="N24" s="67" t="s">
        <v>245</v>
      </c>
      <c r="O24" s="66">
        <f>20130</f>
        <v>20130</v>
      </c>
      <c r="P24" s="67" t="s">
        <v>100</v>
      </c>
      <c r="Q24" s="66">
        <f>22630</f>
        <v>22630</v>
      </c>
      <c r="R24" s="67" t="s">
        <v>245</v>
      </c>
      <c r="S24" s="68">
        <f>21276.67</f>
        <v>21276.67</v>
      </c>
      <c r="T24" s="65">
        <f>1001333</f>
        <v>1001333</v>
      </c>
      <c r="U24" s="65">
        <f>397300</f>
        <v>397300</v>
      </c>
      <c r="V24" s="65">
        <f>21592153830</f>
        <v>21592153830</v>
      </c>
      <c r="W24" s="65">
        <f>8599999100</f>
        <v>8599999100</v>
      </c>
      <c r="X24" s="69">
        <f>18</f>
        <v>18</v>
      </c>
    </row>
    <row r="25" spans="1:24">
      <c r="A25" s="60" t="s">
        <v>842</v>
      </c>
      <c r="B25" s="60" t="s">
        <v>113</v>
      </c>
      <c r="C25" s="60" t="s">
        <v>114</v>
      </c>
      <c r="D25" s="60" t="s">
        <v>115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20800</f>
        <v>20800</v>
      </c>
      <c r="L25" s="67" t="s">
        <v>840</v>
      </c>
      <c r="M25" s="66">
        <f>22880</f>
        <v>22880</v>
      </c>
      <c r="N25" s="67" t="s">
        <v>245</v>
      </c>
      <c r="O25" s="66">
        <f>20260</f>
        <v>20260</v>
      </c>
      <c r="P25" s="67" t="s">
        <v>100</v>
      </c>
      <c r="Q25" s="66">
        <f>22790</f>
        <v>22790</v>
      </c>
      <c r="R25" s="67" t="s">
        <v>245</v>
      </c>
      <c r="S25" s="68">
        <f>21420</f>
        <v>21420</v>
      </c>
      <c r="T25" s="65">
        <f>1588470</f>
        <v>1588470</v>
      </c>
      <c r="U25" s="65">
        <f>97430</f>
        <v>97430</v>
      </c>
      <c r="V25" s="65">
        <f>34324091315</f>
        <v>34324091315</v>
      </c>
      <c r="W25" s="65">
        <f>2072361215</f>
        <v>2072361215</v>
      </c>
      <c r="X25" s="69">
        <f>18</f>
        <v>18</v>
      </c>
    </row>
    <row r="26" spans="1:24">
      <c r="A26" s="60" t="s">
        <v>842</v>
      </c>
      <c r="B26" s="60" t="s">
        <v>116</v>
      </c>
      <c r="C26" s="60" t="s">
        <v>117</v>
      </c>
      <c r="D26" s="60" t="s">
        <v>118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1694</f>
        <v>1694</v>
      </c>
      <c r="L26" s="67" t="s">
        <v>840</v>
      </c>
      <c r="M26" s="66">
        <f>1828</f>
        <v>1828</v>
      </c>
      <c r="N26" s="67" t="s">
        <v>245</v>
      </c>
      <c r="O26" s="66">
        <f>1643</f>
        <v>1643</v>
      </c>
      <c r="P26" s="67" t="s">
        <v>86</v>
      </c>
      <c r="Q26" s="66">
        <f>1822</f>
        <v>1822</v>
      </c>
      <c r="R26" s="67" t="s">
        <v>245</v>
      </c>
      <c r="S26" s="68">
        <f>1731.83</f>
        <v>1731.83</v>
      </c>
      <c r="T26" s="65">
        <f>8354620</f>
        <v>8354620</v>
      </c>
      <c r="U26" s="65">
        <f>163230</f>
        <v>163230</v>
      </c>
      <c r="V26" s="65">
        <f>14447736885</f>
        <v>14447736885</v>
      </c>
      <c r="W26" s="65">
        <f>285551445</f>
        <v>285551445</v>
      </c>
      <c r="X26" s="69">
        <f>18</f>
        <v>18</v>
      </c>
    </row>
    <row r="27" spans="1:24">
      <c r="A27" s="60" t="s">
        <v>842</v>
      </c>
      <c r="B27" s="60" t="s">
        <v>120</v>
      </c>
      <c r="C27" s="60" t="s">
        <v>121</v>
      </c>
      <c r="D27" s="60" t="s">
        <v>122</v>
      </c>
      <c r="E27" s="61" t="s">
        <v>46</v>
      </c>
      <c r="F27" s="62" t="s">
        <v>46</v>
      </c>
      <c r="G27" s="63" t="s">
        <v>46</v>
      </c>
      <c r="H27" s="64"/>
      <c r="I27" s="64" t="s">
        <v>47</v>
      </c>
      <c r="J27" s="65">
        <v>10</v>
      </c>
      <c r="K27" s="66">
        <f>642</f>
        <v>642</v>
      </c>
      <c r="L27" s="67" t="s">
        <v>840</v>
      </c>
      <c r="M27" s="66">
        <f>722</f>
        <v>722</v>
      </c>
      <c r="N27" s="67" t="s">
        <v>95</v>
      </c>
      <c r="O27" s="66">
        <f>627</f>
        <v>627</v>
      </c>
      <c r="P27" s="67" t="s">
        <v>840</v>
      </c>
      <c r="Q27" s="66">
        <f>716</f>
        <v>716</v>
      </c>
      <c r="R27" s="67" t="s">
        <v>245</v>
      </c>
      <c r="S27" s="68">
        <f>657.5</f>
        <v>657.5</v>
      </c>
      <c r="T27" s="65">
        <f>30180</f>
        <v>30180</v>
      </c>
      <c r="U27" s="65" t="str">
        <f>"－"</f>
        <v>－</v>
      </c>
      <c r="V27" s="65">
        <f>20911780</f>
        <v>20911780</v>
      </c>
      <c r="W27" s="65" t="str">
        <f>"－"</f>
        <v>－</v>
      </c>
      <c r="X27" s="69">
        <f>18</f>
        <v>18</v>
      </c>
    </row>
    <row r="28" spans="1:24">
      <c r="A28" s="60" t="s">
        <v>842</v>
      </c>
      <c r="B28" s="60" t="s">
        <v>123</v>
      </c>
      <c r="C28" s="60" t="s">
        <v>124</v>
      </c>
      <c r="D28" s="60" t="s">
        <v>125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1593</f>
        <v>1593</v>
      </c>
      <c r="L28" s="67" t="s">
        <v>840</v>
      </c>
      <c r="M28" s="66">
        <f>1731</f>
        <v>1731</v>
      </c>
      <c r="N28" s="67" t="s">
        <v>245</v>
      </c>
      <c r="O28" s="66">
        <f>1555</f>
        <v>1555</v>
      </c>
      <c r="P28" s="67" t="s">
        <v>86</v>
      </c>
      <c r="Q28" s="66">
        <f>1723</f>
        <v>1723</v>
      </c>
      <c r="R28" s="67" t="s">
        <v>245</v>
      </c>
      <c r="S28" s="68">
        <f>1637.44</f>
        <v>1637.44</v>
      </c>
      <c r="T28" s="65">
        <f>1755800</f>
        <v>1755800</v>
      </c>
      <c r="U28" s="65">
        <f>37300</f>
        <v>37300</v>
      </c>
      <c r="V28" s="65">
        <f>2874711314</f>
        <v>2874711314</v>
      </c>
      <c r="W28" s="65">
        <f>63080214</f>
        <v>63080214</v>
      </c>
      <c r="X28" s="69">
        <f>18</f>
        <v>18</v>
      </c>
    </row>
    <row r="29" spans="1:24">
      <c r="A29" s="60" t="s">
        <v>842</v>
      </c>
      <c r="B29" s="60" t="s">
        <v>126</v>
      </c>
      <c r="C29" s="60" t="s">
        <v>127</v>
      </c>
      <c r="D29" s="60" t="s">
        <v>128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20700</f>
        <v>20700</v>
      </c>
      <c r="L29" s="67" t="s">
        <v>840</v>
      </c>
      <c r="M29" s="66">
        <f>22760</f>
        <v>22760</v>
      </c>
      <c r="N29" s="67" t="s">
        <v>245</v>
      </c>
      <c r="O29" s="66">
        <f>20150</f>
        <v>20150</v>
      </c>
      <c r="P29" s="67" t="s">
        <v>100</v>
      </c>
      <c r="Q29" s="66">
        <f>22660</f>
        <v>22660</v>
      </c>
      <c r="R29" s="67" t="s">
        <v>245</v>
      </c>
      <c r="S29" s="68">
        <f>21298.33</f>
        <v>21298.33</v>
      </c>
      <c r="T29" s="65">
        <f>912352</f>
        <v>912352</v>
      </c>
      <c r="U29" s="65">
        <f>98503</f>
        <v>98503</v>
      </c>
      <c r="V29" s="65">
        <f>19949126147</f>
        <v>19949126147</v>
      </c>
      <c r="W29" s="65">
        <f>2162032217</f>
        <v>2162032217</v>
      </c>
      <c r="X29" s="69">
        <f>18</f>
        <v>18</v>
      </c>
    </row>
    <row r="30" spans="1:24">
      <c r="A30" s="60" t="s">
        <v>842</v>
      </c>
      <c r="B30" s="60" t="s">
        <v>129</v>
      </c>
      <c r="C30" s="60" t="s">
        <v>130</v>
      </c>
      <c r="D30" s="60" t="s">
        <v>131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1514</f>
        <v>1514</v>
      </c>
      <c r="L30" s="67" t="s">
        <v>840</v>
      </c>
      <c r="M30" s="66">
        <f>1645</f>
        <v>1645</v>
      </c>
      <c r="N30" s="67" t="s">
        <v>95</v>
      </c>
      <c r="O30" s="66">
        <f>1476</f>
        <v>1476</v>
      </c>
      <c r="P30" s="67" t="s">
        <v>100</v>
      </c>
      <c r="Q30" s="66">
        <f>1625</f>
        <v>1625</v>
      </c>
      <c r="R30" s="67" t="s">
        <v>245</v>
      </c>
      <c r="S30" s="68">
        <f>1548.33</f>
        <v>1548.33</v>
      </c>
      <c r="T30" s="65">
        <f>1427110</f>
        <v>1427110</v>
      </c>
      <c r="U30" s="65">
        <f>320</f>
        <v>320</v>
      </c>
      <c r="V30" s="65">
        <f>2248583420</f>
        <v>2248583420</v>
      </c>
      <c r="W30" s="65">
        <f>503680</f>
        <v>503680</v>
      </c>
      <c r="X30" s="69">
        <f>18</f>
        <v>18</v>
      </c>
    </row>
    <row r="31" spans="1:24">
      <c r="A31" s="60" t="s">
        <v>842</v>
      </c>
      <c r="B31" s="60" t="s">
        <v>132</v>
      </c>
      <c r="C31" s="60" t="s">
        <v>133</v>
      </c>
      <c r="D31" s="60" t="s">
        <v>134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12490</f>
        <v>12490</v>
      </c>
      <c r="L31" s="67" t="s">
        <v>840</v>
      </c>
      <c r="M31" s="66">
        <f>12740</f>
        <v>12740</v>
      </c>
      <c r="N31" s="67" t="s">
        <v>95</v>
      </c>
      <c r="O31" s="66">
        <f>12450</f>
        <v>12450</v>
      </c>
      <c r="P31" s="67" t="s">
        <v>100</v>
      </c>
      <c r="Q31" s="66">
        <f>12720</f>
        <v>12720</v>
      </c>
      <c r="R31" s="67" t="s">
        <v>245</v>
      </c>
      <c r="S31" s="68">
        <f>12611.18</f>
        <v>12611.18</v>
      </c>
      <c r="T31" s="65">
        <f>725</f>
        <v>725</v>
      </c>
      <c r="U31" s="65" t="str">
        <f>"－"</f>
        <v>－</v>
      </c>
      <c r="V31" s="65">
        <f>9088400</f>
        <v>9088400</v>
      </c>
      <c r="W31" s="65" t="str">
        <f>"－"</f>
        <v>－</v>
      </c>
      <c r="X31" s="69">
        <f>17</f>
        <v>17</v>
      </c>
    </row>
    <row r="32" spans="1:24">
      <c r="A32" s="60" t="s">
        <v>842</v>
      </c>
      <c r="B32" s="60" t="s">
        <v>135</v>
      </c>
      <c r="C32" s="60" t="s">
        <v>136</v>
      </c>
      <c r="D32" s="60" t="s">
        <v>137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2422</f>
        <v>2422</v>
      </c>
      <c r="L32" s="67" t="s">
        <v>840</v>
      </c>
      <c r="M32" s="66">
        <f>2546</f>
        <v>2546</v>
      </c>
      <c r="N32" s="67" t="s">
        <v>100</v>
      </c>
      <c r="O32" s="66">
        <f>2021</f>
        <v>2021</v>
      </c>
      <c r="P32" s="67" t="s">
        <v>95</v>
      </c>
      <c r="Q32" s="66">
        <f>2067</f>
        <v>2067</v>
      </c>
      <c r="R32" s="67" t="s">
        <v>245</v>
      </c>
      <c r="S32" s="68">
        <f>2299.39</f>
        <v>2299.39</v>
      </c>
      <c r="T32" s="65">
        <f>7064640</f>
        <v>7064640</v>
      </c>
      <c r="U32" s="65">
        <f>8040</f>
        <v>8040</v>
      </c>
      <c r="V32" s="65">
        <f>16084596509</f>
        <v>16084596509</v>
      </c>
      <c r="W32" s="65">
        <f>18694349</f>
        <v>18694349</v>
      </c>
      <c r="X32" s="69">
        <f>18</f>
        <v>18</v>
      </c>
    </row>
    <row r="33" spans="1:24">
      <c r="A33" s="60" t="s">
        <v>842</v>
      </c>
      <c r="B33" s="60" t="s">
        <v>138</v>
      </c>
      <c r="C33" s="60" t="s">
        <v>139</v>
      </c>
      <c r="D33" s="60" t="s">
        <v>140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1039</f>
        <v>1039</v>
      </c>
      <c r="L33" s="67" t="s">
        <v>840</v>
      </c>
      <c r="M33" s="66">
        <f>1093</f>
        <v>1093</v>
      </c>
      <c r="N33" s="67" t="s">
        <v>100</v>
      </c>
      <c r="O33" s="66">
        <f>844</f>
        <v>844</v>
      </c>
      <c r="P33" s="67" t="s">
        <v>245</v>
      </c>
      <c r="Q33" s="66">
        <f>851</f>
        <v>851</v>
      </c>
      <c r="R33" s="67" t="s">
        <v>245</v>
      </c>
      <c r="S33" s="68">
        <f>973.28</f>
        <v>973.28</v>
      </c>
      <c r="T33" s="65">
        <f>1086930621</f>
        <v>1086930621</v>
      </c>
      <c r="U33" s="65">
        <f>3574677</f>
        <v>3574677</v>
      </c>
      <c r="V33" s="65">
        <f>1048907135279</f>
        <v>1048907135279</v>
      </c>
      <c r="W33" s="65">
        <f>3303265545</f>
        <v>3303265545</v>
      </c>
      <c r="X33" s="69">
        <f>18</f>
        <v>18</v>
      </c>
    </row>
    <row r="34" spans="1:24">
      <c r="A34" s="60" t="s">
        <v>842</v>
      </c>
      <c r="B34" s="60" t="s">
        <v>141</v>
      </c>
      <c r="C34" s="60" t="s">
        <v>142</v>
      </c>
      <c r="D34" s="60" t="s">
        <v>143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14340</f>
        <v>14340</v>
      </c>
      <c r="L34" s="67" t="s">
        <v>840</v>
      </c>
      <c r="M34" s="66">
        <f>17390</f>
        <v>17390</v>
      </c>
      <c r="N34" s="67" t="s">
        <v>245</v>
      </c>
      <c r="O34" s="66">
        <f>13680</f>
        <v>13680</v>
      </c>
      <c r="P34" s="67" t="s">
        <v>100</v>
      </c>
      <c r="Q34" s="66">
        <f>17230</f>
        <v>17230</v>
      </c>
      <c r="R34" s="67" t="s">
        <v>245</v>
      </c>
      <c r="S34" s="68">
        <f>15264.44</f>
        <v>15264.44</v>
      </c>
      <c r="T34" s="65">
        <f>565273</f>
        <v>565273</v>
      </c>
      <c r="U34" s="65">
        <f>234</f>
        <v>234</v>
      </c>
      <c r="V34" s="65">
        <f>8757556337</f>
        <v>8757556337</v>
      </c>
      <c r="W34" s="65">
        <f>3834617</f>
        <v>3834617</v>
      </c>
      <c r="X34" s="69">
        <f>18</f>
        <v>18</v>
      </c>
    </row>
    <row r="35" spans="1:24">
      <c r="A35" s="60" t="s">
        <v>842</v>
      </c>
      <c r="B35" s="60" t="s">
        <v>144</v>
      </c>
      <c r="C35" s="60" t="s">
        <v>145</v>
      </c>
      <c r="D35" s="60" t="s">
        <v>146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2536</f>
        <v>2536</v>
      </c>
      <c r="L35" s="67" t="s">
        <v>840</v>
      </c>
      <c r="M35" s="66">
        <f>2649</f>
        <v>2649</v>
      </c>
      <c r="N35" s="67" t="s">
        <v>100</v>
      </c>
      <c r="O35" s="66">
        <f>2049</f>
        <v>2049</v>
      </c>
      <c r="P35" s="67" t="s">
        <v>245</v>
      </c>
      <c r="Q35" s="66">
        <f>2065</f>
        <v>2065</v>
      </c>
      <c r="R35" s="67" t="s">
        <v>245</v>
      </c>
      <c r="S35" s="68">
        <f>2365.39</f>
        <v>2365.39</v>
      </c>
      <c r="T35" s="65">
        <f>79295740</f>
        <v>79295740</v>
      </c>
      <c r="U35" s="65">
        <f>56020</f>
        <v>56020</v>
      </c>
      <c r="V35" s="65">
        <f>186249590779</f>
        <v>186249590779</v>
      </c>
      <c r="W35" s="65">
        <f>125102599</f>
        <v>125102599</v>
      </c>
      <c r="X35" s="69">
        <f>18</f>
        <v>18</v>
      </c>
    </row>
    <row r="36" spans="1:24">
      <c r="A36" s="60" t="s">
        <v>842</v>
      </c>
      <c r="B36" s="60" t="s">
        <v>147</v>
      </c>
      <c r="C36" s="60" t="s">
        <v>148</v>
      </c>
      <c r="D36" s="60" t="s">
        <v>149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13400</f>
        <v>13400</v>
      </c>
      <c r="L36" s="67" t="s">
        <v>840</v>
      </c>
      <c r="M36" s="66">
        <f>14520</f>
        <v>14520</v>
      </c>
      <c r="N36" s="67" t="s">
        <v>95</v>
      </c>
      <c r="O36" s="66">
        <f>13040</f>
        <v>13040</v>
      </c>
      <c r="P36" s="67" t="s">
        <v>100</v>
      </c>
      <c r="Q36" s="66">
        <f>14380</f>
        <v>14380</v>
      </c>
      <c r="R36" s="67" t="s">
        <v>245</v>
      </c>
      <c r="S36" s="68">
        <f>13702.22</f>
        <v>13702.22</v>
      </c>
      <c r="T36" s="65">
        <f>12243</f>
        <v>12243</v>
      </c>
      <c r="U36" s="65" t="str">
        <f>"－"</f>
        <v>－</v>
      </c>
      <c r="V36" s="65">
        <f>171219320</f>
        <v>171219320</v>
      </c>
      <c r="W36" s="65" t="str">
        <f>"－"</f>
        <v>－</v>
      </c>
      <c r="X36" s="69">
        <f>18</f>
        <v>18</v>
      </c>
    </row>
    <row r="37" spans="1:24">
      <c r="A37" s="60" t="s">
        <v>842</v>
      </c>
      <c r="B37" s="60" t="s">
        <v>151</v>
      </c>
      <c r="C37" s="60" t="s">
        <v>152</v>
      </c>
      <c r="D37" s="60" t="s">
        <v>153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11800</f>
        <v>11800</v>
      </c>
      <c r="L37" s="67" t="s">
        <v>840</v>
      </c>
      <c r="M37" s="66">
        <f>14230</f>
        <v>14230</v>
      </c>
      <c r="N37" s="67" t="s">
        <v>245</v>
      </c>
      <c r="O37" s="66">
        <f>11170</f>
        <v>11170</v>
      </c>
      <c r="P37" s="67" t="s">
        <v>100</v>
      </c>
      <c r="Q37" s="66">
        <f>14120</f>
        <v>14120</v>
      </c>
      <c r="R37" s="67" t="s">
        <v>245</v>
      </c>
      <c r="S37" s="68">
        <f>12496.11</f>
        <v>12496.11</v>
      </c>
      <c r="T37" s="65">
        <f>1611578</f>
        <v>1611578</v>
      </c>
      <c r="U37" s="65">
        <f>293</f>
        <v>293</v>
      </c>
      <c r="V37" s="65">
        <f>20366660854</f>
        <v>20366660854</v>
      </c>
      <c r="W37" s="65">
        <f>3622164</f>
        <v>3622164</v>
      </c>
      <c r="X37" s="69">
        <f>18</f>
        <v>18</v>
      </c>
    </row>
    <row r="38" spans="1:24">
      <c r="A38" s="60" t="s">
        <v>842</v>
      </c>
      <c r="B38" s="60" t="s">
        <v>154</v>
      </c>
      <c r="C38" s="60" t="s">
        <v>155</v>
      </c>
      <c r="D38" s="60" t="s">
        <v>156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2724</f>
        <v>2724</v>
      </c>
      <c r="L38" s="67" t="s">
        <v>840</v>
      </c>
      <c r="M38" s="66">
        <f>2844</f>
        <v>2844</v>
      </c>
      <c r="N38" s="67" t="s">
        <v>100</v>
      </c>
      <c r="O38" s="66">
        <f>2202</f>
        <v>2202</v>
      </c>
      <c r="P38" s="67" t="s">
        <v>245</v>
      </c>
      <c r="Q38" s="66">
        <f>2222</f>
        <v>2222</v>
      </c>
      <c r="R38" s="67" t="s">
        <v>245</v>
      </c>
      <c r="S38" s="68">
        <f>2540.72</f>
        <v>2540.7199999999998</v>
      </c>
      <c r="T38" s="65">
        <f>7302022</f>
        <v>7302022</v>
      </c>
      <c r="U38" s="65">
        <f>60516</f>
        <v>60516</v>
      </c>
      <c r="V38" s="65">
        <f>18402641238</f>
        <v>18402641238</v>
      </c>
      <c r="W38" s="65">
        <f>151278293</f>
        <v>151278293</v>
      </c>
      <c r="X38" s="69">
        <f>18</f>
        <v>18</v>
      </c>
    </row>
    <row r="39" spans="1:24">
      <c r="A39" s="60" t="s">
        <v>842</v>
      </c>
      <c r="B39" s="60" t="s">
        <v>157</v>
      </c>
      <c r="C39" s="60" t="s">
        <v>158</v>
      </c>
      <c r="D39" s="60" t="s">
        <v>159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10370</f>
        <v>10370</v>
      </c>
      <c r="L39" s="67" t="s">
        <v>840</v>
      </c>
      <c r="M39" s="66">
        <f>12170</f>
        <v>12170</v>
      </c>
      <c r="N39" s="67" t="s">
        <v>95</v>
      </c>
      <c r="O39" s="66">
        <f>9830</f>
        <v>9830</v>
      </c>
      <c r="P39" s="67" t="s">
        <v>100</v>
      </c>
      <c r="Q39" s="66">
        <f>11860</f>
        <v>11860</v>
      </c>
      <c r="R39" s="67" t="s">
        <v>245</v>
      </c>
      <c r="S39" s="68">
        <f>10823.33</f>
        <v>10823.33</v>
      </c>
      <c r="T39" s="65">
        <f>245713</f>
        <v>245713</v>
      </c>
      <c r="U39" s="65">
        <f>218</f>
        <v>218</v>
      </c>
      <c r="V39" s="65">
        <f>2673474629</f>
        <v>2673474629</v>
      </c>
      <c r="W39" s="65">
        <f>2247749</f>
        <v>2247749</v>
      </c>
      <c r="X39" s="69">
        <f>18</f>
        <v>18</v>
      </c>
    </row>
    <row r="40" spans="1:24">
      <c r="A40" s="60" t="s">
        <v>842</v>
      </c>
      <c r="B40" s="60" t="s">
        <v>160</v>
      </c>
      <c r="C40" s="60" t="s">
        <v>161</v>
      </c>
      <c r="D40" s="60" t="s">
        <v>162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3530</f>
        <v>3530</v>
      </c>
      <c r="L40" s="67" t="s">
        <v>840</v>
      </c>
      <c r="M40" s="66">
        <f>3695</f>
        <v>3695</v>
      </c>
      <c r="N40" s="67" t="s">
        <v>100</v>
      </c>
      <c r="O40" s="66">
        <f>2940</f>
        <v>2940</v>
      </c>
      <c r="P40" s="67" t="s">
        <v>95</v>
      </c>
      <c r="Q40" s="66">
        <f>3005</f>
        <v>3005</v>
      </c>
      <c r="R40" s="67" t="s">
        <v>245</v>
      </c>
      <c r="S40" s="68">
        <f>3343.61</f>
        <v>3343.61</v>
      </c>
      <c r="T40" s="65">
        <f>921018</f>
        <v>921018</v>
      </c>
      <c r="U40" s="65">
        <f>1637</f>
        <v>1637</v>
      </c>
      <c r="V40" s="65">
        <f>3008821511</f>
        <v>3008821511</v>
      </c>
      <c r="W40" s="65">
        <f>5635412</f>
        <v>5635412</v>
      </c>
      <c r="X40" s="69">
        <f>18</f>
        <v>18</v>
      </c>
    </row>
    <row r="41" spans="1:24">
      <c r="A41" s="60" t="s">
        <v>842</v>
      </c>
      <c r="B41" s="60" t="s">
        <v>163</v>
      </c>
      <c r="C41" s="60" t="s">
        <v>164</v>
      </c>
      <c r="D41" s="60" t="s">
        <v>165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20130</f>
        <v>20130</v>
      </c>
      <c r="L41" s="67" t="s">
        <v>840</v>
      </c>
      <c r="M41" s="66">
        <f>22120</f>
        <v>22120</v>
      </c>
      <c r="N41" s="67" t="s">
        <v>245</v>
      </c>
      <c r="O41" s="66">
        <f>19610</f>
        <v>19610</v>
      </c>
      <c r="P41" s="67" t="s">
        <v>100</v>
      </c>
      <c r="Q41" s="66">
        <f>22040</f>
        <v>22040</v>
      </c>
      <c r="R41" s="67" t="s">
        <v>245</v>
      </c>
      <c r="S41" s="68">
        <f>20722.22</f>
        <v>20722.22</v>
      </c>
      <c r="T41" s="65">
        <f>35086</f>
        <v>35086</v>
      </c>
      <c r="U41" s="65" t="str">
        <f>"－"</f>
        <v>－</v>
      </c>
      <c r="V41" s="65">
        <f>737070770</f>
        <v>737070770</v>
      </c>
      <c r="W41" s="65" t="str">
        <f>"－"</f>
        <v>－</v>
      </c>
      <c r="X41" s="69">
        <f>18</f>
        <v>18</v>
      </c>
    </row>
    <row r="42" spans="1:24">
      <c r="A42" s="60" t="s">
        <v>842</v>
      </c>
      <c r="B42" s="60" t="s">
        <v>166</v>
      </c>
      <c r="C42" s="60" t="s">
        <v>167</v>
      </c>
      <c r="D42" s="60" t="s">
        <v>168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3745</f>
        <v>3745</v>
      </c>
      <c r="L42" s="67" t="s">
        <v>840</v>
      </c>
      <c r="M42" s="66">
        <f>4030</f>
        <v>4030</v>
      </c>
      <c r="N42" s="67" t="s">
        <v>65</v>
      </c>
      <c r="O42" s="66">
        <f>3330</f>
        <v>3330</v>
      </c>
      <c r="P42" s="67" t="s">
        <v>86</v>
      </c>
      <c r="Q42" s="66">
        <f>3790</f>
        <v>3790</v>
      </c>
      <c r="R42" s="67" t="s">
        <v>245</v>
      </c>
      <c r="S42" s="68">
        <f>3567.22</f>
        <v>3567.22</v>
      </c>
      <c r="T42" s="65">
        <f>11571</f>
        <v>11571</v>
      </c>
      <c r="U42" s="65" t="str">
        <f>"－"</f>
        <v>－</v>
      </c>
      <c r="V42" s="65">
        <f>42928250</f>
        <v>42928250</v>
      </c>
      <c r="W42" s="65" t="str">
        <f>"－"</f>
        <v>－</v>
      </c>
      <c r="X42" s="69">
        <f>18</f>
        <v>18</v>
      </c>
    </row>
    <row r="43" spans="1:24">
      <c r="A43" s="60" t="s">
        <v>842</v>
      </c>
      <c r="B43" s="60" t="s">
        <v>169</v>
      </c>
      <c r="C43" s="60" t="s">
        <v>170</v>
      </c>
      <c r="D43" s="60" t="s">
        <v>171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7320</f>
        <v>7320</v>
      </c>
      <c r="L43" s="67" t="s">
        <v>840</v>
      </c>
      <c r="M43" s="66">
        <f>7320</f>
        <v>7320</v>
      </c>
      <c r="N43" s="67" t="s">
        <v>840</v>
      </c>
      <c r="O43" s="66">
        <f>6770</f>
        <v>6770</v>
      </c>
      <c r="P43" s="67" t="s">
        <v>86</v>
      </c>
      <c r="Q43" s="66">
        <f>6990</f>
        <v>6990</v>
      </c>
      <c r="R43" s="67" t="s">
        <v>245</v>
      </c>
      <c r="S43" s="68">
        <f>6932.78</f>
        <v>6932.78</v>
      </c>
      <c r="T43" s="65">
        <f>1388</f>
        <v>1388</v>
      </c>
      <c r="U43" s="65" t="str">
        <f>"－"</f>
        <v>－</v>
      </c>
      <c r="V43" s="65">
        <f>9589530</f>
        <v>9589530</v>
      </c>
      <c r="W43" s="65" t="str">
        <f>"－"</f>
        <v>－</v>
      </c>
      <c r="X43" s="69">
        <f>18</f>
        <v>18</v>
      </c>
    </row>
    <row r="44" spans="1:24">
      <c r="A44" s="60" t="s">
        <v>842</v>
      </c>
      <c r="B44" s="60" t="s">
        <v>172</v>
      </c>
      <c r="C44" s="60" t="s">
        <v>173</v>
      </c>
      <c r="D44" s="60" t="s">
        <v>174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13210</f>
        <v>13210</v>
      </c>
      <c r="L44" s="67" t="s">
        <v>840</v>
      </c>
      <c r="M44" s="66">
        <f>13590</f>
        <v>13590</v>
      </c>
      <c r="N44" s="67" t="s">
        <v>95</v>
      </c>
      <c r="O44" s="66">
        <f>12240</f>
        <v>12240</v>
      </c>
      <c r="P44" s="67" t="s">
        <v>822</v>
      </c>
      <c r="Q44" s="66">
        <f>13530</f>
        <v>13530</v>
      </c>
      <c r="R44" s="67" t="s">
        <v>95</v>
      </c>
      <c r="S44" s="68">
        <f>12939.29</f>
        <v>12939.29</v>
      </c>
      <c r="T44" s="65">
        <f>2705</f>
        <v>2705</v>
      </c>
      <c r="U44" s="65">
        <f>2350</f>
        <v>2350</v>
      </c>
      <c r="V44" s="65">
        <f>35619500</f>
        <v>35619500</v>
      </c>
      <c r="W44" s="65">
        <f>31067000</f>
        <v>31067000</v>
      </c>
      <c r="X44" s="69">
        <f>14</f>
        <v>14</v>
      </c>
    </row>
    <row r="45" spans="1:24">
      <c r="A45" s="60" t="s">
        <v>842</v>
      </c>
      <c r="B45" s="60" t="s">
        <v>176</v>
      </c>
      <c r="C45" s="60" t="s">
        <v>177</v>
      </c>
      <c r="D45" s="60" t="s">
        <v>178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10000</f>
        <v>10000</v>
      </c>
      <c r="L45" s="67" t="s">
        <v>100</v>
      </c>
      <c r="M45" s="66">
        <f>10440</f>
        <v>10440</v>
      </c>
      <c r="N45" s="67" t="s">
        <v>819</v>
      </c>
      <c r="O45" s="66">
        <f>9480</f>
        <v>9480</v>
      </c>
      <c r="P45" s="67" t="s">
        <v>820</v>
      </c>
      <c r="Q45" s="66">
        <f>10260</f>
        <v>10260</v>
      </c>
      <c r="R45" s="67" t="s">
        <v>245</v>
      </c>
      <c r="S45" s="68">
        <f>9905.63</f>
        <v>9905.6299999999992</v>
      </c>
      <c r="T45" s="65">
        <f>361</f>
        <v>361</v>
      </c>
      <c r="U45" s="65" t="str">
        <f>"－"</f>
        <v>－</v>
      </c>
      <c r="V45" s="65">
        <f>3596660</f>
        <v>3596660</v>
      </c>
      <c r="W45" s="65" t="str">
        <f>"－"</f>
        <v>－</v>
      </c>
      <c r="X45" s="69">
        <f>16</f>
        <v>16</v>
      </c>
    </row>
    <row r="46" spans="1:24">
      <c r="A46" s="60" t="s">
        <v>842</v>
      </c>
      <c r="B46" s="60" t="s">
        <v>179</v>
      </c>
      <c r="C46" s="60" t="s">
        <v>180</v>
      </c>
      <c r="D46" s="60" t="s">
        <v>181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7250</f>
        <v>7250</v>
      </c>
      <c r="L46" s="67" t="s">
        <v>840</v>
      </c>
      <c r="M46" s="66">
        <f>7970</f>
        <v>7970</v>
      </c>
      <c r="N46" s="67" t="s">
        <v>245</v>
      </c>
      <c r="O46" s="66">
        <f>7040</f>
        <v>7040</v>
      </c>
      <c r="P46" s="67" t="s">
        <v>86</v>
      </c>
      <c r="Q46" s="66">
        <f>7780</f>
        <v>7780</v>
      </c>
      <c r="R46" s="67" t="s">
        <v>245</v>
      </c>
      <c r="S46" s="68">
        <f>7431.18</f>
        <v>7431.18</v>
      </c>
      <c r="T46" s="65">
        <f>698</f>
        <v>698</v>
      </c>
      <c r="U46" s="65" t="str">
        <f>"－"</f>
        <v>－</v>
      </c>
      <c r="V46" s="65">
        <f>5143440</f>
        <v>5143440</v>
      </c>
      <c r="W46" s="65" t="str">
        <f>"－"</f>
        <v>－</v>
      </c>
      <c r="X46" s="69">
        <f>17</f>
        <v>17</v>
      </c>
    </row>
    <row r="47" spans="1:24">
      <c r="A47" s="60" t="s">
        <v>842</v>
      </c>
      <c r="B47" s="60" t="s">
        <v>182</v>
      </c>
      <c r="C47" s="60" t="s">
        <v>183</v>
      </c>
      <c r="D47" s="60" t="s">
        <v>184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4080</f>
        <v>4080</v>
      </c>
      <c r="L47" s="67" t="s">
        <v>840</v>
      </c>
      <c r="M47" s="66">
        <f>4135</f>
        <v>4135</v>
      </c>
      <c r="N47" s="67" t="s">
        <v>150</v>
      </c>
      <c r="O47" s="66">
        <f>3800</f>
        <v>3800</v>
      </c>
      <c r="P47" s="67" t="s">
        <v>820</v>
      </c>
      <c r="Q47" s="66">
        <f>3920</f>
        <v>3920</v>
      </c>
      <c r="R47" s="67" t="s">
        <v>245</v>
      </c>
      <c r="S47" s="68">
        <f>3944.72</f>
        <v>3944.72</v>
      </c>
      <c r="T47" s="65">
        <f>1144</f>
        <v>1144</v>
      </c>
      <c r="U47" s="65" t="str">
        <f>"－"</f>
        <v>－</v>
      </c>
      <c r="V47" s="65">
        <f>4507725</f>
        <v>4507725</v>
      </c>
      <c r="W47" s="65" t="str">
        <f>"－"</f>
        <v>－</v>
      </c>
      <c r="X47" s="69">
        <f>18</f>
        <v>18</v>
      </c>
    </row>
    <row r="48" spans="1:24">
      <c r="A48" s="60" t="s">
        <v>842</v>
      </c>
      <c r="B48" s="60" t="s">
        <v>185</v>
      </c>
      <c r="C48" s="60" t="s">
        <v>186</v>
      </c>
      <c r="D48" s="60" t="s">
        <v>187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2108</f>
        <v>2108</v>
      </c>
      <c r="L48" s="67" t="s">
        <v>840</v>
      </c>
      <c r="M48" s="66">
        <f>2250</f>
        <v>2250</v>
      </c>
      <c r="N48" s="67" t="s">
        <v>100</v>
      </c>
      <c r="O48" s="66">
        <f>2076</f>
        <v>2076</v>
      </c>
      <c r="P48" s="67" t="s">
        <v>86</v>
      </c>
      <c r="Q48" s="66">
        <f>2136</f>
        <v>2136</v>
      </c>
      <c r="R48" s="67" t="s">
        <v>245</v>
      </c>
      <c r="S48" s="68">
        <f>2133.72</f>
        <v>2133.7199999999998</v>
      </c>
      <c r="T48" s="65">
        <f>3279</f>
        <v>3279</v>
      </c>
      <c r="U48" s="65">
        <f>2</f>
        <v>2</v>
      </c>
      <c r="V48" s="65">
        <f>7021335</f>
        <v>7021335</v>
      </c>
      <c r="W48" s="65">
        <f>4276</f>
        <v>4276</v>
      </c>
      <c r="X48" s="69">
        <f>18</f>
        <v>18</v>
      </c>
    </row>
    <row r="49" spans="1:24">
      <c r="A49" s="60" t="s">
        <v>842</v>
      </c>
      <c r="B49" s="60" t="s">
        <v>188</v>
      </c>
      <c r="C49" s="60" t="s">
        <v>189</v>
      </c>
      <c r="D49" s="60" t="s">
        <v>190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2110</f>
        <v>2110</v>
      </c>
      <c r="L49" s="67" t="s">
        <v>840</v>
      </c>
      <c r="M49" s="66">
        <f>2161</f>
        <v>2161</v>
      </c>
      <c r="N49" s="67" t="s">
        <v>100</v>
      </c>
      <c r="O49" s="66">
        <f>2025</f>
        <v>2025</v>
      </c>
      <c r="P49" s="67" t="s">
        <v>309</v>
      </c>
      <c r="Q49" s="66">
        <f>2128</f>
        <v>2128</v>
      </c>
      <c r="R49" s="67" t="s">
        <v>245</v>
      </c>
      <c r="S49" s="68">
        <f>2098.17</f>
        <v>2098.17</v>
      </c>
      <c r="T49" s="65">
        <f>5893</f>
        <v>5893</v>
      </c>
      <c r="U49" s="65" t="str">
        <f t="shared" ref="U49:U55" si="0">"－"</f>
        <v>－</v>
      </c>
      <c r="V49" s="65">
        <f>12216647</f>
        <v>12216647</v>
      </c>
      <c r="W49" s="65" t="str">
        <f t="shared" ref="W49:W55" si="1">"－"</f>
        <v>－</v>
      </c>
      <c r="X49" s="69">
        <f>18</f>
        <v>18</v>
      </c>
    </row>
    <row r="50" spans="1:24">
      <c r="A50" s="60" t="s">
        <v>842</v>
      </c>
      <c r="B50" s="60" t="s">
        <v>191</v>
      </c>
      <c r="C50" s="60" t="s">
        <v>192</v>
      </c>
      <c r="D50" s="60" t="s">
        <v>193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30000</f>
        <v>30000</v>
      </c>
      <c r="L50" s="67" t="s">
        <v>840</v>
      </c>
      <c r="M50" s="66">
        <f>31900</f>
        <v>31900</v>
      </c>
      <c r="N50" s="67" t="s">
        <v>95</v>
      </c>
      <c r="O50" s="66">
        <f>29240</f>
        <v>29240</v>
      </c>
      <c r="P50" s="67" t="s">
        <v>86</v>
      </c>
      <c r="Q50" s="66">
        <f>31450</f>
        <v>31450</v>
      </c>
      <c r="R50" s="67" t="s">
        <v>245</v>
      </c>
      <c r="S50" s="68">
        <f>30399.38</f>
        <v>30399.38</v>
      </c>
      <c r="T50" s="65">
        <f>610</f>
        <v>610</v>
      </c>
      <c r="U50" s="65" t="str">
        <f t="shared" si="0"/>
        <v>－</v>
      </c>
      <c r="V50" s="65">
        <f>18881880</f>
        <v>18881880</v>
      </c>
      <c r="W50" s="65" t="str">
        <f t="shared" si="1"/>
        <v>－</v>
      </c>
      <c r="X50" s="69">
        <f>16</f>
        <v>16</v>
      </c>
    </row>
    <row r="51" spans="1:24">
      <c r="A51" s="60" t="s">
        <v>842</v>
      </c>
      <c r="B51" s="60" t="s">
        <v>194</v>
      </c>
      <c r="C51" s="60" t="s">
        <v>195</v>
      </c>
      <c r="D51" s="60" t="s">
        <v>196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22810</f>
        <v>22810</v>
      </c>
      <c r="L51" s="67" t="s">
        <v>840</v>
      </c>
      <c r="M51" s="66">
        <f>23440</f>
        <v>23440</v>
      </c>
      <c r="N51" s="67" t="s">
        <v>245</v>
      </c>
      <c r="O51" s="66">
        <f>21390</f>
        <v>21390</v>
      </c>
      <c r="P51" s="67" t="s">
        <v>100</v>
      </c>
      <c r="Q51" s="66">
        <f>23440</f>
        <v>23440</v>
      </c>
      <c r="R51" s="67" t="s">
        <v>245</v>
      </c>
      <c r="S51" s="68">
        <f>22485.71</f>
        <v>22485.71</v>
      </c>
      <c r="T51" s="65">
        <f>268</f>
        <v>268</v>
      </c>
      <c r="U51" s="65" t="str">
        <f t="shared" si="0"/>
        <v>－</v>
      </c>
      <c r="V51" s="65">
        <f>6031100</f>
        <v>6031100</v>
      </c>
      <c r="W51" s="65" t="str">
        <f t="shared" si="1"/>
        <v>－</v>
      </c>
      <c r="X51" s="69">
        <f>14</f>
        <v>14</v>
      </c>
    </row>
    <row r="52" spans="1:24">
      <c r="A52" s="60" t="s">
        <v>842</v>
      </c>
      <c r="B52" s="60" t="s">
        <v>197</v>
      </c>
      <c r="C52" s="60" t="s">
        <v>198</v>
      </c>
      <c r="D52" s="60" t="s">
        <v>199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20170</f>
        <v>20170</v>
      </c>
      <c r="L52" s="67" t="s">
        <v>840</v>
      </c>
      <c r="M52" s="66">
        <f>22030</f>
        <v>22030</v>
      </c>
      <c r="N52" s="67" t="s">
        <v>95</v>
      </c>
      <c r="O52" s="66">
        <f>19630</f>
        <v>19630</v>
      </c>
      <c r="P52" s="67" t="s">
        <v>100</v>
      </c>
      <c r="Q52" s="66">
        <f>21970</f>
        <v>21970</v>
      </c>
      <c r="R52" s="67" t="s">
        <v>245</v>
      </c>
      <c r="S52" s="68">
        <f>20749.41</f>
        <v>20749.41</v>
      </c>
      <c r="T52" s="65">
        <f>3556</f>
        <v>3556</v>
      </c>
      <c r="U52" s="65" t="str">
        <f t="shared" si="0"/>
        <v>－</v>
      </c>
      <c r="V52" s="65">
        <f>76067920</f>
        <v>76067920</v>
      </c>
      <c r="W52" s="65" t="str">
        <f t="shared" si="1"/>
        <v>－</v>
      </c>
      <c r="X52" s="69">
        <f>17</f>
        <v>17</v>
      </c>
    </row>
    <row r="53" spans="1:24">
      <c r="A53" s="60" t="s">
        <v>842</v>
      </c>
      <c r="B53" s="60" t="s">
        <v>200</v>
      </c>
      <c r="C53" s="60" t="s">
        <v>201</v>
      </c>
      <c r="D53" s="60" t="s">
        <v>202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1609</f>
        <v>1609</v>
      </c>
      <c r="L53" s="67" t="s">
        <v>840</v>
      </c>
      <c r="M53" s="66">
        <f>1817</f>
        <v>1817</v>
      </c>
      <c r="N53" s="67" t="s">
        <v>309</v>
      </c>
      <c r="O53" s="66">
        <f>1573</f>
        <v>1573</v>
      </c>
      <c r="P53" s="67" t="s">
        <v>822</v>
      </c>
      <c r="Q53" s="66">
        <f>1735</f>
        <v>1735</v>
      </c>
      <c r="R53" s="67" t="s">
        <v>245</v>
      </c>
      <c r="S53" s="68">
        <f>1652.83</f>
        <v>1652.83</v>
      </c>
      <c r="T53" s="65">
        <f>145620</f>
        <v>145620</v>
      </c>
      <c r="U53" s="65" t="str">
        <f t="shared" si="0"/>
        <v>－</v>
      </c>
      <c r="V53" s="65">
        <f>243820560</f>
        <v>243820560</v>
      </c>
      <c r="W53" s="65" t="str">
        <f t="shared" si="1"/>
        <v>－</v>
      </c>
      <c r="X53" s="69">
        <f>18</f>
        <v>18</v>
      </c>
    </row>
    <row r="54" spans="1:24">
      <c r="A54" s="60" t="s">
        <v>842</v>
      </c>
      <c r="B54" s="60" t="s">
        <v>203</v>
      </c>
      <c r="C54" s="60" t="s">
        <v>204</v>
      </c>
      <c r="D54" s="60" t="s">
        <v>205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1267</f>
        <v>1267</v>
      </c>
      <c r="L54" s="67" t="s">
        <v>840</v>
      </c>
      <c r="M54" s="66">
        <f>1385</f>
        <v>1385</v>
      </c>
      <c r="N54" s="67" t="s">
        <v>95</v>
      </c>
      <c r="O54" s="66">
        <f>1233</f>
        <v>1233</v>
      </c>
      <c r="P54" s="67" t="s">
        <v>100</v>
      </c>
      <c r="Q54" s="66">
        <f>1361</f>
        <v>1361</v>
      </c>
      <c r="R54" s="67" t="s">
        <v>245</v>
      </c>
      <c r="S54" s="68">
        <f>1295.2</f>
        <v>1295.2</v>
      </c>
      <c r="T54" s="65">
        <f>234210</f>
        <v>234210</v>
      </c>
      <c r="U54" s="65" t="str">
        <f t="shared" si="0"/>
        <v>－</v>
      </c>
      <c r="V54" s="65">
        <f>317580360</f>
        <v>317580360</v>
      </c>
      <c r="W54" s="65" t="str">
        <f t="shared" si="1"/>
        <v>－</v>
      </c>
      <c r="X54" s="69">
        <f>15</f>
        <v>15</v>
      </c>
    </row>
    <row r="55" spans="1:24">
      <c r="A55" s="60" t="s">
        <v>842</v>
      </c>
      <c r="B55" s="60" t="s">
        <v>206</v>
      </c>
      <c r="C55" s="60" t="s">
        <v>207</v>
      </c>
      <c r="D55" s="60" t="s">
        <v>208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6790</f>
        <v>6790</v>
      </c>
      <c r="L55" s="67" t="s">
        <v>840</v>
      </c>
      <c r="M55" s="66">
        <f>6960</f>
        <v>6960</v>
      </c>
      <c r="N55" s="67" t="s">
        <v>100</v>
      </c>
      <c r="O55" s="66">
        <f>6120</f>
        <v>6120</v>
      </c>
      <c r="P55" s="67" t="s">
        <v>245</v>
      </c>
      <c r="Q55" s="66">
        <f>6150</f>
        <v>6150</v>
      </c>
      <c r="R55" s="67" t="s">
        <v>245</v>
      </c>
      <c r="S55" s="68">
        <f>6565</f>
        <v>6565</v>
      </c>
      <c r="T55" s="65">
        <f>394054</f>
        <v>394054</v>
      </c>
      <c r="U55" s="65" t="str">
        <f t="shared" si="0"/>
        <v>－</v>
      </c>
      <c r="V55" s="65">
        <f>2531007770</f>
        <v>2531007770</v>
      </c>
      <c r="W55" s="65" t="str">
        <f t="shared" si="1"/>
        <v>－</v>
      </c>
      <c r="X55" s="69">
        <f>18</f>
        <v>18</v>
      </c>
    </row>
    <row r="56" spans="1:24">
      <c r="A56" s="60" t="s">
        <v>842</v>
      </c>
      <c r="B56" s="60" t="s">
        <v>209</v>
      </c>
      <c r="C56" s="60" t="s">
        <v>210</v>
      </c>
      <c r="D56" s="60" t="s">
        <v>211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7650</f>
        <v>7650</v>
      </c>
      <c r="L56" s="67" t="s">
        <v>840</v>
      </c>
      <c r="M56" s="66">
        <f>7830</f>
        <v>7830</v>
      </c>
      <c r="N56" s="67" t="s">
        <v>100</v>
      </c>
      <c r="O56" s="66">
        <f>7000</f>
        <v>7000</v>
      </c>
      <c r="P56" s="67" t="s">
        <v>95</v>
      </c>
      <c r="Q56" s="66">
        <f>7080</f>
        <v>7080</v>
      </c>
      <c r="R56" s="67" t="s">
        <v>245</v>
      </c>
      <c r="S56" s="68">
        <f>7461.11</f>
        <v>7461.11</v>
      </c>
      <c r="T56" s="65">
        <f>236408</f>
        <v>236408</v>
      </c>
      <c r="U56" s="65">
        <f>7000</f>
        <v>7000</v>
      </c>
      <c r="V56" s="65">
        <f>1770293180</f>
        <v>1770293180</v>
      </c>
      <c r="W56" s="65">
        <f>52218200</f>
        <v>52218200</v>
      </c>
      <c r="X56" s="69">
        <f>18</f>
        <v>18</v>
      </c>
    </row>
    <row r="57" spans="1:24">
      <c r="A57" s="60" t="s">
        <v>842</v>
      </c>
      <c r="B57" s="60" t="s">
        <v>212</v>
      </c>
      <c r="C57" s="60" t="s">
        <v>213</v>
      </c>
      <c r="D57" s="60" t="s">
        <v>214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8870</f>
        <v>8870</v>
      </c>
      <c r="L57" s="67" t="s">
        <v>840</v>
      </c>
      <c r="M57" s="66">
        <f>10770</f>
        <v>10770</v>
      </c>
      <c r="N57" s="67" t="s">
        <v>245</v>
      </c>
      <c r="O57" s="66">
        <f>8460</f>
        <v>8460</v>
      </c>
      <c r="P57" s="67" t="s">
        <v>100</v>
      </c>
      <c r="Q57" s="66">
        <f>10670</f>
        <v>10670</v>
      </c>
      <c r="R57" s="67" t="s">
        <v>245</v>
      </c>
      <c r="S57" s="68">
        <f>9450.56</f>
        <v>9450.56</v>
      </c>
      <c r="T57" s="65">
        <f>9209866</f>
        <v>9209866</v>
      </c>
      <c r="U57" s="65">
        <f>1629</f>
        <v>1629</v>
      </c>
      <c r="V57" s="65">
        <f>87841899216</f>
        <v>87841899216</v>
      </c>
      <c r="W57" s="65">
        <f>15825706</f>
        <v>15825706</v>
      </c>
      <c r="X57" s="69">
        <f>18</f>
        <v>18</v>
      </c>
    </row>
    <row r="58" spans="1:24">
      <c r="A58" s="60" t="s">
        <v>842</v>
      </c>
      <c r="B58" s="60" t="s">
        <v>215</v>
      </c>
      <c r="C58" s="60" t="s">
        <v>216</v>
      </c>
      <c r="D58" s="60" t="s">
        <v>217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4140</f>
        <v>4140</v>
      </c>
      <c r="L58" s="67" t="s">
        <v>840</v>
      </c>
      <c r="M58" s="66">
        <f>4325</f>
        <v>4325</v>
      </c>
      <c r="N58" s="67" t="s">
        <v>100</v>
      </c>
      <c r="O58" s="66">
        <f>3340</f>
        <v>3340</v>
      </c>
      <c r="P58" s="67" t="s">
        <v>245</v>
      </c>
      <c r="Q58" s="66">
        <f>3365</f>
        <v>3365</v>
      </c>
      <c r="R58" s="67" t="s">
        <v>245</v>
      </c>
      <c r="S58" s="68">
        <f>3858.06</f>
        <v>3858.06</v>
      </c>
      <c r="T58" s="65">
        <f>17491895</f>
        <v>17491895</v>
      </c>
      <c r="U58" s="65">
        <f>2980</f>
        <v>2980</v>
      </c>
      <c r="V58" s="65">
        <f>66538786170</f>
        <v>66538786170</v>
      </c>
      <c r="W58" s="65">
        <f>10742060</f>
        <v>10742060</v>
      </c>
      <c r="X58" s="69">
        <f>18</f>
        <v>18</v>
      </c>
    </row>
    <row r="59" spans="1:24">
      <c r="A59" s="60" t="s">
        <v>842</v>
      </c>
      <c r="B59" s="60" t="s">
        <v>218</v>
      </c>
      <c r="C59" s="60" t="s">
        <v>219</v>
      </c>
      <c r="D59" s="60" t="s">
        <v>220</v>
      </c>
      <c r="E59" s="61" t="s">
        <v>46</v>
      </c>
      <c r="F59" s="62" t="s">
        <v>46</v>
      </c>
      <c r="G59" s="63" t="s">
        <v>46</v>
      </c>
      <c r="H59" s="64"/>
      <c r="I59" s="64" t="s">
        <v>47</v>
      </c>
      <c r="J59" s="65">
        <v>1</v>
      </c>
      <c r="K59" s="66">
        <f>16810</f>
        <v>16810</v>
      </c>
      <c r="L59" s="67" t="s">
        <v>840</v>
      </c>
      <c r="M59" s="66">
        <f>18770</f>
        <v>18770</v>
      </c>
      <c r="N59" s="67" t="s">
        <v>95</v>
      </c>
      <c r="O59" s="66">
        <f>16810</f>
        <v>16810</v>
      </c>
      <c r="P59" s="67" t="s">
        <v>840</v>
      </c>
      <c r="Q59" s="66">
        <f>18770</f>
        <v>18770</v>
      </c>
      <c r="R59" s="67" t="s">
        <v>95</v>
      </c>
      <c r="S59" s="68">
        <f>17950.71</f>
        <v>17950.71</v>
      </c>
      <c r="T59" s="65">
        <f>191</f>
        <v>191</v>
      </c>
      <c r="U59" s="65" t="str">
        <f t="shared" ref="U59:U64" si="2">"－"</f>
        <v>－</v>
      </c>
      <c r="V59" s="65">
        <f>3399140</f>
        <v>3399140</v>
      </c>
      <c r="W59" s="65" t="str">
        <f t="shared" ref="W59:W64" si="3">"－"</f>
        <v>－</v>
      </c>
      <c r="X59" s="69">
        <f>14</f>
        <v>14</v>
      </c>
    </row>
    <row r="60" spans="1:24">
      <c r="A60" s="60" t="s">
        <v>842</v>
      </c>
      <c r="B60" s="60" t="s">
        <v>221</v>
      </c>
      <c r="C60" s="60" t="s">
        <v>222</v>
      </c>
      <c r="D60" s="60" t="s">
        <v>223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7900</f>
        <v>7900</v>
      </c>
      <c r="L60" s="67" t="s">
        <v>840</v>
      </c>
      <c r="M60" s="66">
        <f>9580</f>
        <v>9580</v>
      </c>
      <c r="N60" s="67" t="s">
        <v>95</v>
      </c>
      <c r="O60" s="66">
        <f>7400</f>
        <v>7400</v>
      </c>
      <c r="P60" s="67" t="s">
        <v>100</v>
      </c>
      <c r="Q60" s="66">
        <f>9340</f>
        <v>9340</v>
      </c>
      <c r="R60" s="67" t="s">
        <v>245</v>
      </c>
      <c r="S60" s="68">
        <f>8456.67</f>
        <v>8456.67</v>
      </c>
      <c r="T60" s="65">
        <f>12250</f>
        <v>12250</v>
      </c>
      <c r="U60" s="65" t="str">
        <f t="shared" si="2"/>
        <v>－</v>
      </c>
      <c r="V60" s="65">
        <f>106249940</f>
        <v>106249940</v>
      </c>
      <c r="W60" s="65" t="str">
        <f t="shared" si="3"/>
        <v>－</v>
      </c>
      <c r="X60" s="69">
        <f>18</f>
        <v>18</v>
      </c>
    </row>
    <row r="61" spans="1:24">
      <c r="A61" s="60" t="s">
        <v>842</v>
      </c>
      <c r="B61" s="60" t="s">
        <v>224</v>
      </c>
      <c r="C61" s="60" t="s">
        <v>225</v>
      </c>
      <c r="D61" s="60" t="s">
        <v>226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7500</f>
        <v>7500</v>
      </c>
      <c r="L61" s="67" t="s">
        <v>840</v>
      </c>
      <c r="M61" s="66">
        <f>7690</f>
        <v>7690</v>
      </c>
      <c r="N61" s="67" t="s">
        <v>100</v>
      </c>
      <c r="O61" s="66">
        <f>6860</f>
        <v>6860</v>
      </c>
      <c r="P61" s="67" t="s">
        <v>95</v>
      </c>
      <c r="Q61" s="66">
        <f>6970</f>
        <v>6970</v>
      </c>
      <c r="R61" s="67" t="s">
        <v>245</v>
      </c>
      <c r="S61" s="68">
        <f>7303.13</f>
        <v>7303.13</v>
      </c>
      <c r="T61" s="65">
        <f>2933</f>
        <v>2933</v>
      </c>
      <c r="U61" s="65" t="str">
        <f t="shared" si="2"/>
        <v>－</v>
      </c>
      <c r="V61" s="65">
        <f>20982650</f>
        <v>20982650</v>
      </c>
      <c r="W61" s="65" t="str">
        <f t="shared" si="3"/>
        <v>－</v>
      </c>
      <c r="X61" s="69">
        <f>16</f>
        <v>16</v>
      </c>
    </row>
    <row r="62" spans="1:24">
      <c r="A62" s="60" t="s">
        <v>842</v>
      </c>
      <c r="B62" s="60" t="s">
        <v>227</v>
      </c>
      <c r="C62" s="60" t="s">
        <v>228</v>
      </c>
      <c r="D62" s="60" t="s">
        <v>229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4595</f>
        <v>4595</v>
      </c>
      <c r="L62" s="67" t="s">
        <v>840</v>
      </c>
      <c r="M62" s="66">
        <f>5000</f>
        <v>5000</v>
      </c>
      <c r="N62" s="67" t="s">
        <v>100</v>
      </c>
      <c r="O62" s="66">
        <f>3845</f>
        <v>3845</v>
      </c>
      <c r="P62" s="67" t="s">
        <v>95</v>
      </c>
      <c r="Q62" s="66">
        <f>3920</f>
        <v>3920</v>
      </c>
      <c r="R62" s="67" t="s">
        <v>245</v>
      </c>
      <c r="S62" s="68">
        <f>4389.72</f>
        <v>4389.72</v>
      </c>
      <c r="T62" s="65">
        <f>24965</f>
        <v>24965</v>
      </c>
      <c r="U62" s="65" t="str">
        <f t="shared" si="2"/>
        <v>－</v>
      </c>
      <c r="V62" s="65">
        <f>108350095</f>
        <v>108350095</v>
      </c>
      <c r="W62" s="65" t="str">
        <f t="shared" si="3"/>
        <v>－</v>
      </c>
      <c r="X62" s="69">
        <f>18</f>
        <v>18</v>
      </c>
    </row>
    <row r="63" spans="1:24">
      <c r="A63" s="60" t="s">
        <v>842</v>
      </c>
      <c r="B63" s="60" t="s">
        <v>230</v>
      </c>
      <c r="C63" s="60" t="s">
        <v>231</v>
      </c>
      <c r="D63" s="60" t="s">
        <v>232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8060</f>
        <v>8060</v>
      </c>
      <c r="L63" s="67" t="s">
        <v>840</v>
      </c>
      <c r="M63" s="66">
        <f>9190</f>
        <v>9190</v>
      </c>
      <c r="N63" s="67" t="s">
        <v>95</v>
      </c>
      <c r="O63" s="66">
        <f>7460</f>
        <v>7460</v>
      </c>
      <c r="P63" s="67" t="s">
        <v>840</v>
      </c>
      <c r="Q63" s="66">
        <f>8980</f>
        <v>8980</v>
      </c>
      <c r="R63" s="67" t="s">
        <v>245</v>
      </c>
      <c r="S63" s="68">
        <f>8183.33</f>
        <v>8183.33</v>
      </c>
      <c r="T63" s="65">
        <f>13430</f>
        <v>13430</v>
      </c>
      <c r="U63" s="65" t="str">
        <f t="shared" si="2"/>
        <v>－</v>
      </c>
      <c r="V63" s="65">
        <f>113147600</f>
        <v>113147600</v>
      </c>
      <c r="W63" s="65" t="str">
        <f t="shared" si="3"/>
        <v>－</v>
      </c>
      <c r="X63" s="69">
        <f>18</f>
        <v>18</v>
      </c>
    </row>
    <row r="64" spans="1:24">
      <c r="A64" s="60" t="s">
        <v>842</v>
      </c>
      <c r="B64" s="60" t="s">
        <v>233</v>
      </c>
      <c r="C64" s="60" t="s">
        <v>234</v>
      </c>
      <c r="D64" s="60" t="s">
        <v>235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7350</f>
        <v>7350</v>
      </c>
      <c r="L64" s="67" t="s">
        <v>840</v>
      </c>
      <c r="M64" s="66">
        <f>7550</f>
        <v>7550</v>
      </c>
      <c r="N64" s="67" t="s">
        <v>100</v>
      </c>
      <c r="O64" s="66">
        <f>6700</f>
        <v>6700</v>
      </c>
      <c r="P64" s="67" t="s">
        <v>95</v>
      </c>
      <c r="Q64" s="66">
        <f>6820</f>
        <v>6820</v>
      </c>
      <c r="R64" s="67" t="s">
        <v>245</v>
      </c>
      <c r="S64" s="68">
        <f>7154.62</f>
        <v>7154.62</v>
      </c>
      <c r="T64" s="65">
        <f>1740</f>
        <v>1740</v>
      </c>
      <c r="U64" s="65" t="str">
        <f t="shared" si="2"/>
        <v>－</v>
      </c>
      <c r="V64" s="65">
        <f>12207600</f>
        <v>12207600</v>
      </c>
      <c r="W64" s="65" t="str">
        <f t="shared" si="3"/>
        <v>－</v>
      </c>
      <c r="X64" s="69">
        <f>13</f>
        <v>13</v>
      </c>
    </row>
    <row r="65" spans="1:24">
      <c r="A65" s="60" t="s">
        <v>842</v>
      </c>
      <c r="B65" s="60" t="s">
        <v>236</v>
      </c>
      <c r="C65" s="60" t="s">
        <v>237</v>
      </c>
      <c r="D65" s="60" t="s">
        <v>238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4575</f>
        <v>4575</v>
      </c>
      <c r="L65" s="67" t="s">
        <v>840</v>
      </c>
      <c r="M65" s="66">
        <f>4830</f>
        <v>4830</v>
      </c>
      <c r="N65" s="67" t="s">
        <v>100</v>
      </c>
      <c r="O65" s="66">
        <f>3810</f>
        <v>3810</v>
      </c>
      <c r="P65" s="67" t="s">
        <v>245</v>
      </c>
      <c r="Q65" s="66">
        <f>3885</f>
        <v>3885</v>
      </c>
      <c r="R65" s="67" t="s">
        <v>245</v>
      </c>
      <c r="S65" s="68">
        <f>4352.5</f>
        <v>4352.5</v>
      </c>
      <c r="T65" s="65">
        <f>61210</f>
        <v>61210</v>
      </c>
      <c r="U65" s="65">
        <f>110</f>
        <v>110</v>
      </c>
      <c r="V65" s="65">
        <f>265987750</f>
        <v>265987750</v>
      </c>
      <c r="W65" s="65">
        <f>489500</f>
        <v>489500</v>
      </c>
      <c r="X65" s="69">
        <f>18</f>
        <v>18</v>
      </c>
    </row>
    <row r="66" spans="1:24">
      <c r="A66" s="60" t="s">
        <v>842</v>
      </c>
      <c r="B66" s="60" t="s">
        <v>239</v>
      </c>
      <c r="C66" s="60" t="s">
        <v>240</v>
      </c>
      <c r="D66" s="60" t="s">
        <v>241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f>16120</f>
        <v>16120</v>
      </c>
      <c r="L66" s="67" t="s">
        <v>840</v>
      </c>
      <c r="M66" s="66">
        <f>18900</f>
        <v>18900</v>
      </c>
      <c r="N66" s="67" t="s">
        <v>245</v>
      </c>
      <c r="O66" s="66">
        <f>15570</f>
        <v>15570</v>
      </c>
      <c r="P66" s="67" t="s">
        <v>822</v>
      </c>
      <c r="Q66" s="66">
        <f>18610</f>
        <v>18610</v>
      </c>
      <c r="R66" s="67" t="s">
        <v>245</v>
      </c>
      <c r="S66" s="68">
        <f>16905.56</f>
        <v>16905.560000000001</v>
      </c>
      <c r="T66" s="65">
        <f>5214</f>
        <v>5214</v>
      </c>
      <c r="U66" s="65" t="str">
        <f>"－"</f>
        <v>－</v>
      </c>
      <c r="V66" s="65">
        <f>89626590</f>
        <v>89626590</v>
      </c>
      <c r="W66" s="65" t="str">
        <f>"－"</f>
        <v>－</v>
      </c>
      <c r="X66" s="69">
        <f>18</f>
        <v>18</v>
      </c>
    </row>
    <row r="67" spans="1:24">
      <c r="A67" s="60" t="s">
        <v>842</v>
      </c>
      <c r="B67" s="60" t="s">
        <v>242</v>
      </c>
      <c r="C67" s="60" t="s">
        <v>243</v>
      </c>
      <c r="D67" s="60" t="s">
        <v>244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4915</f>
        <v>4915</v>
      </c>
      <c r="L67" s="67" t="s">
        <v>100</v>
      </c>
      <c r="M67" s="66">
        <f>4915</f>
        <v>4915</v>
      </c>
      <c r="N67" s="67" t="s">
        <v>100</v>
      </c>
      <c r="O67" s="66">
        <f>4405</f>
        <v>4405</v>
      </c>
      <c r="P67" s="67" t="s">
        <v>95</v>
      </c>
      <c r="Q67" s="66">
        <f>4455</f>
        <v>4455</v>
      </c>
      <c r="R67" s="67" t="s">
        <v>245</v>
      </c>
      <c r="S67" s="68">
        <f>4688.13</f>
        <v>4688.13</v>
      </c>
      <c r="T67" s="65">
        <f>14478</f>
        <v>14478</v>
      </c>
      <c r="U67" s="65">
        <f>12000</f>
        <v>12000</v>
      </c>
      <c r="V67" s="65">
        <f>64920225</f>
        <v>64920225</v>
      </c>
      <c r="W67" s="65">
        <f>53563200</f>
        <v>53563200</v>
      </c>
      <c r="X67" s="69">
        <f>16</f>
        <v>16</v>
      </c>
    </row>
    <row r="68" spans="1:24">
      <c r="A68" s="60" t="s">
        <v>842</v>
      </c>
      <c r="B68" s="60" t="s">
        <v>246</v>
      </c>
      <c r="C68" s="60" t="s">
        <v>247</v>
      </c>
      <c r="D68" s="60" t="s">
        <v>248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f>1819</f>
        <v>1819</v>
      </c>
      <c r="L68" s="67" t="s">
        <v>840</v>
      </c>
      <c r="M68" s="66">
        <f>1940</f>
        <v>1940</v>
      </c>
      <c r="N68" s="67" t="s">
        <v>100</v>
      </c>
      <c r="O68" s="66">
        <f>1515</f>
        <v>1515</v>
      </c>
      <c r="P68" s="67" t="s">
        <v>95</v>
      </c>
      <c r="Q68" s="66">
        <f>1543</f>
        <v>1543</v>
      </c>
      <c r="R68" s="67" t="s">
        <v>245</v>
      </c>
      <c r="S68" s="68">
        <f>1718.06</f>
        <v>1718.06</v>
      </c>
      <c r="T68" s="65">
        <f>74872</f>
        <v>74872</v>
      </c>
      <c r="U68" s="65">
        <f>493</f>
        <v>493</v>
      </c>
      <c r="V68" s="65">
        <f>129852078</f>
        <v>129852078</v>
      </c>
      <c r="W68" s="65">
        <f>924108</f>
        <v>924108</v>
      </c>
      <c r="X68" s="69">
        <f>18</f>
        <v>18</v>
      </c>
    </row>
    <row r="69" spans="1:24">
      <c r="A69" s="60" t="s">
        <v>842</v>
      </c>
      <c r="B69" s="60" t="s">
        <v>249</v>
      </c>
      <c r="C69" s="60" t="s">
        <v>250</v>
      </c>
      <c r="D69" s="60" t="s">
        <v>251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10</v>
      </c>
      <c r="K69" s="66">
        <f>1479</f>
        <v>1479</v>
      </c>
      <c r="L69" s="67" t="s">
        <v>840</v>
      </c>
      <c r="M69" s="66">
        <f>1610</f>
        <v>1610</v>
      </c>
      <c r="N69" s="67" t="s">
        <v>95</v>
      </c>
      <c r="O69" s="66">
        <f>1448</f>
        <v>1448</v>
      </c>
      <c r="P69" s="67" t="s">
        <v>100</v>
      </c>
      <c r="Q69" s="66">
        <f>1596</f>
        <v>1596</v>
      </c>
      <c r="R69" s="67" t="s">
        <v>245</v>
      </c>
      <c r="S69" s="68">
        <f>1518</f>
        <v>1518</v>
      </c>
      <c r="T69" s="65">
        <f>536920</f>
        <v>536920</v>
      </c>
      <c r="U69" s="65">
        <f>500000</f>
        <v>500000</v>
      </c>
      <c r="V69" s="65">
        <f>832309750</f>
        <v>832309750</v>
      </c>
      <c r="W69" s="65">
        <f>776125000</f>
        <v>776125000</v>
      </c>
      <c r="X69" s="69">
        <f>18</f>
        <v>18</v>
      </c>
    </row>
    <row r="70" spans="1:24">
      <c r="A70" s="60" t="s">
        <v>842</v>
      </c>
      <c r="B70" s="60" t="s">
        <v>252</v>
      </c>
      <c r="C70" s="60" t="s">
        <v>253</v>
      </c>
      <c r="D70" s="60" t="s">
        <v>254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13130</f>
        <v>13130</v>
      </c>
      <c r="L70" s="67" t="s">
        <v>840</v>
      </c>
      <c r="M70" s="66">
        <f>14420</f>
        <v>14420</v>
      </c>
      <c r="N70" s="67" t="s">
        <v>95</v>
      </c>
      <c r="O70" s="66">
        <f>12930</f>
        <v>12930</v>
      </c>
      <c r="P70" s="67" t="s">
        <v>100</v>
      </c>
      <c r="Q70" s="66">
        <f>14360</f>
        <v>14360</v>
      </c>
      <c r="R70" s="67" t="s">
        <v>245</v>
      </c>
      <c r="S70" s="68">
        <f>13588.33</f>
        <v>13588.33</v>
      </c>
      <c r="T70" s="65">
        <f>1224</f>
        <v>1224</v>
      </c>
      <c r="U70" s="65" t="str">
        <f>"－"</f>
        <v>－</v>
      </c>
      <c r="V70" s="65">
        <f>16509830</f>
        <v>16509830</v>
      </c>
      <c r="W70" s="65" t="str">
        <f>"－"</f>
        <v>－</v>
      </c>
      <c r="X70" s="69">
        <f>18</f>
        <v>18</v>
      </c>
    </row>
    <row r="71" spans="1:24">
      <c r="A71" s="60" t="s">
        <v>842</v>
      </c>
      <c r="B71" s="60" t="s">
        <v>255</v>
      </c>
      <c r="C71" s="60" t="s">
        <v>256</v>
      </c>
      <c r="D71" s="60" t="s">
        <v>257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1489</f>
        <v>1489</v>
      </c>
      <c r="L71" s="67" t="s">
        <v>840</v>
      </c>
      <c r="M71" s="66">
        <f>1619</f>
        <v>1619</v>
      </c>
      <c r="N71" s="67" t="s">
        <v>95</v>
      </c>
      <c r="O71" s="66">
        <f>1451</f>
        <v>1451</v>
      </c>
      <c r="P71" s="67" t="s">
        <v>100</v>
      </c>
      <c r="Q71" s="66">
        <f>1597</f>
        <v>1597</v>
      </c>
      <c r="R71" s="67" t="s">
        <v>245</v>
      </c>
      <c r="S71" s="68">
        <f>1523.39</f>
        <v>1523.39</v>
      </c>
      <c r="T71" s="65">
        <f>4576412</f>
        <v>4576412</v>
      </c>
      <c r="U71" s="65">
        <f>36895</f>
        <v>36895</v>
      </c>
      <c r="V71" s="65">
        <f>6966306855</f>
        <v>6966306855</v>
      </c>
      <c r="W71" s="65">
        <f>56521171</f>
        <v>56521171</v>
      </c>
      <c r="X71" s="69">
        <f>18</f>
        <v>18</v>
      </c>
    </row>
    <row r="72" spans="1:24">
      <c r="A72" s="60" t="s">
        <v>842</v>
      </c>
      <c r="B72" s="60" t="s">
        <v>258</v>
      </c>
      <c r="C72" s="60" t="s">
        <v>259</v>
      </c>
      <c r="D72" s="60" t="s">
        <v>260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1626</f>
        <v>1626</v>
      </c>
      <c r="L72" s="67" t="s">
        <v>840</v>
      </c>
      <c r="M72" s="66">
        <f>1753</f>
        <v>1753</v>
      </c>
      <c r="N72" s="67" t="s">
        <v>245</v>
      </c>
      <c r="O72" s="66">
        <f>1576</f>
        <v>1576</v>
      </c>
      <c r="P72" s="67" t="s">
        <v>86</v>
      </c>
      <c r="Q72" s="66">
        <f>1751</f>
        <v>1751</v>
      </c>
      <c r="R72" s="67" t="s">
        <v>245</v>
      </c>
      <c r="S72" s="68">
        <f>1661.89</f>
        <v>1661.89</v>
      </c>
      <c r="T72" s="65">
        <f>4642304</f>
        <v>4642304</v>
      </c>
      <c r="U72" s="65">
        <f>752261</f>
        <v>752261</v>
      </c>
      <c r="V72" s="65">
        <f>7782994728</f>
        <v>7782994728</v>
      </c>
      <c r="W72" s="65">
        <f>1247496904</f>
        <v>1247496904</v>
      </c>
      <c r="X72" s="69">
        <f>18</f>
        <v>18</v>
      </c>
    </row>
    <row r="73" spans="1:24">
      <c r="A73" s="60" t="s">
        <v>842</v>
      </c>
      <c r="B73" s="60" t="s">
        <v>261</v>
      </c>
      <c r="C73" s="60" t="s">
        <v>262</v>
      </c>
      <c r="D73" s="60" t="s">
        <v>263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1647</f>
        <v>1647</v>
      </c>
      <c r="L73" s="67" t="s">
        <v>840</v>
      </c>
      <c r="M73" s="66">
        <f>1760</f>
        <v>1760</v>
      </c>
      <c r="N73" s="67" t="s">
        <v>95</v>
      </c>
      <c r="O73" s="66">
        <f>1604</f>
        <v>1604</v>
      </c>
      <c r="P73" s="67" t="s">
        <v>100</v>
      </c>
      <c r="Q73" s="66">
        <f>1747</f>
        <v>1747</v>
      </c>
      <c r="R73" s="67" t="s">
        <v>245</v>
      </c>
      <c r="S73" s="68">
        <f>1678</f>
        <v>1678</v>
      </c>
      <c r="T73" s="65">
        <f>15493</f>
        <v>15493</v>
      </c>
      <c r="U73" s="65" t="str">
        <f>"－"</f>
        <v>－</v>
      </c>
      <c r="V73" s="65">
        <f>26104831</f>
        <v>26104831</v>
      </c>
      <c r="W73" s="65" t="str">
        <f>"－"</f>
        <v>－</v>
      </c>
      <c r="X73" s="69">
        <f>18</f>
        <v>18</v>
      </c>
    </row>
    <row r="74" spans="1:24">
      <c r="A74" s="60" t="s">
        <v>842</v>
      </c>
      <c r="B74" s="60" t="s">
        <v>264</v>
      </c>
      <c r="C74" s="60" t="s">
        <v>265</v>
      </c>
      <c r="D74" s="60" t="s">
        <v>266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1667</f>
        <v>1667</v>
      </c>
      <c r="L74" s="67" t="s">
        <v>840</v>
      </c>
      <c r="M74" s="66">
        <f>1758</f>
        <v>1758</v>
      </c>
      <c r="N74" s="67" t="s">
        <v>95</v>
      </c>
      <c r="O74" s="66">
        <f>1585</f>
        <v>1585</v>
      </c>
      <c r="P74" s="67" t="s">
        <v>100</v>
      </c>
      <c r="Q74" s="66">
        <f>1726</f>
        <v>1726</v>
      </c>
      <c r="R74" s="67" t="s">
        <v>245</v>
      </c>
      <c r="S74" s="68">
        <f>1655.33</f>
        <v>1655.33</v>
      </c>
      <c r="T74" s="65">
        <f>150600</f>
        <v>150600</v>
      </c>
      <c r="U74" s="65">
        <f>1253</f>
        <v>1253</v>
      </c>
      <c r="V74" s="65">
        <f>249534656</f>
        <v>249534656</v>
      </c>
      <c r="W74" s="65">
        <f>2092510</f>
        <v>2092510</v>
      </c>
      <c r="X74" s="69">
        <f>18</f>
        <v>18</v>
      </c>
    </row>
    <row r="75" spans="1:24">
      <c r="A75" s="60" t="s">
        <v>842</v>
      </c>
      <c r="B75" s="60" t="s">
        <v>267</v>
      </c>
      <c r="C75" s="60" t="s">
        <v>268</v>
      </c>
      <c r="D75" s="60" t="s">
        <v>269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18380</f>
        <v>18380</v>
      </c>
      <c r="L75" s="67" t="s">
        <v>100</v>
      </c>
      <c r="M75" s="66">
        <f>19300</f>
        <v>19300</v>
      </c>
      <c r="N75" s="67" t="s">
        <v>245</v>
      </c>
      <c r="O75" s="66">
        <f>17670</f>
        <v>17670</v>
      </c>
      <c r="P75" s="67" t="s">
        <v>100</v>
      </c>
      <c r="Q75" s="66">
        <f>19300</f>
        <v>19300</v>
      </c>
      <c r="R75" s="67" t="s">
        <v>245</v>
      </c>
      <c r="S75" s="68">
        <f>18542.22</f>
        <v>18542.22</v>
      </c>
      <c r="T75" s="65">
        <f>66</f>
        <v>66</v>
      </c>
      <c r="U75" s="65" t="str">
        <f>"－"</f>
        <v>－</v>
      </c>
      <c r="V75" s="65">
        <f>1242140</f>
        <v>1242140</v>
      </c>
      <c r="W75" s="65" t="str">
        <f>"－"</f>
        <v>－</v>
      </c>
      <c r="X75" s="69">
        <f>9</f>
        <v>9</v>
      </c>
    </row>
    <row r="76" spans="1:24">
      <c r="A76" s="60" t="s">
        <v>842</v>
      </c>
      <c r="B76" s="60" t="s">
        <v>270</v>
      </c>
      <c r="C76" s="60" t="s">
        <v>271</v>
      </c>
      <c r="D76" s="60" t="s">
        <v>272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14560</f>
        <v>14560</v>
      </c>
      <c r="L76" s="67" t="s">
        <v>100</v>
      </c>
      <c r="M76" s="66">
        <f>15550</f>
        <v>15550</v>
      </c>
      <c r="N76" s="67" t="s">
        <v>95</v>
      </c>
      <c r="O76" s="66">
        <f>13850</f>
        <v>13850</v>
      </c>
      <c r="P76" s="67" t="s">
        <v>65</v>
      </c>
      <c r="Q76" s="66">
        <f>15550</f>
        <v>15550</v>
      </c>
      <c r="R76" s="67" t="s">
        <v>95</v>
      </c>
      <c r="S76" s="68">
        <f>14772.5</f>
        <v>14772.5</v>
      </c>
      <c r="T76" s="65">
        <f>519</f>
        <v>519</v>
      </c>
      <c r="U76" s="65" t="str">
        <f>"－"</f>
        <v>－</v>
      </c>
      <c r="V76" s="65">
        <f>7526310</f>
        <v>7526310</v>
      </c>
      <c r="W76" s="65" t="str">
        <f>"－"</f>
        <v>－</v>
      </c>
      <c r="X76" s="69">
        <f>8</f>
        <v>8</v>
      </c>
    </row>
    <row r="77" spans="1:24">
      <c r="A77" s="60" t="s">
        <v>842</v>
      </c>
      <c r="B77" s="60" t="s">
        <v>273</v>
      </c>
      <c r="C77" s="60" t="s">
        <v>274</v>
      </c>
      <c r="D77" s="60" t="s">
        <v>275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1451</f>
        <v>1451</v>
      </c>
      <c r="L77" s="67" t="s">
        <v>840</v>
      </c>
      <c r="M77" s="66">
        <f>1569</f>
        <v>1569</v>
      </c>
      <c r="N77" s="67" t="s">
        <v>95</v>
      </c>
      <c r="O77" s="66">
        <f>1410</f>
        <v>1410</v>
      </c>
      <c r="P77" s="67" t="s">
        <v>100</v>
      </c>
      <c r="Q77" s="66">
        <f>1562</f>
        <v>1562</v>
      </c>
      <c r="R77" s="67" t="s">
        <v>245</v>
      </c>
      <c r="S77" s="68">
        <f>1484.67</f>
        <v>1484.67</v>
      </c>
      <c r="T77" s="65">
        <f>132449</f>
        <v>132449</v>
      </c>
      <c r="U77" s="65" t="str">
        <f>"－"</f>
        <v>－</v>
      </c>
      <c r="V77" s="65">
        <f>192567757</f>
        <v>192567757</v>
      </c>
      <c r="W77" s="65" t="str">
        <f>"－"</f>
        <v>－</v>
      </c>
      <c r="X77" s="69">
        <f>18</f>
        <v>18</v>
      </c>
    </row>
    <row r="78" spans="1:24">
      <c r="A78" s="60" t="s">
        <v>842</v>
      </c>
      <c r="B78" s="60" t="s">
        <v>276</v>
      </c>
      <c r="C78" s="60" t="s">
        <v>277</v>
      </c>
      <c r="D78" s="60" t="s">
        <v>278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2540</f>
        <v>2540</v>
      </c>
      <c r="L78" s="67" t="s">
        <v>840</v>
      </c>
      <c r="M78" s="66">
        <f>2540</f>
        <v>2540</v>
      </c>
      <c r="N78" s="67" t="s">
        <v>840</v>
      </c>
      <c r="O78" s="66">
        <f>2501</f>
        <v>2501</v>
      </c>
      <c r="P78" s="67" t="s">
        <v>100</v>
      </c>
      <c r="Q78" s="66">
        <f>2523</f>
        <v>2523</v>
      </c>
      <c r="R78" s="67" t="s">
        <v>245</v>
      </c>
      <c r="S78" s="68">
        <f>2518.83</f>
        <v>2518.83</v>
      </c>
      <c r="T78" s="65">
        <f>347362</f>
        <v>347362</v>
      </c>
      <c r="U78" s="65">
        <f>159010</f>
        <v>159010</v>
      </c>
      <c r="V78" s="65">
        <f>874035119</f>
        <v>874035119</v>
      </c>
      <c r="W78" s="65">
        <f>399745750</f>
        <v>399745750</v>
      </c>
      <c r="X78" s="69">
        <f>18</f>
        <v>18</v>
      </c>
    </row>
    <row r="79" spans="1:24">
      <c r="A79" s="60" t="s">
        <v>842</v>
      </c>
      <c r="B79" s="60" t="s">
        <v>279</v>
      </c>
      <c r="C79" s="60" t="s">
        <v>280</v>
      </c>
      <c r="D79" s="60" t="s">
        <v>281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f>1366</f>
        <v>1366</v>
      </c>
      <c r="L79" s="67" t="s">
        <v>840</v>
      </c>
      <c r="M79" s="66">
        <f>1466</f>
        <v>1466</v>
      </c>
      <c r="N79" s="67" t="s">
        <v>95</v>
      </c>
      <c r="O79" s="66">
        <f>1300</f>
        <v>1300</v>
      </c>
      <c r="P79" s="67" t="s">
        <v>840</v>
      </c>
      <c r="Q79" s="66">
        <f>1441</f>
        <v>1441</v>
      </c>
      <c r="R79" s="67" t="s">
        <v>245</v>
      </c>
      <c r="S79" s="68">
        <f>1402.67</f>
        <v>1402.67</v>
      </c>
      <c r="T79" s="65">
        <f>889</f>
        <v>889</v>
      </c>
      <c r="U79" s="65" t="str">
        <f>"－"</f>
        <v>－</v>
      </c>
      <c r="V79" s="65">
        <f>1253151</f>
        <v>1253151</v>
      </c>
      <c r="W79" s="65" t="str">
        <f>"－"</f>
        <v>－</v>
      </c>
      <c r="X79" s="69">
        <f>18</f>
        <v>18</v>
      </c>
    </row>
    <row r="80" spans="1:24">
      <c r="A80" s="60" t="s">
        <v>842</v>
      </c>
      <c r="B80" s="60" t="s">
        <v>282</v>
      </c>
      <c r="C80" s="60" t="s">
        <v>283</v>
      </c>
      <c r="D80" s="60" t="s">
        <v>284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10</v>
      </c>
      <c r="K80" s="66">
        <f>1413</f>
        <v>1413</v>
      </c>
      <c r="L80" s="67" t="s">
        <v>840</v>
      </c>
      <c r="M80" s="66">
        <f>1551</f>
        <v>1551</v>
      </c>
      <c r="N80" s="67" t="s">
        <v>245</v>
      </c>
      <c r="O80" s="66">
        <f>1405</f>
        <v>1405</v>
      </c>
      <c r="P80" s="67" t="s">
        <v>100</v>
      </c>
      <c r="Q80" s="66">
        <f>1548</f>
        <v>1548</v>
      </c>
      <c r="R80" s="67" t="s">
        <v>245</v>
      </c>
      <c r="S80" s="68">
        <f>1469.33</f>
        <v>1469.33</v>
      </c>
      <c r="T80" s="65">
        <f>3950</f>
        <v>3950</v>
      </c>
      <c r="U80" s="65" t="str">
        <f>"－"</f>
        <v>－</v>
      </c>
      <c r="V80" s="65">
        <f>5769260</f>
        <v>5769260</v>
      </c>
      <c r="W80" s="65" t="str">
        <f>"－"</f>
        <v>－</v>
      </c>
      <c r="X80" s="69">
        <f>18</f>
        <v>18</v>
      </c>
    </row>
    <row r="81" spans="1:24">
      <c r="A81" s="60" t="s">
        <v>842</v>
      </c>
      <c r="B81" s="60" t="s">
        <v>285</v>
      </c>
      <c r="C81" s="60" t="s">
        <v>286</v>
      </c>
      <c r="D81" s="60" t="s">
        <v>287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26150</f>
        <v>26150</v>
      </c>
      <c r="L81" s="67" t="s">
        <v>309</v>
      </c>
      <c r="M81" s="66">
        <f>26150</f>
        <v>26150</v>
      </c>
      <c r="N81" s="67" t="s">
        <v>309</v>
      </c>
      <c r="O81" s="66">
        <f>25200</f>
        <v>25200</v>
      </c>
      <c r="P81" s="67" t="s">
        <v>245</v>
      </c>
      <c r="Q81" s="66">
        <f>25200</f>
        <v>25200</v>
      </c>
      <c r="R81" s="67" t="s">
        <v>245</v>
      </c>
      <c r="S81" s="68">
        <f>25627.5</f>
        <v>25627.5</v>
      </c>
      <c r="T81" s="65">
        <f>30</f>
        <v>30</v>
      </c>
      <c r="U81" s="65" t="str">
        <f>"－"</f>
        <v>－</v>
      </c>
      <c r="V81" s="65">
        <f>781410</f>
        <v>781410</v>
      </c>
      <c r="W81" s="65" t="str">
        <f>"－"</f>
        <v>－</v>
      </c>
      <c r="X81" s="69">
        <f>4</f>
        <v>4</v>
      </c>
    </row>
    <row r="82" spans="1:24">
      <c r="A82" s="60" t="s">
        <v>842</v>
      </c>
      <c r="B82" s="60" t="s">
        <v>288</v>
      </c>
      <c r="C82" s="60" t="s">
        <v>289</v>
      </c>
      <c r="D82" s="60" t="s">
        <v>290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22390</f>
        <v>22390</v>
      </c>
      <c r="L82" s="67" t="s">
        <v>840</v>
      </c>
      <c r="M82" s="66">
        <f>22690</f>
        <v>22690</v>
      </c>
      <c r="N82" s="67" t="s">
        <v>816</v>
      </c>
      <c r="O82" s="66">
        <f>22220</f>
        <v>22220</v>
      </c>
      <c r="P82" s="67" t="s">
        <v>100</v>
      </c>
      <c r="Q82" s="66">
        <f>22480</f>
        <v>22480</v>
      </c>
      <c r="R82" s="67" t="s">
        <v>245</v>
      </c>
      <c r="S82" s="68">
        <f>22495.88</f>
        <v>22495.88</v>
      </c>
      <c r="T82" s="65">
        <f>60195</f>
        <v>60195</v>
      </c>
      <c r="U82" s="65">
        <f>36000</f>
        <v>36000</v>
      </c>
      <c r="V82" s="65">
        <f>1350216850</f>
        <v>1350216850</v>
      </c>
      <c r="W82" s="65">
        <f>804731600</f>
        <v>804731600</v>
      </c>
      <c r="X82" s="69">
        <f>17</f>
        <v>17</v>
      </c>
    </row>
    <row r="83" spans="1:24">
      <c r="A83" s="60" t="s">
        <v>842</v>
      </c>
      <c r="B83" s="60" t="s">
        <v>291</v>
      </c>
      <c r="C83" s="60" t="s">
        <v>292</v>
      </c>
      <c r="D83" s="60" t="s">
        <v>293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</v>
      </c>
      <c r="K83" s="66">
        <f>19810</f>
        <v>19810</v>
      </c>
      <c r="L83" s="67" t="s">
        <v>840</v>
      </c>
      <c r="M83" s="66">
        <f>20050</f>
        <v>20050</v>
      </c>
      <c r="N83" s="67" t="s">
        <v>816</v>
      </c>
      <c r="O83" s="66">
        <f>19610</f>
        <v>19610</v>
      </c>
      <c r="P83" s="67" t="s">
        <v>815</v>
      </c>
      <c r="Q83" s="66">
        <f>19840</f>
        <v>19840</v>
      </c>
      <c r="R83" s="67" t="s">
        <v>245</v>
      </c>
      <c r="S83" s="68">
        <f>19837.22</f>
        <v>19837.22</v>
      </c>
      <c r="T83" s="65">
        <f>27761</f>
        <v>27761</v>
      </c>
      <c r="U83" s="65">
        <f>20000</f>
        <v>20000</v>
      </c>
      <c r="V83" s="65">
        <f>550510320</f>
        <v>550510320</v>
      </c>
      <c r="W83" s="65">
        <f>397038000</f>
        <v>397038000</v>
      </c>
      <c r="X83" s="69">
        <f>18</f>
        <v>18</v>
      </c>
    </row>
    <row r="84" spans="1:24">
      <c r="A84" s="60" t="s">
        <v>842</v>
      </c>
      <c r="B84" s="60" t="s">
        <v>294</v>
      </c>
      <c r="C84" s="60" t="s">
        <v>295</v>
      </c>
      <c r="D84" s="60" t="s">
        <v>296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10</v>
      </c>
      <c r="K84" s="66">
        <f>1623</f>
        <v>1623</v>
      </c>
      <c r="L84" s="67" t="s">
        <v>840</v>
      </c>
      <c r="M84" s="66">
        <f>1764</f>
        <v>1764</v>
      </c>
      <c r="N84" s="67" t="s">
        <v>245</v>
      </c>
      <c r="O84" s="66">
        <f>1586</f>
        <v>1586</v>
      </c>
      <c r="P84" s="67" t="s">
        <v>86</v>
      </c>
      <c r="Q84" s="66">
        <f>1764</f>
        <v>1764</v>
      </c>
      <c r="R84" s="67" t="s">
        <v>245</v>
      </c>
      <c r="S84" s="68">
        <f>1671.22</f>
        <v>1671.22</v>
      </c>
      <c r="T84" s="65">
        <f>1414770</f>
        <v>1414770</v>
      </c>
      <c r="U84" s="65">
        <f>150000</f>
        <v>150000</v>
      </c>
      <c r="V84" s="65">
        <f>2359408910</f>
        <v>2359408910</v>
      </c>
      <c r="W84" s="65">
        <f>263089500</f>
        <v>263089500</v>
      </c>
      <c r="X84" s="69">
        <f>18</f>
        <v>18</v>
      </c>
    </row>
    <row r="85" spans="1:24">
      <c r="A85" s="60" t="s">
        <v>842</v>
      </c>
      <c r="B85" s="60" t="s">
        <v>297</v>
      </c>
      <c r="C85" s="60" t="s">
        <v>298</v>
      </c>
      <c r="D85" s="60" t="s">
        <v>299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f>26890</f>
        <v>26890</v>
      </c>
      <c r="L85" s="67" t="s">
        <v>840</v>
      </c>
      <c r="M85" s="66">
        <f>28650</f>
        <v>28650</v>
      </c>
      <c r="N85" s="67" t="s">
        <v>95</v>
      </c>
      <c r="O85" s="66">
        <f>25600</f>
        <v>25600</v>
      </c>
      <c r="P85" s="67" t="s">
        <v>100</v>
      </c>
      <c r="Q85" s="66">
        <f>27990</f>
        <v>27990</v>
      </c>
      <c r="R85" s="67" t="s">
        <v>245</v>
      </c>
      <c r="S85" s="68">
        <f>26753.89</f>
        <v>26753.89</v>
      </c>
      <c r="T85" s="65">
        <f>34615</f>
        <v>34615</v>
      </c>
      <c r="U85" s="65" t="str">
        <f t="shared" ref="U85:U90" si="4">"－"</f>
        <v>－</v>
      </c>
      <c r="V85" s="65">
        <f>929309210</f>
        <v>929309210</v>
      </c>
      <c r="W85" s="65" t="str">
        <f t="shared" ref="W85:W90" si="5">"－"</f>
        <v>－</v>
      </c>
      <c r="X85" s="69">
        <f>18</f>
        <v>18</v>
      </c>
    </row>
    <row r="86" spans="1:24">
      <c r="A86" s="60" t="s">
        <v>842</v>
      </c>
      <c r="B86" s="60" t="s">
        <v>300</v>
      </c>
      <c r="C86" s="60" t="s">
        <v>301</v>
      </c>
      <c r="D86" s="60" t="s">
        <v>302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10</v>
      </c>
      <c r="K86" s="66">
        <f>8470</f>
        <v>8470</v>
      </c>
      <c r="L86" s="67" t="s">
        <v>821</v>
      </c>
      <c r="M86" s="66">
        <f>8470</f>
        <v>8470</v>
      </c>
      <c r="N86" s="67" t="s">
        <v>821</v>
      </c>
      <c r="O86" s="66">
        <f>8470</f>
        <v>8470</v>
      </c>
      <c r="P86" s="67" t="s">
        <v>821</v>
      </c>
      <c r="Q86" s="66">
        <f>8470</f>
        <v>8470</v>
      </c>
      <c r="R86" s="67" t="s">
        <v>245</v>
      </c>
      <c r="S86" s="68">
        <f>8470</f>
        <v>8470</v>
      </c>
      <c r="T86" s="65">
        <f>20</f>
        <v>20</v>
      </c>
      <c r="U86" s="65" t="str">
        <f t="shared" si="4"/>
        <v>－</v>
      </c>
      <c r="V86" s="65">
        <f>169400</f>
        <v>169400</v>
      </c>
      <c r="W86" s="65" t="str">
        <f t="shared" si="5"/>
        <v>－</v>
      </c>
      <c r="X86" s="69">
        <f>2</f>
        <v>2</v>
      </c>
    </row>
    <row r="87" spans="1:24">
      <c r="A87" s="60" t="s">
        <v>842</v>
      </c>
      <c r="B87" s="60" t="s">
        <v>303</v>
      </c>
      <c r="C87" s="60" t="s">
        <v>304</v>
      </c>
      <c r="D87" s="60" t="s">
        <v>305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12300</f>
        <v>12300</v>
      </c>
      <c r="L87" s="67" t="s">
        <v>840</v>
      </c>
      <c r="M87" s="66">
        <f>13290</f>
        <v>13290</v>
      </c>
      <c r="N87" s="67" t="s">
        <v>95</v>
      </c>
      <c r="O87" s="66">
        <f>12020</f>
        <v>12020</v>
      </c>
      <c r="P87" s="67" t="s">
        <v>822</v>
      </c>
      <c r="Q87" s="66">
        <f>13200</f>
        <v>13200</v>
      </c>
      <c r="R87" s="67" t="s">
        <v>245</v>
      </c>
      <c r="S87" s="68">
        <f>12623.89</f>
        <v>12623.89</v>
      </c>
      <c r="T87" s="65">
        <f>1699</f>
        <v>1699</v>
      </c>
      <c r="U87" s="65" t="str">
        <f t="shared" si="4"/>
        <v>－</v>
      </c>
      <c r="V87" s="65">
        <f>21521040</f>
        <v>21521040</v>
      </c>
      <c r="W87" s="65" t="str">
        <f t="shared" si="5"/>
        <v>－</v>
      </c>
      <c r="X87" s="69">
        <f>18</f>
        <v>18</v>
      </c>
    </row>
    <row r="88" spans="1:24">
      <c r="A88" s="60" t="s">
        <v>842</v>
      </c>
      <c r="B88" s="60" t="s">
        <v>306</v>
      </c>
      <c r="C88" s="60" t="s">
        <v>307</v>
      </c>
      <c r="D88" s="60" t="s">
        <v>308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12050</f>
        <v>12050</v>
      </c>
      <c r="L88" s="67" t="s">
        <v>840</v>
      </c>
      <c r="M88" s="66">
        <f>13300</f>
        <v>13300</v>
      </c>
      <c r="N88" s="67" t="s">
        <v>95</v>
      </c>
      <c r="O88" s="66">
        <f>11720</f>
        <v>11720</v>
      </c>
      <c r="P88" s="67" t="s">
        <v>840</v>
      </c>
      <c r="Q88" s="66">
        <f>13290</f>
        <v>13290</v>
      </c>
      <c r="R88" s="67" t="s">
        <v>245</v>
      </c>
      <c r="S88" s="68">
        <f>12539.44</f>
        <v>12539.44</v>
      </c>
      <c r="T88" s="65">
        <f>457</f>
        <v>457</v>
      </c>
      <c r="U88" s="65" t="str">
        <f t="shared" si="4"/>
        <v>－</v>
      </c>
      <c r="V88" s="65">
        <f>5736320</f>
        <v>5736320</v>
      </c>
      <c r="W88" s="65" t="str">
        <f t="shared" si="5"/>
        <v>－</v>
      </c>
      <c r="X88" s="69">
        <f>18</f>
        <v>18</v>
      </c>
    </row>
    <row r="89" spans="1:24">
      <c r="A89" s="60" t="s">
        <v>842</v>
      </c>
      <c r="B89" s="60" t="s">
        <v>310</v>
      </c>
      <c r="C89" s="60" t="s">
        <v>311</v>
      </c>
      <c r="D89" s="60" t="s">
        <v>312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f>15190</f>
        <v>15190</v>
      </c>
      <c r="L89" s="67" t="s">
        <v>840</v>
      </c>
      <c r="M89" s="66">
        <f>16190</f>
        <v>16190</v>
      </c>
      <c r="N89" s="67" t="s">
        <v>95</v>
      </c>
      <c r="O89" s="66">
        <f>14600</f>
        <v>14600</v>
      </c>
      <c r="P89" s="67" t="s">
        <v>100</v>
      </c>
      <c r="Q89" s="66">
        <f>16010</f>
        <v>16010</v>
      </c>
      <c r="R89" s="67" t="s">
        <v>245</v>
      </c>
      <c r="S89" s="68">
        <f>15241.11</f>
        <v>15241.11</v>
      </c>
      <c r="T89" s="65">
        <f>783</f>
        <v>783</v>
      </c>
      <c r="U89" s="65" t="str">
        <f t="shared" si="4"/>
        <v>－</v>
      </c>
      <c r="V89" s="65">
        <f>12083810</f>
        <v>12083810</v>
      </c>
      <c r="W89" s="65" t="str">
        <f t="shared" si="5"/>
        <v>－</v>
      </c>
      <c r="X89" s="69">
        <f>18</f>
        <v>18</v>
      </c>
    </row>
    <row r="90" spans="1:24">
      <c r="A90" s="60" t="s">
        <v>842</v>
      </c>
      <c r="B90" s="60" t="s">
        <v>313</v>
      </c>
      <c r="C90" s="60" t="s">
        <v>314</v>
      </c>
      <c r="D90" s="60" t="s">
        <v>315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10</v>
      </c>
      <c r="K90" s="66">
        <f>9430</f>
        <v>9430</v>
      </c>
      <c r="L90" s="67" t="s">
        <v>840</v>
      </c>
      <c r="M90" s="66">
        <f>9590</f>
        <v>9590</v>
      </c>
      <c r="N90" s="67" t="s">
        <v>65</v>
      </c>
      <c r="O90" s="66">
        <f>9090</f>
        <v>9090</v>
      </c>
      <c r="P90" s="67" t="s">
        <v>90</v>
      </c>
      <c r="Q90" s="66">
        <f>9340</f>
        <v>9340</v>
      </c>
      <c r="R90" s="67" t="s">
        <v>245</v>
      </c>
      <c r="S90" s="68">
        <f>9327.78</f>
        <v>9327.7800000000007</v>
      </c>
      <c r="T90" s="65">
        <f>9440</f>
        <v>9440</v>
      </c>
      <c r="U90" s="65" t="str">
        <f t="shared" si="4"/>
        <v>－</v>
      </c>
      <c r="V90" s="65">
        <f>87989900</f>
        <v>87989900</v>
      </c>
      <c r="W90" s="65" t="str">
        <f t="shared" si="5"/>
        <v>－</v>
      </c>
      <c r="X90" s="69">
        <f>18</f>
        <v>18</v>
      </c>
    </row>
    <row r="91" spans="1:24">
      <c r="A91" s="60" t="s">
        <v>842</v>
      </c>
      <c r="B91" s="60" t="s">
        <v>316</v>
      </c>
      <c r="C91" s="60" t="s">
        <v>317</v>
      </c>
      <c r="D91" s="60" t="s">
        <v>318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2549</f>
        <v>2549</v>
      </c>
      <c r="L91" s="67" t="s">
        <v>840</v>
      </c>
      <c r="M91" s="66">
        <f>2585</f>
        <v>2585</v>
      </c>
      <c r="N91" s="67" t="s">
        <v>245</v>
      </c>
      <c r="O91" s="66">
        <f>2456</f>
        <v>2456</v>
      </c>
      <c r="P91" s="67" t="s">
        <v>815</v>
      </c>
      <c r="Q91" s="66">
        <f>2571</f>
        <v>2571</v>
      </c>
      <c r="R91" s="67" t="s">
        <v>245</v>
      </c>
      <c r="S91" s="68">
        <f>2523.5</f>
        <v>2523.5</v>
      </c>
      <c r="T91" s="65">
        <f>664633</f>
        <v>664633</v>
      </c>
      <c r="U91" s="65">
        <f>640000</f>
        <v>640000</v>
      </c>
      <c r="V91" s="65">
        <f>1663821229</f>
        <v>1663821229</v>
      </c>
      <c r="W91" s="65">
        <f>1601738000</f>
        <v>1601738000</v>
      </c>
      <c r="X91" s="69">
        <f>18</f>
        <v>18</v>
      </c>
    </row>
    <row r="92" spans="1:24">
      <c r="A92" s="60" t="s">
        <v>842</v>
      </c>
      <c r="B92" s="60" t="s">
        <v>319</v>
      </c>
      <c r="C92" s="60" t="s">
        <v>320</v>
      </c>
      <c r="D92" s="60" t="s">
        <v>321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2161</f>
        <v>2161</v>
      </c>
      <c r="L92" s="67" t="s">
        <v>840</v>
      </c>
      <c r="M92" s="66">
        <f>2265</f>
        <v>2265</v>
      </c>
      <c r="N92" s="67" t="s">
        <v>95</v>
      </c>
      <c r="O92" s="66">
        <f>2133</f>
        <v>2133</v>
      </c>
      <c r="P92" s="67" t="s">
        <v>86</v>
      </c>
      <c r="Q92" s="66">
        <f>2238</f>
        <v>2238</v>
      </c>
      <c r="R92" s="67" t="s">
        <v>245</v>
      </c>
      <c r="S92" s="68">
        <f>2179.33</f>
        <v>2179.33</v>
      </c>
      <c r="T92" s="65">
        <f>60278</f>
        <v>60278</v>
      </c>
      <c r="U92" s="65">
        <f>27990</f>
        <v>27990</v>
      </c>
      <c r="V92" s="65">
        <f>131009616</f>
        <v>131009616</v>
      </c>
      <c r="W92" s="65">
        <f>60236999</f>
        <v>60236999</v>
      </c>
      <c r="X92" s="69">
        <f>18</f>
        <v>18</v>
      </c>
    </row>
    <row r="93" spans="1:24">
      <c r="A93" s="60" t="s">
        <v>842</v>
      </c>
      <c r="B93" s="60" t="s">
        <v>322</v>
      </c>
      <c r="C93" s="60" t="s">
        <v>323</v>
      </c>
      <c r="D93" s="60" t="s">
        <v>324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11090</f>
        <v>11090</v>
      </c>
      <c r="L93" s="67" t="s">
        <v>840</v>
      </c>
      <c r="M93" s="66">
        <f>11980</f>
        <v>11980</v>
      </c>
      <c r="N93" s="67" t="s">
        <v>95</v>
      </c>
      <c r="O93" s="66">
        <f>10780</f>
        <v>10780</v>
      </c>
      <c r="P93" s="67" t="s">
        <v>100</v>
      </c>
      <c r="Q93" s="66">
        <f>11940</f>
        <v>11940</v>
      </c>
      <c r="R93" s="67" t="s">
        <v>245</v>
      </c>
      <c r="S93" s="68">
        <f>11297.22</f>
        <v>11297.22</v>
      </c>
      <c r="T93" s="65">
        <f>4054</f>
        <v>4054</v>
      </c>
      <c r="U93" s="65" t="str">
        <f>"－"</f>
        <v>－</v>
      </c>
      <c r="V93" s="65">
        <f>45757790</f>
        <v>45757790</v>
      </c>
      <c r="W93" s="65" t="str">
        <f>"－"</f>
        <v>－</v>
      </c>
      <c r="X93" s="69">
        <f>18</f>
        <v>18</v>
      </c>
    </row>
    <row r="94" spans="1:24">
      <c r="A94" s="60" t="s">
        <v>842</v>
      </c>
      <c r="B94" s="60" t="s">
        <v>325</v>
      </c>
      <c r="C94" s="60" t="s">
        <v>326</v>
      </c>
      <c r="D94" s="60" t="s">
        <v>327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8470</f>
        <v>8470</v>
      </c>
      <c r="L94" s="67" t="s">
        <v>840</v>
      </c>
      <c r="M94" s="66">
        <f>8700</f>
        <v>8700</v>
      </c>
      <c r="N94" s="67" t="s">
        <v>834</v>
      </c>
      <c r="O94" s="66">
        <f>8190</f>
        <v>8190</v>
      </c>
      <c r="P94" s="67" t="s">
        <v>86</v>
      </c>
      <c r="Q94" s="66">
        <f>8420</f>
        <v>8420</v>
      </c>
      <c r="R94" s="67" t="s">
        <v>95</v>
      </c>
      <c r="S94" s="68">
        <f>8416.88</f>
        <v>8416.8799999999992</v>
      </c>
      <c r="T94" s="65">
        <f>218</f>
        <v>218</v>
      </c>
      <c r="U94" s="65" t="str">
        <f>"－"</f>
        <v>－</v>
      </c>
      <c r="V94" s="65">
        <f>1828310</f>
        <v>1828310</v>
      </c>
      <c r="W94" s="65" t="str">
        <f>"－"</f>
        <v>－</v>
      </c>
      <c r="X94" s="69">
        <f>16</f>
        <v>16</v>
      </c>
    </row>
    <row r="95" spans="1:24">
      <c r="A95" s="60" t="s">
        <v>842</v>
      </c>
      <c r="B95" s="60" t="s">
        <v>328</v>
      </c>
      <c r="C95" s="60" t="s">
        <v>329</v>
      </c>
      <c r="D95" s="60" t="s">
        <v>330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5610</f>
        <v>5610</v>
      </c>
      <c r="L95" s="67" t="s">
        <v>840</v>
      </c>
      <c r="M95" s="66">
        <f>5870</f>
        <v>5870</v>
      </c>
      <c r="N95" s="67" t="s">
        <v>822</v>
      </c>
      <c r="O95" s="66">
        <f>5570</f>
        <v>5570</v>
      </c>
      <c r="P95" s="67" t="s">
        <v>840</v>
      </c>
      <c r="Q95" s="66">
        <f>5700</f>
        <v>5700</v>
      </c>
      <c r="R95" s="67" t="s">
        <v>245</v>
      </c>
      <c r="S95" s="68">
        <f>5717.78</f>
        <v>5717.78</v>
      </c>
      <c r="T95" s="65">
        <f>2243921</f>
        <v>2243921</v>
      </c>
      <c r="U95" s="65">
        <f>59380</f>
        <v>59380</v>
      </c>
      <c r="V95" s="65">
        <f>12849777693</f>
        <v>12849777693</v>
      </c>
      <c r="W95" s="65">
        <f>337837863</f>
        <v>337837863</v>
      </c>
      <c r="X95" s="69">
        <f>18</f>
        <v>18</v>
      </c>
    </row>
    <row r="96" spans="1:24">
      <c r="A96" s="60" t="s">
        <v>842</v>
      </c>
      <c r="B96" s="60" t="s">
        <v>331</v>
      </c>
      <c r="C96" s="60" t="s">
        <v>332</v>
      </c>
      <c r="D96" s="60" t="s">
        <v>333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2560</f>
        <v>2560</v>
      </c>
      <c r="L96" s="67" t="s">
        <v>840</v>
      </c>
      <c r="M96" s="66">
        <f>3000</f>
        <v>3000</v>
      </c>
      <c r="N96" s="67" t="s">
        <v>150</v>
      </c>
      <c r="O96" s="66">
        <f>2486</f>
        <v>2486</v>
      </c>
      <c r="P96" s="67" t="s">
        <v>100</v>
      </c>
      <c r="Q96" s="66">
        <f>2740</f>
        <v>2740</v>
      </c>
      <c r="R96" s="67" t="s">
        <v>245</v>
      </c>
      <c r="S96" s="68">
        <f>2687.33</f>
        <v>2687.33</v>
      </c>
      <c r="T96" s="65">
        <f>834359</f>
        <v>834359</v>
      </c>
      <c r="U96" s="65">
        <f>116</f>
        <v>116</v>
      </c>
      <c r="V96" s="65">
        <f>2325138807</f>
        <v>2325138807</v>
      </c>
      <c r="W96" s="65">
        <f>326424</f>
        <v>326424</v>
      </c>
      <c r="X96" s="69">
        <f>18</f>
        <v>18</v>
      </c>
    </row>
    <row r="97" spans="1:24">
      <c r="A97" s="60" t="s">
        <v>842</v>
      </c>
      <c r="B97" s="60" t="s">
        <v>334</v>
      </c>
      <c r="C97" s="60" t="s">
        <v>335</v>
      </c>
      <c r="D97" s="60" t="s">
        <v>336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4990</f>
        <v>4990</v>
      </c>
      <c r="L97" s="67" t="s">
        <v>840</v>
      </c>
      <c r="M97" s="66">
        <f>5760</f>
        <v>5760</v>
      </c>
      <c r="N97" s="67" t="s">
        <v>150</v>
      </c>
      <c r="O97" s="66">
        <f>4835</f>
        <v>4835</v>
      </c>
      <c r="P97" s="67" t="s">
        <v>100</v>
      </c>
      <c r="Q97" s="66">
        <f>5610</f>
        <v>5610</v>
      </c>
      <c r="R97" s="67" t="s">
        <v>245</v>
      </c>
      <c r="S97" s="68">
        <f>5337.5</f>
        <v>5337.5</v>
      </c>
      <c r="T97" s="65">
        <f>136970</f>
        <v>136970</v>
      </c>
      <c r="U97" s="65">
        <f>108</f>
        <v>108</v>
      </c>
      <c r="V97" s="65">
        <f>747316535</f>
        <v>747316535</v>
      </c>
      <c r="W97" s="65">
        <f>590405</f>
        <v>590405</v>
      </c>
      <c r="X97" s="69">
        <f>18</f>
        <v>18</v>
      </c>
    </row>
    <row r="98" spans="1:24">
      <c r="A98" s="60" t="s">
        <v>842</v>
      </c>
      <c r="B98" s="60" t="s">
        <v>337</v>
      </c>
      <c r="C98" s="60" t="s">
        <v>338</v>
      </c>
      <c r="D98" s="60" t="s">
        <v>339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64300</f>
        <v>64300</v>
      </c>
      <c r="L98" s="67" t="s">
        <v>840</v>
      </c>
      <c r="M98" s="66">
        <f>69200</f>
        <v>69200</v>
      </c>
      <c r="N98" s="67" t="s">
        <v>819</v>
      </c>
      <c r="O98" s="66">
        <f>59000</f>
        <v>59000</v>
      </c>
      <c r="P98" s="67" t="s">
        <v>100</v>
      </c>
      <c r="Q98" s="66">
        <f>62100</f>
        <v>62100</v>
      </c>
      <c r="R98" s="67" t="s">
        <v>245</v>
      </c>
      <c r="S98" s="68">
        <f>63461.11</f>
        <v>63461.11</v>
      </c>
      <c r="T98" s="65">
        <f>4864</f>
        <v>4864</v>
      </c>
      <c r="U98" s="65" t="str">
        <f>"－"</f>
        <v>－</v>
      </c>
      <c r="V98" s="65">
        <f>312098800</f>
        <v>312098800</v>
      </c>
      <c r="W98" s="65" t="str">
        <f>"－"</f>
        <v>－</v>
      </c>
      <c r="X98" s="69">
        <f>18</f>
        <v>18</v>
      </c>
    </row>
    <row r="99" spans="1:24">
      <c r="A99" s="60" t="s">
        <v>842</v>
      </c>
      <c r="B99" s="60" t="s">
        <v>340</v>
      </c>
      <c r="C99" s="60" t="s">
        <v>341</v>
      </c>
      <c r="D99" s="60" t="s">
        <v>342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10</v>
      </c>
      <c r="K99" s="66">
        <f>9650</f>
        <v>9650</v>
      </c>
      <c r="L99" s="67" t="s">
        <v>840</v>
      </c>
      <c r="M99" s="66">
        <f>10480</f>
        <v>10480</v>
      </c>
      <c r="N99" s="67" t="s">
        <v>821</v>
      </c>
      <c r="O99" s="66">
        <f>9550</f>
        <v>9550</v>
      </c>
      <c r="P99" s="67" t="s">
        <v>840</v>
      </c>
      <c r="Q99" s="66">
        <f>10240</f>
        <v>10240</v>
      </c>
      <c r="R99" s="67" t="s">
        <v>245</v>
      </c>
      <c r="S99" s="68">
        <f>10072.22</f>
        <v>10072.219999999999</v>
      </c>
      <c r="T99" s="65">
        <f>1332160</f>
        <v>1332160</v>
      </c>
      <c r="U99" s="65">
        <f>52250</f>
        <v>52250</v>
      </c>
      <c r="V99" s="65">
        <f>13411305971</f>
        <v>13411305971</v>
      </c>
      <c r="W99" s="65">
        <f>519966371</f>
        <v>519966371</v>
      </c>
      <c r="X99" s="69">
        <f>18</f>
        <v>18</v>
      </c>
    </row>
    <row r="100" spans="1:24">
      <c r="A100" s="60" t="s">
        <v>842</v>
      </c>
      <c r="B100" s="60" t="s">
        <v>343</v>
      </c>
      <c r="C100" s="60" t="s">
        <v>344</v>
      </c>
      <c r="D100" s="60" t="s">
        <v>345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</v>
      </c>
      <c r="K100" s="66">
        <f>25220</f>
        <v>25220</v>
      </c>
      <c r="L100" s="67" t="s">
        <v>840</v>
      </c>
      <c r="M100" s="66">
        <f>27200</f>
        <v>27200</v>
      </c>
      <c r="N100" s="67" t="s">
        <v>95</v>
      </c>
      <c r="O100" s="66">
        <f>24150</f>
        <v>24150</v>
      </c>
      <c r="P100" s="67" t="s">
        <v>90</v>
      </c>
      <c r="Q100" s="66">
        <f>26530</f>
        <v>26530</v>
      </c>
      <c r="R100" s="67" t="s">
        <v>245</v>
      </c>
      <c r="S100" s="68">
        <f>25494.44</f>
        <v>25494.44</v>
      </c>
      <c r="T100" s="65">
        <f>249208</f>
        <v>249208</v>
      </c>
      <c r="U100" s="65">
        <f>13223</f>
        <v>13223</v>
      </c>
      <c r="V100" s="65">
        <f>6378133379</f>
        <v>6378133379</v>
      </c>
      <c r="W100" s="65">
        <f>358588469</f>
        <v>358588469</v>
      </c>
      <c r="X100" s="69">
        <f>18</f>
        <v>18</v>
      </c>
    </row>
    <row r="101" spans="1:24">
      <c r="A101" s="60" t="s">
        <v>842</v>
      </c>
      <c r="B101" s="60" t="s">
        <v>346</v>
      </c>
      <c r="C101" s="60" t="s">
        <v>347</v>
      </c>
      <c r="D101" s="60" t="s">
        <v>348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3355</f>
        <v>3355</v>
      </c>
      <c r="L101" s="67" t="s">
        <v>840</v>
      </c>
      <c r="M101" s="66">
        <f>3575</f>
        <v>3575</v>
      </c>
      <c r="N101" s="67" t="s">
        <v>95</v>
      </c>
      <c r="O101" s="66">
        <f>3245</f>
        <v>3245</v>
      </c>
      <c r="P101" s="67" t="s">
        <v>90</v>
      </c>
      <c r="Q101" s="66">
        <f>3515</f>
        <v>3515</v>
      </c>
      <c r="R101" s="67" t="s">
        <v>245</v>
      </c>
      <c r="S101" s="68">
        <f>3405</f>
        <v>3405</v>
      </c>
      <c r="T101" s="65">
        <f>1141210</f>
        <v>1141210</v>
      </c>
      <c r="U101" s="65">
        <f>118330</f>
        <v>118330</v>
      </c>
      <c r="V101" s="65">
        <f>3865542173</f>
        <v>3865542173</v>
      </c>
      <c r="W101" s="65">
        <f>395543023</f>
        <v>395543023</v>
      </c>
      <c r="X101" s="69">
        <f>18</f>
        <v>18</v>
      </c>
    </row>
    <row r="102" spans="1:24">
      <c r="A102" s="60" t="s">
        <v>842</v>
      </c>
      <c r="B102" s="60" t="s">
        <v>349</v>
      </c>
      <c r="C102" s="60" t="s">
        <v>350</v>
      </c>
      <c r="D102" s="60" t="s">
        <v>351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2219</f>
        <v>2219</v>
      </c>
      <c r="L102" s="67" t="s">
        <v>840</v>
      </c>
      <c r="M102" s="66">
        <f>2365</f>
        <v>2365</v>
      </c>
      <c r="N102" s="67" t="s">
        <v>95</v>
      </c>
      <c r="O102" s="66">
        <f>2155</f>
        <v>2155</v>
      </c>
      <c r="P102" s="67" t="s">
        <v>86</v>
      </c>
      <c r="Q102" s="66">
        <f>2353</f>
        <v>2353</v>
      </c>
      <c r="R102" s="67" t="s">
        <v>245</v>
      </c>
      <c r="S102" s="68">
        <f>2256.17</f>
        <v>2256.17</v>
      </c>
      <c r="T102" s="65">
        <f>359160</f>
        <v>359160</v>
      </c>
      <c r="U102" s="65">
        <f>202800</f>
        <v>202800</v>
      </c>
      <c r="V102" s="65">
        <f>803811380</f>
        <v>803811380</v>
      </c>
      <c r="W102" s="65">
        <f>452511940</f>
        <v>452511940</v>
      </c>
      <c r="X102" s="69">
        <f>18</f>
        <v>18</v>
      </c>
    </row>
    <row r="103" spans="1:24">
      <c r="A103" s="60" t="s">
        <v>842</v>
      </c>
      <c r="B103" s="60" t="s">
        <v>352</v>
      </c>
      <c r="C103" s="60" t="s">
        <v>353</v>
      </c>
      <c r="D103" s="60" t="s">
        <v>354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10</v>
      </c>
      <c r="K103" s="66">
        <f>3625</f>
        <v>3625</v>
      </c>
      <c r="L103" s="67" t="s">
        <v>840</v>
      </c>
      <c r="M103" s="66">
        <f>4280</f>
        <v>4280</v>
      </c>
      <c r="N103" s="67" t="s">
        <v>245</v>
      </c>
      <c r="O103" s="66">
        <f>3595</f>
        <v>3595</v>
      </c>
      <c r="P103" s="67" t="s">
        <v>840</v>
      </c>
      <c r="Q103" s="66">
        <f>4275</f>
        <v>4275</v>
      </c>
      <c r="R103" s="67" t="s">
        <v>245</v>
      </c>
      <c r="S103" s="68">
        <f>3995</f>
        <v>3995</v>
      </c>
      <c r="T103" s="65">
        <f>46060</f>
        <v>46060</v>
      </c>
      <c r="U103" s="65">
        <f>10</f>
        <v>10</v>
      </c>
      <c r="V103" s="65">
        <f>184287400</f>
        <v>184287400</v>
      </c>
      <c r="W103" s="65">
        <f>41250</f>
        <v>41250</v>
      </c>
      <c r="X103" s="69">
        <f>18</f>
        <v>18</v>
      </c>
    </row>
    <row r="104" spans="1:24">
      <c r="A104" s="60" t="s">
        <v>842</v>
      </c>
      <c r="B104" s="60" t="s">
        <v>355</v>
      </c>
      <c r="C104" s="60" t="s">
        <v>356</v>
      </c>
      <c r="D104" s="60" t="s">
        <v>357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f>13380</f>
        <v>13380</v>
      </c>
      <c r="L104" s="67" t="s">
        <v>840</v>
      </c>
      <c r="M104" s="66">
        <f>13780</f>
        <v>13780</v>
      </c>
      <c r="N104" s="67" t="s">
        <v>840</v>
      </c>
      <c r="O104" s="66">
        <f>11220</f>
        <v>11220</v>
      </c>
      <c r="P104" s="67" t="s">
        <v>821</v>
      </c>
      <c r="Q104" s="66">
        <f>11750</f>
        <v>11750</v>
      </c>
      <c r="R104" s="67" t="s">
        <v>245</v>
      </c>
      <c r="S104" s="68">
        <f>12215.56</f>
        <v>12215.56</v>
      </c>
      <c r="T104" s="65">
        <f>3744462</f>
        <v>3744462</v>
      </c>
      <c r="U104" s="65">
        <f>2918</f>
        <v>2918</v>
      </c>
      <c r="V104" s="65">
        <f>45725062583</f>
        <v>45725062583</v>
      </c>
      <c r="W104" s="65">
        <f>35691233</f>
        <v>35691233</v>
      </c>
      <c r="X104" s="69">
        <f>18</f>
        <v>18</v>
      </c>
    </row>
    <row r="105" spans="1:24">
      <c r="A105" s="60" t="s">
        <v>842</v>
      </c>
      <c r="B105" s="60" t="s">
        <v>358</v>
      </c>
      <c r="C105" s="60" t="s">
        <v>359</v>
      </c>
      <c r="D105" s="60" t="s">
        <v>360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1900</f>
        <v>1900</v>
      </c>
      <c r="L105" s="67" t="s">
        <v>840</v>
      </c>
      <c r="M105" s="66">
        <f>2040</f>
        <v>2040</v>
      </c>
      <c r="N105" s="67" t="s">
        <v>95</v>
      </c>
      <c r="O105" s="66">
        <f>1850</f>
        <v>1850</v>
      </c>
      <c r="P105" s="67" t="s">
        <v>100</v>
      </c>
      <c r="Q105" s="66">
        <f>2018</f>
        <v>2018</v>
      </c>
      <c r="R105" s="67" t="s">
        <v>245</v>
      </c>
      <c r="S105" s="68">
        <f>1940.28</f>
        <v>1940.28</v>
      </c>
      <c r="T105" s="65">
        <f>95430</f>
        <v>95430</v>
      </c>
      <c r="U105" s="65">
        <f>110</f>
        <v>110</v>
      </c>
      <c r="V105" s="65">
        <f>183891730</f>
        <v>183891730</v>
      </c>
      <c r="W105" s="65">
        <f>214640</f>
        <v>214640</v>
      </c>
      <c r="X105" s="69">
        <f>18</f>
        <v>18</v>
      </c>
    </row>
    <row r="106" spans="1:24">
      <c r="A106" s="60" t="s">
        <v>842</v>
      </c>
      <c r="B106" s="60" t="s">
        <v>361</v>
      </c>
      <c r="C106" s="60" t="s">
        <v>362</v>
      </c>
      <c r="D106" s="60" t="s">
        <v>363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10</v>
      </c>
      <c r="K106" s="66">
        <f>1098</f>
        <v>1098</v>
      </c>
      <c r="L106" s="67" t="s">
        <v>840</v>
      </c>
      <c r="M106" s="66">
        <f>1266</f>
        <v>1266</v>
      </c>
      <c r="N106" s="67" t="s">
        <v>95</v>
      </c>
      <c r="O106" s="66">
        <f>1032</f>
        <v>1032</v>
      </c>
      <c r="P106" s="67" t="s">
        <v>840</v>
      </c>
      <c r="Q106" s="66">
        <f>1214</f>
        <v>1214</v>
      </c>
      <c r="R106" s="67" t="s">
        <v>245</v>
      </c>
      <c r="S106" s="68">
        <f>1122.22</f>
        <v>1122.22</v>
      </c>
      <c r="T106" s="65">
        <f>585820</f>
        <v>585820</v>
      </c>
      <c r="U106" s="65">
        <f>65760</f>
        <v>65760</v>
      </c>
      <c r="V106" s="65">
        <f>650519224</f>
        <v>650519224</v>
      </c>
      <c r="W106" s="65">
        <f>71129304</f>
        <v>71129304</v>
      </c>
      <c r="X106" s="69">
        <f>18</f>
        <v>18</v>
      </c>
    </row>
    <row r="107" spans="1:24">
      <c r="A107" s="60" t="s">
        <v>842</v>
      </c>
      <c r="B107" s="60" t="s">
        <v>364</v>
      </c>
      <c r="C107" s="60" t="s">
        <v>365</v>
      </c>
      <c r="D107" s="60" t="s">
        <v>366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30900</f>
        <v>30900</v>
      </c>
      <c r="L107" s="67" t="s">
        <v>840</v>
      </c>
      <c r="M107" s="66">
        <f>32950</f>
        <v>32950</v>
      </c>
      <c r="N107" s="67" t="s">
        <v>95</v>
      </c>
      <c r="O107" s="66">
        <f>29960</f>
        <v>29960</v>
      </c>
      <c r="P107" s="67" t="s">
        <v>90</v>
      </c>
      <c r="Q107" s="66">
        <f>32500</f>
        <v>32500</v>
      </c>
      <c r="R107" s="67" t="s">
        <v>245</v>
      </c>
      <c r="S107" s="68">
        <f>31420.56</f>
        <v>31420.560000000001</v>
      </c>
      <c r="T107" s="65">
        <f>132522</f>
        <v>132522</v>
      </c>
      <c r="U107" s="65" t="str">
        <f>"－"</f>
        <v>－</v>
      </c>
      <c r="V107" s="65">
        <f>4173425300</f>
        <v>4173425300</v>
      </c>
      <c r="W107" s="65" t="str">
        <f>"－"</f>
        <v>－</v>
      </c>
      <c r="X107" s="69">
        <f>18</f>
        <v>18</v>
      </c>
    </row>
    <row r="108" spans="1:24">
      <c r="A108" s="60" t="s">
        <v>842</v>
      </c>
      <c r="B108" s="60" t="s">
        <v>367</v>
      </c>
      <c r="C108" s="60" t="s">
        <v>368</v>
      </c>
      <c r="D108" s="60" t="s">
        <v>369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2656</f>
        <v>2656</v>
      </c>
      <c r="L108" s="67" t="s">
        <v>840</v>
      </c>
      <c r="M108" s="66">
        <f>2935</f>
        <v>2935</v>
      </c>
      <c r="N108" s="67" t="s">
        <v>95</v>
      </c>
      <c r="O108" s="66">
        <f>2640</f>
        <v>2640</v>
      </c>
      <c r="P108" s="67" t="s">
        <v>840</v>
      </c>
      <c r="Q108" s="66">
        <f>2897</f>
        <v>2897</v>
      </c>
      <c r="R108" s="67" t="s">
        <v>245</v>
      </c>
      <c r="S108" s="68">
        <f>2809.78</f>
        <v>2809.78</v>
      </c>
      <c r="T108" s="65">
        <f>17515</f>
        <v>17515</v>
      </c>
      <c r="U108" s="65">
        <f>18</f>
        <v>18</v>
      </c>
      <c r="V108" s="65">
        <f>49242558</f>
        <v>49242558</v>
      </c>
      <c r="W108" s="65">
        <f>51632</f>
        <v>51632</v>
      </c>
      <c r="X108" s="69">
        <f>18</f>
        <v>18</v>
      </c>
    </row>
    <row r="109" spans="1:24">
      <c r="A109" s="60" t="s">
        <v>842</v>
      </c>
      <c r="B109" s="60" t="s">
        <v>370</v>
      </c>
      <c r="C109" s="60" t="s">
        <v>371</v>
      </c>
      <c r="D109" s="60" t="s">
        <v>372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3380</f>
        <v>3380</v>
      </c>
      <c r="L109" s="67" t="s">
        <v>840</v>
      </c>
      <c r="M109" s="66">
        <f>3650</f>
        <v>3650</v>
      </c>
      <c r="N109" s="67" t="s">
        <v>245</v>
      </c>
      <c r="O109" s="66">
        <f>3330</f>
        <v>3330</v>
      </c>
      <c r="P109" s="67" t="s">
        <v>840</v>
      </c>
      <c r="Q109" s="66">
        <f>3645</f>
        <v>3645</v>
      </c>
      <c r="R109" s="67" t="s">
        <v>245</v>
      </c>
      <c r="S109" s="68">
        <f>3507.5</f>
        <v>3507.5</v>
      </c>
      <c r="T109" s="65">
        <f>5404</f>
        <v>5404</v>
      </c>
      <c r="U109" s="65" t="str">
        <f>"－"</f>
        <v>－</v>
      </c>
      <c r="V109" s="65">
        <f>18794980</f>
        <v>18794980</v>
      </c>
      <c r="W109" s="65" t="str">
        <f>"－"</f>
        <v>－</v>
      </c>
      <c r="X109" s="69">
        <f>18</f>
        <v>18</v>
      </c>
    </row>
    <row r="110" spans="1:24">
      <c r="A110" s="60" t="s">
        <v>842</v>
      </c>
      <c r="B110" s="60" t="s">
        <v>373</v>
      </c>
      <c r="C110" s="60" t="s">
        <v>374</v>
      </c>
      <c r="D110" s="60" t="s">
        <v>375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2222</f>
        <v>2222</v>
      </c>
      <c r="L110" s="67" t="s">
        <v>840</v>
      </c>
      <c r="M110" s="66">
        <f>2626</f>
        <v>2626</v>
      </c>
      <c r="N110" s="67" t="s">
        <v>821</v>
      </c>
      <c r="O110" s="66">
        <f>2180</f>
        <v>2180</v>
      </c>
      <c r="P110" s="67" t="s">
        <v>65</v>
      </c>
      <c r="Q110" s="66">
        <f>2528</f>
        <v>2528</v>
      </c>
      <c r="R110" s="67" t="s">
        <v>245</v>
      </c>
      <c r="S110" s="68">
        <f>2433.94</f>
        <v>2433.94</v>
      </c>
      <c r="T110" s="65">
        <f>380253</f>
        <v>380253</v>
      </c>
      <c r="U110" s="65">
        <f>119</f>
        <v>119</v>
      </c>
      <c r="V110" s="65">
        <f>934317569</f>
        <v>934317569</v>
      </c>
      <c r="W110" s="65">
        <f>296666</f>
        <v>296666</v>
      </c>
      <c r="X110" s="69">
        <f>18</f>
        <v>18</v>
      </c>
    </row>
    <row r="111" spans="1:24">
      <c r="A111" s="60" t="s">
        <v>842</v>
      </c>
      <c r="B111" s="60" t="s">
        <v>376</v>
      </c>
      <c r="C111" s="60" t="s">
        <v>377</v>
      </c>
      <c r="D111" s="60" t="s">
        <v>378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f>42400</f>
        <v>42400</v>
      </c>
      <c r="L111" s="67" t="s">
        <v>840</v>
      </c>
      <c r="M111" s="66">
        <f>43700</f>
        <v>43700</v>
      </c>
      <c r="N111" s="67" t="s">
        <v>95</v>
      </c>
      <c r="O111" s="66">
        <f>41350</f>
        <v>41350</v>
      </c>
      <c r="P111" s="67" t="s">
        <v>100</v>
      </c>
      <c r="Q111" s="66">
        <f>43400</f>
        <v>43400</v>
      </c>
      <c r="R111" s="67" t="s">
        <v>245</v>
      </c>
      <c r="S111" s="68">
        <f>42472.22</f>
        <v>42472.22</v>
      </c>
      <c r="T111" s="65">
        <f>13619</f>
        <v>13619</v>
      </c>
      <c r="U111" s="65">
        <f>1669</f>
        <v>1669</v>
      </c>
      <c r="V111" s="65">
        <f>576533725</f>
        <v>576533725</v>
      </c>
      <c r="W111" s="65">
        <f>70467625</f>
        <v>70467625</v>
      </c>
      <c r="X111" s="69">
        <f>18</f>
        <v>18</v>
      </c>
    </row>
    <row r="112" spans="1:24">
      <c r="A112" s="60" t="s">
        <v>842</v>
      </c>
      <c r="B112" s="60" t="s">
        <v>379</v>
      </c>
      <c r="C112" s="60" t="s">
        <v>380</v>
      </c>
      <c r="D112" s="60" t="s">
        <v>381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 t="str">
        <f>"－"</f>
        <v>－</v>
      </c>
      <c r="L112" s="67"/>
      <c r="M112" s="66" t="str">
        <f>"－"</f>
        <v>－</v>
      </c>
      <c r="N112" s="67"/>
      <c r="O112" s="66" t="str">
        <f>"－"</f>
        <v>－</v>
      </c>
      <c r="P112" s="67"/>
      <c r="Q112" s="66" t="str">
        <f>"－"</f>
        <v>－</v>
      </c>
      <c r="R112" s="67"/>
      <c r="S112" s="68" t="str">
        <f t="shared" ref="S112:X112" si="6">"－"</f>
        <v>－</v>
      </c>
      <c r="T112" s="65" t="str">
        <f t="shared" si="6"/>
        <v>－</v>
      </c>
      <c r="U112" s="65" t="str">
        <f t="shared" si="6"/>
        <v>－</v>
      </c>
      <c r="V112" s="65" t="str">
        <f t="shared" si="6"/>
        <v>－</v>
      </c>
      <c r="W112" s="65" t="str">
        <f t="shared" si="6"/>
        <v>－</v>
      </c>
      <c r="X112" s="69" t="str">
        <f t="shared" si="6"/>
        <v>－</v>
      </c>
    </row>
    <row r="113" spans="1:24">
      <c r="A113" s="60" t="s">
        <v>842</v>
      </c>
      <c r="B113" s="60" t="s">
        <v>382</v>
      </c>
      <c r="C113" s="60" t="s">
        <v>383</v>
      </c>
      <c r="D113" s="60" t="s">
        <v>384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13310</f>
        <v>13310</v>
      </c>
      <c r="L113" s="67" t="s">
        <v>840</v>
      </c>
      <c r="M113" s="66">
        <f>15680</f>
        <v>15680</v>
      </c>
      <c r="N113" s="67" t="s">
        <v>95</v>
      </c>
      <c r="O113" s="66">
        <f>12620</f>
        <v>12620</v>
      </c>
      <c r="P113" s="67" t="s">
        <v>100</v>
      </c>
      <c r="Q113" s="66">
        <f>15260</f>
        <v>15260</v>
      </c>
      <c r="R113" s="67" t="s">
        <v>245</v>
      </c>
      <c r="S113" s="68">
        <f>13903.33</f>
        <v>13903.33</v>
      </c>
      <c r="T113" s="65">
        <f>3459760</f>
        <v>3459760</v>
      </c>
      <c r="U113" s="65">
        <f>45470</f>
        <v>45470</v>
      </c>
      <c r="V113" s="65">
        <f>47928389668</f>
        <v>47928389668</v>
      </c>
      <c r="W113" s="65">
        <f>635795968</f>
        <v>635795968</v>
      </c>
      <c r="X113" s="69">
        <f>18</f>
        <v>18</v>
      </c>
    </row>
    <row r="114" spans="1:24">
      <c r="A114" s="60" t="s">
        <v>842</v>
      </c>
      <c r="B114" s="60" t="s">
        <v>385</v>
      </c>
      <c r="C114" s="60" t="s">
        <v>386</v>
      </c>
      <c r="D114" s="60" t="s">
        <v>387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f>3210</f>
        <v>3210</v>
      </c>
      <c r="L114" s="67" t="s">
        <v>840</v>
      </c>
      <c r="M114" s="66">
        <f>3290</f>
        <v>3290</v>
      </c>
      <c r="N114" s="67" t="s">
        <v>100</v>
      </c>
      <c r="O114" s="66">
        <f>2932</f>
        <v>2932</v>
      </c>
      <c r="P114" s="67" t="s">
        <v>95</v>
      </c>
      <c r="Q114" s="66">
        <f>2965</f>
        <v>2965</v>
      </c>
      <c r="R114" s="67" t="s">
        <v>245</v>
      </c>
      <c r="S114" s="68">
        <f>3121.78</f>
        <v>3121.78</v>
      </c>
      <c r="T114" s="65">
        <f>358400</f>
        <v>358400</v>
      </c>
      <c r="U114" s="65">
        <f>1340</f>
        <v>1340</v>
      </c>
      <c r="V114" s="65">
        <f>1093492750</f>
        <v>1093492750</v>
      </c>
      <c r="W114" s="65">
        <f>4030680</f>
        <v>4030680</v>
      </c>
      <c r="X114" s="69">
        <f>18</f>
        <v>18</v>
      </c>
    </row>
    <row r="115" spans="1:24">
      <c r="A115" s="60" t="s">
        <v>842</v>
      </c>
      <c r="B115" s="60" t="s">
        <v>388</v>
      </c>
      <c r="C115" s="60" t="s">
        <v>389</v>
      </c>
      <c r="D115" s="60" t="s">
        <v>390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15350</f>
        <v>15350</v>
      </c>
      <c r="L115" s="67" t="s">
        <v>840</v>
      </c>
      <c r="M115" s="66">
        <f>18530</f>
        <v>18530</v>
      </c>
      <c r="N115" s="67" t="s">
        <v>245</v>
      </c>
      <c r="O115" s="66">
        <f>14560</f>
        <v>14560</v>
      </c>
      <c r="P115" s="67" t="s">
        <v>100</v>
      </c>
      <c r="Q115" s="66">
        <f>18360</f>
        <v>18360</v>
      </c>
      <c r="R115" s="67" t="s">
        <v>245</v>
      </c>
      <c r="S115" s="68">
        <f>16260.56</f>
        <v>16260.56</v>
      </c>
      <c r="T115" s="65">
        <f>185325560</f>
        <v>185325560</v>
      </c>
      <c r="U115" s="65">
        <f>214409</f>
        <v>214409</v>
      </c>
      <c r="V115" s="65">
        <f>3043569477479</f>
        <v>3043569477479</v>
      </c>
      <c r="W115" s="65">
        <f>3786802299</f>
        <v>3786802299</v>
      </c>
      <c r="X115" s="69">
        <f>18</f>
        <v>18</v>
      </c>
    </row>
    <row r="116" spans="1:24">
      <c r="A116" s="60" t="s">
        <v>842</v>
      </c>
      <c r="B116" s="60" t="s">
        <v>391</v>
      </c>
      <c r="C116" s="60" t="s">
        <v>392</v>
      </c>
      <c r="D116" s="60" t="s">
        <v>393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</v>
      </c>
      <c r="K116" s="66">
        <f>1574</f>
        <v>1574</v>
      </c>
      <c r="L116" s="67" t="s">
        <v>840</v>
      </c>
      <c r="M116" s="66">
        <f>1614</f>
        <v>1614</v>
      </c>
      <c r="N116" s="67" t="s">
        <v>100</v>
      </c>
      <c r="O116" s="66">
        <f>1421</f>
        <v>1421</v>
      </c>
      <c r="P116" s="67" t="s">
        <v>245</v>
      </c>
      <c r="Q116" s="66">
        <f>1426</f>
        <v>1426</v>
      </c>
      <c r="R116" s="67" t="s">
        <v>245</v>
      </c>
      <c r="S116" s="68">
        <f>1522.83</f>
        <v>1522.83</v>
      </c>
      <c r="T116" s="65">
        <f>23518475</f>
        <v>23518475</v>
      </c>
      <c r="U116" s="65">
        <f>1304318</f>
        <v>1304318</v>
      </c>
      <c r="V116" s="65">
        <f>35282087292</f>
        <v>35282087292</v>
      </c>
      <c r="W116" s="65">
        <f>1989098215</f>
        <v>1989098215</v>
      </c>
      <c r="X116" s="69">
        <f>18</f>
        <v>18</v>
      </c>
    </row>
    <row r="117" spans="1:24">
      <c r="A117" s="60" t="s">
        <v>842</v>
      </c>
      <c r="B117" s="60" t="s">
        <v>394</v>
      </c>
      <c r="C117" s="60" t="s">
        <v>395</v>
      </c>
      <c r="D117" s="60" t="s">
        <v>396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9280</f>
        <v>9280</v>
      </c>
      <c r="L117" s="67" t="s">
        <v>840</v>
      </c>
      <c r="M117" s="66">
        <f>9760</f>
        <v>9760</v>
      </c>
      <c r="N117" s="67" t="s">
        <v>100</v>
      </c>
      <c r="O117" s="66">
        <f>8550</f>
        <v>8550</v>
      </c>
      <c r="P117" s="67" t="s">
        <v>816</v>
      </c>
      <c r="Q117" s="66">
        <f>8740</f>
        <v>8740</v>
      </c>
      <c r="R117" s="67" t="s">
        <v>245</v>
      </c>
      <c r="S117" s="68">
        <f>9031.67</f>
        <v>9031.67</v>
      </c>
      <c r="T117" s="65">
        <f>6750</f>
        <v>6750</v>
      </c>
      <c r="U117" s="65" t="str">
        <f>"－"</f>
        <v>－</v>
      </c>
      <c r="V117" s="65">
        <f>61151200</f>
        <v>61151200</v>
      </c>
      <c r="W117" s="65" t="str">
        <f>"－"</f>
        <v>－</v>
      </c>
      <c r="X117" s="69">
        <f>18</f>
        <v>18</v>
      </c>
    </row>
    <row r="118" spans="1:24">
      <c r="A118" s="60" t="s">
        <v>842</v>
      </c>
      <c r="B118" s="60" t="s">
        <v>397</v>
      </c>
      <c r="C118" s="60" t="s">
        <v>398</v>
      </c>
      <c r="D118" s="60" t="s">
        <v>399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f>7650</f>
        <v>7650</v>
      </c>
      <c r="L118" s="67" t="s">
        <v>840</v>
      </c>
      <c r="M118" s="66">
        <f>8220</f>
        <v>8220</v>
      </c>
      <c r="N118" s="67" t="s">
        <v>309</v>
      </c>
      <c r="O118" s="66">
        <f>7580</f>
        <v>7580</v>
      </c>
      <c r="P118" s="67" t="s">
        <v>834</v>
      </c>
      <c r="Q118" s="66">
        <f>8140</f>
        <v>8140</v>
      </c>
      <c r="R118" s="67" t="s">
        <v>245</v>
      </c>
      <c r="S118" s="68">
        <f>7905.56</f>
        <v>7905.56</v>
      </c>
      <c r="T118" s="65">
        <f>11170</f>
        <v>11170</v>
      </c>
      <c r="U118" s="65">
        <f>10</f>
        <v>10</v>
      </c>
      <c r="V118" s="65">
        <f>88608600</f>
        <v>88608600</v>
      </c>
      <c r="W118" s="65">
        <f>81400</f>
        <v>81400</v>
      </c>
      <c r="X118" s="69">
        <f>18</f>
        <v>18</v>
      </c>
    </row>
    <row r="119" spans="1:24">
      <c r="A119" s="60" t="s">
        <v>842</v>
      </c>
      <c r="B119" s="60" t="s">
        <v>400</v>
      </c>
      <c r="C119" s="60" t="s">
        <v>401</v>
      </c>
      <c r="D119" s="60" t="s">
        <v>402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1328</f>
        <v>1328</v>
      </c>
      <c r="L119" s="67" t="s">
        <v>100</v>
      </c>
      <c r="M119" s="66">
        <f>1391</f>
        <v>1391</v>
      </c>
      <c r="N119" s="67" t="s">
        <v>95</v>
      </c>
      <c r="O119" s="66">
        <f>1328</f>
        <v>1328</v>
      </c>
      <c r="P119" s="67" t="s">
        <v>100</v>
      </c>
      <c r="Q119" s="66">
        <f>1391</f>
        <v>1391</v>
      </c>
      <c r="R119" s="67" t="s">
        <v>95</v>
      </c>
      <c r="S119" s="68">
        <f>1362</f>
        <v>1362</v>
      </c>
      <c r="T119" s="65">
        <f>650</f>
        <v>650</v>
      </c>
      <c r="U119" s="65">
        <f>10</f>
        <v>10</v>
      </c>
      <c r="V119" s="65">
        <f>882170</f>
        <v>882170</v>
      </c>
      <c r="W119" s="65">
        <f>13900</f>
        <v>13900</v>
      </c>
      <c r="X119" s="69">
        <f>7</f>
        <v>7</v>
      </c>
    </row>
    <row r="120" spans="1:24">
      <c r="A120" s="60" t="s">
        <v>842</v>
      </c>
      <c r="B120" s="60" t="s">
        <v>403</v>
      </c>
      <c r="C120" s="60" t="s">
        <v>404</v>
      </c>
      <c r="D120" s="60" t="s">
        <v>405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f>598</f>
        <v>598</v>
      </c>
      <c r="L120" s="67" t="s">
        <v>840</v>
      </c>
      <c r="M120" s="66">
        <f>634</f>
        <v>634</v>
      </c>
      <c r="N120" s="67" t="s">
        <v>834</v>
      </c>
      <c r="O120" s="66">
        <f>572</f>
        <v>572</v>
      </c>
      <c r="P120" s="67" t="s">
        <v>840</v>
      </c>
      <c r="Q120" s="66">
        <f>584</f>
        <v>584</v>
      </c>
      <c r="R120" s="67" t="s">
        <v>245</v>
      </c>
      <c r="S120" s="68">
        <f>592.47</f>
        <v>592.47</v>
      </c>
      <c r="T120" s="65">
        <f>22760</f>
        <v>22760</v>
      </c>
      <c r="U120" s="65" t="str">
        <f>"－"</f>
        <v>－</v>
      </c>
      <c r="V120" s="65">
        <f>13445210</f>
        <v>13445210</v>
      </c>
      <c r="W120" s="65" t="str">
        <f>"－"</f>
        <v>－</v>
      </c>
      <c r="X120" s="69">
        <f>15</f>
        <v>15</v>
      </c>
    </row>
    <row r="121" spans="1:24">
      <c r="A121" s="60" t="s">
        <v>842</v>
      </c>
      <c r="B121" s="60" t="s">
        <v>406</v>
      </c>
      <c r="C121" s="60" t="s">
        <v>407</v>
      </c>
      <c r="D121" s="60" t="s">
        <v>408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10</v>
      </c>
      <c r="K121" s="66">
        <f>577</f>
        <v>577</v>
      </c>
      <c r="L121" s="67" t="s">
        <v>840</v>
      </c>
      <c r="M121" s="66">
        <f>591</f>
        <v>591</v>
      </c>
      <c r="N121" s="67" t="s">
        <v>819</v>
      </c>
      <c r="O121" s="66">
        <f>551</f>
        <v>551</v>
      </c>
      <c r="P121" s="67" t="s">
        <v>840</v>
      </c>
      <c r="Q121" s="66">
        <f>566</f>
        <v>566</v>
      </c>
      <c r="R121" s="67" t="s">
        <v>245</v>
      </c>
      <c r="S121" s="68">
        <f>575</f>
        <v>575</v>
      </c>
      <c r="T121" s="65">
        <f>2450</f>
        <v>2450</v>
      </c>
      <c r="U121" s="65" t="str">
        <f>"－"</f>
        <v>－</v>
      </c>
      <c r="V121" s="65">
        <f>1408500</f>
        <v>1408500</v>
      </c>
      <c r="W121" s="65" t="str">
        <f>"－"</f>
        <v>－</v>
      </c>
      <c r="X121" s="69">
        <f>16</f>
        <v>16</v>
      </c>
    </row>
    <row r="122" spans="1:24">
      <c r="A122" s="60" t="s">
        <v>842</v>
      </c>
      <c r="B122" s="60" t="s">
        <v>409</v>
      </c>
      <c r="C122" s="60" t="s">
        <v>410</v>
      </c>
      <c r="D122" s="60" t="s">
        <v>411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</v>
      </c>
      <c r="K122" s="66">
        <f>17750</f>
        <v>17750</v>
      </c>
      <c r="L122" s="67" t="s">
        <v>840</v>
      </c>
      <c r="M122" s="66">
        <f>19140</f>
        <v>19140</v>
      </c>
      <c r="N122" s="67" t="s">
        <v>95</v>
      </c>
      <c r="O122" s="66">
        <f>17070</f>
        <v>17070</v>
      </c>
      <c r="P122" s="67" t="s">
        <v>100</v>
      </c>
      <c r="Q122" s="66">
        <f>18630</f>
        <v>18630</v>
      </c>
      <c r="R122" s="67" t="s">
        <v>245</v>
      </c>
      <c r="S122" s="68">
        <f>17835.56</f>
        <v>17835.560000000001</v>
      </c>
      <c r="T122" s="65">
        <f>29895</f>
        <v>29895</v>
      </c>
      <c r="U122" s="65">
        <f>34</f>
        <v>34</v>
      </c>
      <c r="V122" s="65">
        <f>534118572</f>
        <v>534118572</v>
      </c>
      <c r="W122" s="65">
        <f>612832</f>
        <v>612832</v>
      </c>
      <c r="X122" s="69">
        <f>18</f>
        <v>18</v>
      </c>
    </row>
    <row r="123" spans="1:24">
      <c r="A123" s="60" t="s">
        <v>842</v>
      </c>
      <c r="B123" s="60" t="s">
        <v>412</v>
      </c>
      <c r="C123" s="60" t="s">
        <v>413</v>
      </c>
      <c r="D123" s="60" t="s">
        <v>414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f>1607</f>
        <v>1607</v>
      </c>
      <c r="L123" s="67" t="s">
        <v>840</v>
      </c>
      <c r="M123" s="66">
        <f>1765</f>
        <v>1765</v>
      </c>
      <c r="N123" s="67" t="s">
        <v>245</v>
      </c>
      <c r="O123" s="66">
        <f>1564</f>
        <v>1564</v>
      </c>
      <c r="P123" s="67" t="s">
        <v>100</v>
      </c>
      <c r="Q123" s="66">
        <f>1758</f>
        <v>1758</v>
      </c>
      <c r="R123" s="67" t="s">
        <v>245</v>
      </c>
      <c r="S123" s="68">
        <f>1653.78</f>
        <v>1653.78</v>
      </c>
      <c r="T123" s="65">
        <f>63448</f>
        <v>63448</v>
      </c>
      <c r="U123" s="65" t="str">
        <f>"－"</f>
        <v>－</v>
      </c>
      <c r="V123" s="65">
        <f>106252873</f>
        <v>106252873</v>
      </c>
      <c r="W123" s="65" t="str">
        <f>"－"</f>
        <v>－</v>
      </c>
      <c r="X123" s="69">
        <f>18</f>
        <v>18</v>
      </c>
    </row>
    <row r="124" spans="1:24">
      <c r="A124" s="60" t="s">
        <v>842</v>
      </c>
      <c r="B124" s="60" t="s">
        <v>415</v>
      </c>
      <c r="C124" s="60" t="s">
        <v>416</v>
      </c>
      <c r="D124" s="60" t="s">
        <v>417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f>16340</f>
        <v>16340</v>
      </c>
      <c r="L124" s="67" t="s">
        <v>840</v>
      </c>
      <c r="M124" s="66">
        <f>19720</f>
        <v>19720</v>
      </c>
      <c r="N124" s="67" t="s">
        <v>245</v>
      </c>
      <c r="O124" s="66">
        <f>15500</f>
        <v>15500</v>
      </c>
      <c r="P124" s="67" t="s">
        <v>100</v>
      </c>
      <c r="Q124" s="66">
        <f>19560</f>
        <v>19560</v>
      </c>
      <c r="R124" s="67" t="s">
        <v>245</v>
      </c>
      <c r="S124" s="68">
        <f>17317.78</f>
        <v>17317.78</v>
      </c>
      <c r="T124" s="65">
        <f>11715430</f>
        <v>11715430</v>
      </c>
      <c r="U124" s="65">
        <f>1350</f>
        <v>1350</v>
      </c>
      <c r="V124" s="65">
        <f>204796354133</f>
        <v>204796354133</v>
      </c>
      <c r="W124" s="65">
        <f>23423133</f>
        <v>23423133</v>
      </c>
      <c r="X124" s="69">
        <f>18</f>
        <v>18</v>
      </c>
    </row>
    <row r="125" spans="1:24">
      <c r="A125" s="60" t="s">
        <v>842</v>
      </c>
      <c r="B125" s="60" t="s">
        <v>418</v>
      </c>
      <c r="C125" s="60" t="s">
        <v>419</v>
      </c>
      <c r="D125" s="60" t="s">
        <v>420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4185</f>
        <v>4185</v>
      </c>
      <c r="L125" s="67" t="s">
        <v>840</v>
      </c>
      <c r="M125" s="66">
        <f>4300</f>
        <v>4300</v>
      </c>
      <c r="N125" s="67" t="s">
        <v>100</v>
      </c>
      <c r="O125" s="66">
        <f>3785</f>
        <v>3785</v>
      </c>
      <c r="P125" s="67" t="s">
        <v>245</v>
      </c>
      <c r="Q125" s="66">
        <f>3800</f>
        <v>3800</v>
      </c>
      <c r="R125" s="67" t="s">
        <v>245</v>
      </c>
      <c r="S125" s="68">
        <f>4058.33</f>
        <v>4058.33</v>
      </c>
      <c r="T125" s="65">
        <f>688100</f>
        <v>688100</v>
      </c>
      <c r="U125" s="65">
        <f>5440</f>
        <v>5440</v>
      </c>
      <c r="V125" s="65">
        <f>2769771931</f>
        <v>2769771931</v>
      </c>
      <c r="W125" s="65">
        <f>22268281</f>
        <v>22268281</v>
      </c>
      <c r="X125" s="69">
        <f>18</f>
        <v>18</v>
      </c>
    </row>
    <row r="126" spans="1:24">
      <c r="A126" s="60" t="s">
        <v>842</v>
      </c>
      <c r="B126" s="60" t="s">
        <v>421</v>
      </c>
      <c r="C126" s="60" t="s">
        <v>422</v>
      </c>
      <c r="D126" s="60" t="s">
        <v>423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f>579</f>
        <v>579</v>
      </c>
      <c r="L126" s="67" t="s">
        <v>840</v>
      </c>
      <c r="M126" s="66">
        <f>650</f>
        <v>650</v>
      </c>
      <c r="N126" s="67" t="s">
        <v>95</v>
      </c>
      <c r="O126" s="66">
        <f>540</f>
        <v>540</v>
      </c>
      <c r="P126" s="67" t="s">
        <v>815</v>
      </c>
      <c r="Q126" s="66">
        <f>620</f>
        <v>620</v>
      </c>
      <c r="R126" s="67" t="s">
        <v>95</v>
      </c>
      <c r="S126" s="68">
        <f>574</f>
        <v>574</v>
      </c>
      <c r="T126" s="65">
        <f>1120</f>
        <v>1120</v>
      </c>
      <c r="U126" s="65" t="str">
        <f>"－"</f>
        <v>－</v>
      </c>
      <c r="V126" s="65">
        <f>665300</f>
        <v>665300</v>
      </c>
      <c r="W126" s="65" t="str">
        <f>"－"</f>
        <v>－</v>
      </c>
      <c r="X126" s="69">
        <f>13</f>
        <v>13</v>
      </c>
    </row>
    <row r="127" spans="1:24">
      <c r="A127" s="60" t="s">
        <v>842</v>
      </c>
      <c r="B127" s="60" t="s">
        <v>424</v>
      </c>
      <c r="C127" s="60" t="s">
        <v>425</v>
      </c>
      <c r="D127" s="60" t="s">
        <v>841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f>1152</f>
        <v>1152</v>
      </c>
      <c r="L127" s="67" t="s">
        <v>840</v>
      </c>
      <c r="M127" s="66">
        <f>1239</f>
        <v>1239</v>
      </c>
      <c r="N127" s="67" t="s">
        <v>245</v>
      </c>
      <c r="O127" s="66">
        <f>1138</f>
        <v>1138</v>
      </c>
      <c r="P127" s="67" t="s">
        <v>840</v>
      </c>
      <c r="Q127" s="66">
        <f>1239</f>
        <v>1239</v>
      </c>
      <c r="R127" s="67" t="s">
        <v>245</v>
      </c>
      <c r="S127" s="68">
        <f>1181</f>
        <v>1181</v>
      </c>
      <c r="T127" s="65">
        <f>82020</f>
        <v>82020</v>
      </c>
      <c r="U127" s="65" t="str">
        <f>"－"</f>
        <v>－</v>
      </c>
      <c r="V127" s="65">
        <f>95339800</f>
        <v>95339800</v>
      </c>
      <c r="W127" s="65" t="str">
        <f>"－"</f>
        <v>－</v>
      </c>
      <c r="X127" s="69">
        <f>9</f>
        <v>9</v>
      </c>
    </row>
    <row r="128" spans="1:24">
      <c r="A128" s="60" t="s">
        <v>842</v>
      </c>
      <c r="B128" s="60" t="s">
        <v>427</v>
      </c>
      <c r="C128" s="60" t="s">
        <v>428</v>
      </c>
      <c r="D128" s="60" t="s">
        <v>429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f>1355</f>
        <v>1355</v>
      </c>
      <c r="L128" s="67" t="s">
        <v>840</v>
      </c>
      <c r="M128" s="66">
        <f>1385</f>
        <v>1385</v>
      </c>
      <c r="N128" s="67" t="s">
        <v>95</v>
      </c>
      <c r="O128" s="66">
        <f>1322</f>
        <v>1322</v>
      </c>
      <c r="P128" s="67" t="s">
        <v>65</v>
      </c>
      <c r="Q128" s="66">
        <f>1385</f>
        <v>1385</v>
      </c>
      <c r="R128" s="67" t="s">
        <v>95</v>
      </c>
      <c r="S128" s="68">
        <f>1344.29</f>
        <v>1344.29</v>
      </c>
      <c r="T128" s="65">
        <f>351</f>
        <v>351</v>
      </c>
      <c r="U128" s="65" t="str">
        <f>"－"</f>
        <v>－</v>
      </c>
      <c r="V128" s="65">
        <f>472423</f>
        <v>472423</v>
      </c>
      <c r="W128" s="65" t="str">
        <f>"－"</f>
        <v>－</v>
      </c>
      <c r="X128" s="69">
        <f>14</f>
        <v>14</v>
      </c>
    </row>
    <row r="129" spans="1:24">
      <c r="A129" s="60" t="s">
        <v>842</v>
      </c>
      <c r="B129" s="60" t="s">
        <v>430</v>
      </c>
      <c r="C129" s="60" t="s">
        <v>431</v>
      </c>
      <c r="D129" s="60" t="s">
        <v>432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13080</f>
        <v>13080</v>
      </c>
      <c r="L129" s="67" t="s">
        <v>840</v>
      </c>
      <c r="M129" s="66">
        <f>14240</f>
        <v>14240</v>
      </c>
      <c r="N129" s="67" t="s">
        <v>95</v>
      </c>
      <c r="O129" s="66">
        <f>12750</f>
        <v>12750</v>
      </c>
      <c r="P129" s="67" t="s">
        <v>100</v>
      </c>
      <c r="Q129" s="66">
        <f>14060</f>
        <v>14060</v>
      </c>
      <c r="R129" s="67" t="s">
        <v>245</v>
      </c>
      <c r="S129" s="68">
        <f>13377.22</f>
        <v>13377.22</v>
      </c>
      <c r="T129" s="65">
        <f>313819</f>
        <v>313819</v>
      </c>
      <c r="U129" s="65">
        <f>217553</f>
        <v>217553</v>
      </c>
      <c r="V129" s="65">
        <f>4243842108</f>
        <v>4243842108</v>
      </c>
      <c r="W129" s="65">
        <f>2914013808</f>
        <v>2914013808</v>
      </c>
      <c r="X129" s="69">
        <f>18</f>
        <v>18</v>
      </c>
    </row>
    <row r="130" spans="1:24">
      <c r="A130" s="60" t="s">
        <v>842</v>
      </c>
      <c r="B130" s="60" t="s">
        <v>433</v>
      </c>
      <c r="C130" s="60" t="s">
        <v>434</v>
      </c>
      <c r="D130" s="60" t="s">
        <v>435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</v>
      </c>
      <c r="K130" s="66">
        <f>1205</f>
        <v>1205</v>
      </c>
      <c r="L130" s="67" t="s">
        <v>840</v>
      </c>
      <c r="M130" s="66">
        <f>1312</f>
        <v>1312</v>
      </c>
      <c r="N130" s="67" t="s">
        <v>95</v>
      </c>
      <c r="O130" s="66">
        <f>1175</f>
        <v>1175</v>
      </c>
      <c r="P130" s="67" t="s">
        <v>100</v>
      </c>
      <c r="Q130" s="66">
        <f>1301</f>
        <v>1301</v>
      </c>
      <c r="R130" s="67" t="s">
        <v>245</v>
      </c>
      <c r="S130" s="68">
        <f>1235.89</f>
        <v>1235.8900000000001</v>
      </c>
      <c r="T130" s="65">
        <f>253879</f>
        <v>253879</v>
      </c>
      <c r="U130" s="65">
        <f>14966</f>
        <v>14966</v>
      </c>
      <c r="V130" s="65">
        <f>314093702</f>
        <v>314093702</v>
      </c>
      <c r="W130" s="65">
        <f>18588054</f>
        <v>18588054</v>
      </c>
      <c r="X130" s="69">
        <f>18</f>
        <v>18</v>
      </c>
    </row>
    <row r="131" spans="1:24">
      <c r="A131" s="60" t="s">
        <v>842</v>
      </c>
      <c r="B131" s="60" t="s">
        <v>436</v>
      </c>
      <c r="C131" s="60" t="s">
        <v>437</v>
      </c>
      <c r="D131" s="60" t="s">
        <v>438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f>13500</f>
        <v>13500</v>
      </c>
      <c r="L131" s="67" t="s">
        <v>840</v>
      </c>
      <c r="M131" s="66">
        <f>14670</f>
        <v>14670</v>
      </c>
      <c r="N131" s="67" t="s">
        <v>95</v>
      </c>
      <c r="O131" s="66">
        <f>13080</f>
        <v>13080</v>
      </c>
      <c r="P131" s="67" t="s">
        <v>100</v>
      </c>
      <c r="Q131" s="66">
        <f>14480</f>
        <v>14480</v>
      </c>
      <c r="R131" s="67" t="s">
        <v>245</v>
      </c>
      <c r="S131" s="68">
        <f>13784.44</f>
        <v>13784.44</v>
      </c>
      <c r="T131" s="65">
        <f>97797</f>
        <v>97797</v>
      </c>
      <c r="U131" s="65">
        <f>86000</f>
        <v>86000</v>
      </c>
      <c r="V131" s="65">
        <f>1368082120</f>
        <v>1368082120</v>
      </c>
      <c r="W131" s="65">
        <f>1204524000</f>
        <v>1204524000</v>
      </c>
      <c r="X131" s="69">
        <f>18</f>
        <v>18</v>
      </c>
    </row>
    <row r="132" spans="1:24">
      <c r="A132" s="60" t="s">
        <v>842</v>
      </c>
      <c r="B132" s="60" t="s">
        <v>439</v>
      </c>
      <c r="C132" s="60" t="s">
        <v>440</v>
      </c>
      <c r="D132" s="60" t="s">
        <v>441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f>1585</f>
        <v>1585</v>
      </c>
      <c r="L132" s="67" t="s">
        <v>840</v>
      </c>
      <c r="M132" s="66">
        <f>1740</f>
        <v>1740</v>
      </c>
      <c r="N132" s="67" t="s">
        <v>245</v>
      </c>
      <c r="O132" s="66">
        <f>1563</f>
        <v>1563</v>
      </c>
      <c r="P132" s="67" t="s">
        <v>86</v>
      </c>
      <c r="Q132" s="66">
        <f>1736</f>
        <v>1736</v>
      </c>
      <c r="R132" s="67" t="s">
        <v>245</v>
      </c>
      <c r="S132" s="68">
        <f>1645.56</f>
        <v>1645.56</v>
      </c>
      <c r="T132" s="65">
        <f>952770</f>
        <v>952770</v>
      </c>
      <c r="U132" s="65">
        <f>250000</f>
        <v>250000</v>
      </c>
      <c r="V132" s="65">
        <f>1585226690</f>
        <v>1585226690</v>
      </c>
      <c r="W132" s="65">
        <f>417209000</f>
        <v>417209000</v>
      </c>
      <c r="X132" s="69">
        <f>18</f>
        <v>18</v>
      </c>
    </row>
    <row r="133" spans="1:24">
      <c r="A133" s="60" t="s">
        <v>842</v>
      </c>
      <c r="B133" s="60" t="s">
        <v>442</v>
      </c>
      <c r="C133" s="60" t="s">
        <v>443</v>
      </c>
      <c r="D133" s="60" t="s">
        <v>444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10</v>
      </c>
      <c r="K133" s="66">
        <f>1311</f>
        <v>1311</v>
      </c>
      <c r="L133" s="67" t="s">
        <v>834</v>
      </c>
      <c r="M133" s="66">
        <f>1388</f>
        <v>1388</v>
      </c>
      <c r="N133" s="67" t="s">
        <v>95</v>
      </c>
      <c r="O133" s="66">
        <f>1311</f>
        <v>1311</v>
      </c>
      <c r="P133" s="67" t="s">
        <v>834</v>
      </c>
      <c r="Q133" s="66">
        <f>1388</f>
        <v>1388</v>
      </c>
      <c r="R133" s="67" t="s">
        <v>95</v>
      </c>
      <c r="S133" s="68">
        <f>1349.67</f>
        <v>1349.67</v>
      </c>
      <c r="T133" s="65">
        <f>280</f>
        <v>280</v>
      </c>
      <c r="U133" s="65" t="str">
        <f>"－"</f>
        <v>－</v>
      </c>
      <c r="V133" s="65">
        <f>372390</f>
        <v>372390</v>
      </c>
      <c r="W133" s="65" t="str">
        <f>"－"</f>
        <v>－</v>
      </c>
      <c r="X133" s="69">
        <f>3</f>
        <v>3</v>
      </c>
    </row>
    <row r="134" spans="1:24">
      <c r="A134" s="60" t="s">
        <v>842</v>
      </c>
      <c r="B134" s="60" t="s">
        <v>445</v>
      </c>
      <c r="C134" s="60" t="s">
        <v>446</v>
      </c>
      <c r="D134" s="60" t="s">
        <v>447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10</v>
      </c>
      <c r="K134" s="66">
        <f>1606</f>
        <v>1606</v>
      </c>
      <c r="L134" s="67" t="s">
        <v>840</v>
      </c>
      <c r="M134" s="66">
        <f>1752</f>
        <v>1752</v>
      </c>
      <c r="N134" s="67" t="s">
        <v>245</v>
      </c>
      <c r="O134" s="66">
        <f>1577</f>
        <v>1577</v>
      </c>
      <c r="P134" s="67" t="s">
        <v>86</v>
      </c>
      <c r="Q134" s="66">
        <f>1745</f>
        <v>1745</v>
      </c>
      <c r="R134" s="67" t="s">
        <v>245</v>
      </c>
      <c r="S134" s="68">
        <f>1659.06</f>
        <v>1659.06</v>
      </c>
      <c r="T134" s="65">
        <f>545110</f>
        <v>545110</v>
      </c>
      <c r="U134" s="65">
        <f>62000</f>
        <v>62000</v>
      </c>
      <c r="V134" s="65">
        <f>898898740</f>
        <v>898898740</v>
      </c>
      <c r="W134" s="65">
        <f>99878280</f>
        <v>99878280</v>
      </c>
      <c r="X134" s="69">
        <f>18</f>
        <v>18</v>
      </c>
    </row>
    <row r="135" spans="1:24">
      <c r="A135" s="60" t="s">
        <v>842</v>
      </c>
      <c r="B135" s="60" t="s">
        <v>448</v>
      </c>
      <c r="C135" s="60" t="s">
        <v>449</v>
      </c>
      <c r="D135" s="60" t="s">
        <v>450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</v>
      </c>
      <c r="K135" s="66">
        <f>14690</f>
        <v>14690</v>
      </c>
      <c r="L135" s="67" t="s">
        <v>245</v>
      </c>
      <c r="M135" s="66">
        <f>15750</f>
        <v>15750</v>
      </c>
      <c r="N135" s="67" t="s">
        <v>245</v>
      </c>
      <c r="O135" s="66">
        <f>14690</f>
        <v>14690</v>
      </c>
      <c r="P135" s="67" t="s">
        <v>245</v>
      </c>
      <c r="Q135" s="66">
        <f>15690</f>
        <v>15690</v>
      </c>
      <c r="R135" s="67" t="s">
        <v>245</v>
      </c>
      <c r="S135" s="68">
        <f>15690</f>
        <v>15690</v>
      </c>
      <c r="T135" s="65">
        <f>12</f>
        <v>12</v>
      </c>
      <c r="U135" s="65" t="str">
        <f>"－"</f>
        <v>－</v>
      </c>
      <c r="V135" s="65">
        <f>187340</f>
        <v>187340</v>
      </c>
      <c r="W135" s="65" t="str">
        <f>"－"</f>
        <v>－</v>
      </c>
      <c r="X135" s="69">
        <f>1</f>
        <v>1</v>
      </c>
    </row>
    <row r="136" spans="1:24">
      <c r="A136" s="60" t="s">
        <v>842</v>
      </c>
      <c r="B136" s="60" t="s">
        <v>451</v>
      </c>
      <c r="C136" s="60" t="s">
        <v>452</v>
      </c>
      <c r="D136" s="60" t="s">
        <v>453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13650</f>
        <v>13650</v>
      </c>
      <c r="L136" s="67" t="s">
        <v>100</v>
      </c>
      <c r="M136" s="66">
        <f>14600</f>
        <v>14600</v>
      </c>
      <c r="N136" s="67" t="s">
        <v>245</v>
      </c>
      <c r="O136" s="66">
        <f>13030</f>
        <v>13030</v>
      </c>
      <c r="P136" s="67" t="s">
        <v>100</v>
      </c>
      <c r="Q136" s="66">
        <f>14600</f>
        <v>14600</v>
      </c>
      <c r="R136" s="67" t="s">
        <v>245</v>
      </c>
      <c r="S136" s="68">
        <f>13662.94</f>
        <v>13662.94</v>
      </c>
      <c r="T136" s="65">
        <f>1643</f>
        <v>1643</v>
      </c>
      <c r="U136" s="65" t="str">
        <f>"－"</f>
        <v>－</v>
      </c>
      <c r="V136" s="65">
        <f>22463840</f>
        <v>22463840</v>
      </c>
      <c r="W136" s="65" t="str">
        <f>"－"</f>
        <v>－</v>
      </c>
      <c r="X136" s="69">
        <f>17</f>
        <v>17</v>
      </c>
    </row>
    <row r="137" spans="1:24">
      <c r="A137" s="60" t="s">
        <v>842</v>
      </c>
      <c r="B137" s="60" t="s">
        <v>454</v>
      </c>
      <c r="C137" s="60" t="s">
        <v>455</v>
      </c>
      <c r="D137" s="60" t="s">
        <v>456</v>
      </c>
      <c r="E137" s="61" t="s">
        <v>46</v>
      </c>
      <c r="F137" s="62" t="s">
        <v>46</v>
      </c>
      <c r="G137" s="63" t="s">
        <v>46</v>
      </c>
      <c r="H137" s="64" t="s">
        <v>843</v>
      </c>
      <c r="I137" s="64"/>
      <c r="J137" s="65">
        <v>10</v>
      </c>
      <c r="K137" s="66">
        <f>2241</f>
        <v>2241</v>
      </c>
      <c r="L137" s="67" t="s">
        <v>840</v>
      </c>
      <c r="M137" s="66">
        <f>2349</f>
        <v>2349</v>
      </c>
      <c r="N137" s="67" t="s">
        <v>245</v>
      </c>
      <c r="O137" s="66">
        <f>2133</f>
        <v>2133</v>
      </c>
      <c r="P137" s="67" t="s">
        <v>820</v>
      </c>
      <c r="Q137" s="66">
        <f>2349</f>
        <v>2349</v>
      </c>
      <c r="R137" s="67" t="s">
        <v>245</v>
      </c>
      <c r="S137" s="68">
        <f>2242.39</f>
        <v>2242.39</v>
      </c>
      <c r="T137" s="65">
        <f>73190</f>
        <v>73190</v>
      </c>
      <c r="U137" s="65" t="str">
        <f>"－"</f>
        <v>－</v>
      </c>
      <c r="V137" s="65">
        <f>163639890</f>
        <v>163639890</v>
      </c>
      <c r="W137" s="65" t="str">
        <f>"－"</f>
        <v>－</v>
      </c>
      <c r="X137" s="69">
        <f>18</f>
        <v>18</v>
      </c>
    </row>
    <row r="138" spans="1:24">
      <c r="A138" s="60" t="s">
        <v>842</v>
      </c>
      <c r="B138" s="60" t="s">
        <v>457</v>
      </c>
      <c r="C138" s="60" t="s">
        <v>458</v>
      </c>
      <c r="D138" s="60" t="s">
        <v>459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100</v>
      </c>
      <c r="K138" s="66">
        <f>121</f>
        <v>121</v>
      </c>
      <c r="L138" s="67" t="s">
        <v>840</v>
      </c>
      <c r="M138" s="66">
        <f>131</f>
        <v>131</v>
      </c>
      <c r="N138" s="67" t="s">
        <v>95</v>
      </c>
      <c r="O138" s="66">
        <f>115</f>
        <v>115</v>
      </c>
      <c r="P138" s="67" t="s">
        <v>100</v>
      </c>
      <c r="Q138" s="66">
        <f>126</f>
        <v>126</v>
      </c>
      <c r="R138" s="67" t="s">
        <v>245</v>
      </c>
      <c r="S138" s="68">
        <f>119.44</f>
        <v>119.44</v>
      </c>
      <c r="T138" s="65">
        <f>15257200</f>
        <v>15257200</v>
      </c>
      <c r="U138" s="65">
        <f>19000</f>
        <v>19000</v>
      </c>
      <c r="V138" s="65">
        <f>1850951710</f>
        <v>1850951710</v>
      </c>
      <c r="W138" s="65">
        <f>2265710</f>
        <v>2265710</v>
      </c>
      <c r="X138" s="69">
        <f>18</f>
        <v>18</v>
      </c>
    </row>
    <row r="139" spans="1:24">
      <c r="A139" s="60" t="s">
        <v>842</v>
      </c>
      <c r="B139" s="60" t="s">
        <v>460</v>
      </c>
      <c r="C139" s="60" t="s">
        <v>461</v>
      </c>
      <c r="D139" s="60" t="s">
        <v>462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26040</f>
        <v>26040</v>
      </c>
      <c r="L139" s="67" t="s">
        <v>840</v>
      </c>
      <c r="M139" s="66">
        <f>27220</f>
        <v>27220</v>
      </c>
      <c r="N139" s="67" t="s">
        <v>245</v>
      </c>
      <c r="O139" s="66">
        <f>25090</f>
        <v>25090</v>
      </c>
      <c r="P139" s="67" t="s">
        <v>100</v>
      </c>
      <c r="Q139" s="66">
        <f>27220</f>
        <v>27220</v>
      </c>
      <c r="R139" s="67" t="s">
        <v>245</v>
      </c>
      <c r="S139" s="68">
        <f>26035.88</f>
        <v>26035.88</v>
      </c>
      <c r="T139" s="65">
        <f>389</f>
        <v>389</v>
      </c>
      <c r="U139" s="65" t="str">
        <f t="shared" ref="U139:U159" si="7">"－"</f>
        <v>－</v>
      </c>
      <c r="V139" s="65">
        <f>10136670</f>
        <v>10136670</v>
      </c>
      <c r="W139" s="65" t="str">
        <f t="shared" ref="W139:W159" si="8">"－"</f>
        <v>－</v>
      </c>
      <c r="X139" s="69">
        <f>17</f>
        <v>17</v>
      </c>
    </row>
    <row r="140" spans="1:24">
      <c r="A140" s="60" t="s">
        <v>842</v>
      </c>
      <c r="B140" s="60" t="s">
        <v>463</v>
      </c>
      <c r="C140" s="60" t="s">
        <v>464</v>
      </c>
      <c r="D140" s="60" t="s">
        <v>465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8680</f>
        <v>8680</v>
      </c>
      <c r="L140" s="67" t="s">
        <v>840</v>
      </c>
      <c r="M140" s="66">
        <f>9260</f>
        <v>9260</v>
      </c>
      <c r="N140" s="67" t="s">
        <v>91</v>
      </c>
      <c r="O140" s="66">
        <f>8340</f>
        <v>8340</v>
      </c>
      <c r="P140" s="67" t="s">
        <v>100</v>
      </c>
      <c r="Q140" s="66">
        <f>9000</f>
        <v>9000</v>
      </c>
      <c r="R140" s="67" t="s">
        <v>245</v>
      </c>
      <c r="S140" s="68">
        <f>8772.22</f>
        <v>8772.2199999999993</v>
      </c>
      <c r="T140" s="65">
        <f>3448</f>
        <v>3448</v>
      </c>
      <c r="U140" s="65" t="str">
        <f t="shared" si="7"/>
        <v>－</v>
      </c>
      <c r="V140" s="65">
        <f>30227820</f>
        <v>30227820</v>
      </c>
      <c r="W140" s="65" t="str">
        <f t="shared" si="8"/>
        <v>－</v>
      </c>
      <c r="X140" s="69">
        <f>18</f>
        <v>18</v>
      </c>
    </row>
    <row r="141" spans="1:24">
      <c r="A141" s="60" t="s">
        <v>842</v>
      </c>
      <c r="B141" s="60" t="s">
        <v>466</v>
      </c>
      <c r="C141" s="60" t="s">
        <v>467</v>
      </c>
      <c r="D141" s="60" t="s">
        <v>468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17830</f>
        <v>17830</v>
      </c>
      <c r="L141" s="67" t="s">
        <v>840</v>
      </c>
      <c r="M141" s="66">
        <f>19410</f>
        <v>19410</v>
      </c>
      <c r="N141" s="67" t="s">
        <v>95</v>
      </c>
      <c r="O141" s="66">
        <f>17100</f>
        <v>17100</v>
      </c>
      <c r="P141" s="67" t="s">
        <v>100</v>
      </c>
      <c r="Q141" s="66">
        <f>19100</f>
        <v>19100</v>
      </c>
      <c r="R141" s="67" t="s">
        <v>245</v>
      </c>
      <c r="S141" s="68">
        <f>18263.13</f>
        <v>18263.13</v>
      </c>
      <c r="T141" s="65">
        <f>845</f>
        <v>845</v>
      </c>
      <c r="U141" s="65" t="str">
        <f t="shared" si="7"/>
        <v>－</v>
      </c>
      <c r="V141" s="65">
        <f>15629620</f>
        <v>15629620</v>
      </c>
      <c r="W141" s="65" t="str">
        <f t="shared" si="8"/>
        <v>－</v>
      </c>
      <c r="X141" s="69">
        <f>16</f>
        <v>16</v>
      </c>
    </row>
    <row r="142" spans="1:24">
      <c r="A142" s="60" t="s">
        <v>842</v>
      </c>
      <c r="B142" s="60" t="s">
        <v>469</v>
      </c>
      <c r="C142" s="60" t="s">
        <v>470</v>
      </c>
      <c r="D142" s="60" t="s">
        <v>471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21640</f>
        <v>21640</v>
      </c>
      <c r="L142" s="67" t="s">
        <v>840</v>
      </c>
      <c r="M142" s="66">
        <f>23360</f>
        <v>23360</v>
      </c>
      <c r="N142" s="67" t="s">
        <v>95</v>
      </c>
      <c r="O142" s="66">
        <f>21450</f>
        <v>21450</v>
      </c>
      <c r="P142" s="67" t="s">
        <v>100</v>
      </c>
      <c r="Q142" s="66">
        <f>22990</f>
        <v>22990</v>
      </c>
      <c r="R142" s="67" t="s">
        <v>95</v>
      </c>
      <c r="S142" s="68">
        <f>22026.67</f>
        <v>22026.67</v>
      </c>
      <c r="T142" s="65">
        <f>109</f>
        <v>109</v>
      </c>
      <c r="U142" s="65" t="str">
        <f t="shared" si="7"/>
        <v>－</v>
      </c>
      <c r="V142" s="65">
        <f>2426850</f>
        <v>2426850</v>
      </c>
      <c r="W142" s="65" t="str">
        <f t="shared" si="8"/>
        <v>－</v>
      </c>
      <c r="X142" s="69">
        <f>12</f>
        <v>12</v>
      </c>
    </row>
    <row r="143" spans="1:24">
      <c r="A143" s="60" t="s">
        <v>842</v>
      </c>
      <c r="B143" s="60" t="s">
        <v>472</v>
      </c>
      <c r="C143" s="60" t="s">
        <v>473</v>
      </c>
      <c r="D143" s="60" t="s">
        <v>474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23660</f>
        <v>23660</v>
      </c>
      <c r="L143" s="67" t="s">
        <v>840</v>
      </c>
      <c r="M143" s="66">
        <f>27060</f>
        <v>27060</v>
      </c>
      <c r="N143" s="67" t="s">
        <v>245</v>
      </c>
      <c r="O143" s="66">
        <f>23290</f>
        <v>23290</v>
      </c>
      <c r="P143" s="67" t="s">
        <v>100</v>
      </c>
      <c r="Q143" s="66">
        <f>27020</f>
        <v>27020</v>
      </c>
      <c r="R143" s="67" t="s">
        <v>245</v>
      </c>
      <c r="S143" s="68">
        <f>24682.22</f>
        <v>24682.22</v>
      </c>
      <c r="T143" s="65">
        <f>5321</f>
        <v>5321</v>
      </c>
      <c r="U143" s="65" t="str">
        <f t="shared" si="7"/>
        <v>－</v>
      </c>
      <c r="V143" s="65">
        <f>131793130</f>
        <v>131793130</v>
      </c>
      <c r="W143" s="65" t="str">
        <f t="shared" si="8"/>
        <v>－</v>
      </c>
      <c r="X143" s="69">
        <f>18</f>
        <v>18</v>
      </c>
    </row>
    <row r="144" spans="1:24">
      <c r="A144" s="60" t="s">
        <v>842</v>
      </c>
      <c r="B144" s="60" t="s">
        <v>475</v>
      </c>
      <c r="C144" s="60" t="s">
        <v>476</v>
      </c>
      <c r="D144" s="60" t="s">
        <v>477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16990</f>
        <v>16990</v>
      </c>
      <c r="L144" s="67" t="s">
        <v>840</v>
      </c>
      <c r="M144" s="66">
        <f>18400</f>
        <v>18400</v>
      </c>
      <c r="N144" s="67" t="s">
        <v>95</v>
      </c>
      <c r="O144" s="66">
        <f>16000</f>
        <v>16000</v>
      </c>
      <c r="P144" s="67" t="s">
        <v>100</v>
      </c>
      <c r="Q144" s="66">
        <f>17870</f>
        <v>17870</v>
      </c>
      <c r="R144" s="67" t="s">
        <v>245</v>
      </c>
      <c r="S144" s="68">
        <f>16853.89</f>
        <v>16853.89</v>
      </c>
      <c r="T144" s="65">
        <f>1982</f>
        <v>1982</v>
      </c>
      <c r="U144" s="65" t="str">
        <f t="shared" si="7"/>
        <v>－</v>
      </c>
      <c r="V144" s="65">
        <f>33133070</f>
        <v>33133070</v>
      </c>
      <c r="W144" s="65" t="str">
        <f t="shared" si="8"/>
        <v>－</v>
      </c>
      <c r="X144" s="69">
        <f>18</f>
        <v>18</v>
      </c>
    </row>
    <row r="145" spans="1:24">
      <c r="A145" s="60" t="s">
        <v>842</v>
      </c>
      <c r="B145" s="60" t="s">
        <v>478</v>
      </c>
      <c r="C145" s="60" t="s">
        <v>479</v>
      </c>
      <c r="D145" s="60" t="s">
        <v>480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9980</f>
        <v>9980</v>
      </c>
      <c r="L145" s="67" t="s">
        <v>840</v>
      </c>
      <c r="M145" s="66">
        <f>11300</f>
        <v>11300</v>
      </c>
      <c r="N145" s="67" t="s">
        <v>95</v>
      </c>
      <c r="O145" s="66">
        <f>9350</f>
        <v>9350</v>
      </c>
      <c r="P145" s="67" t="s">
        <v>100</v>
      </c>
      <c r="Q145" s="66">
        <f>10930</f>
        <v>10930</v>
      </c>
      <c r="R145" s="67" t="s">
        <v>245</v>
      </c>
      <c r="S145" s="68">
        <f>10172.22</f>
        <v>10172.219999999999</v>
      </c>
      <c r="T145" s="65">
        <f>4200</f>
        <v>4200</v>
      </c>
      <c r="U145" s="65" t="str">
        <f t="shared" si="7"/>
        <v>－</v>
      </c>
      <c r="V145" s="65">
        <f>43216510</f>
        <v>43216510</v>
      </c>
      <c r="W145" s="65" t="str">
        <f t="shared" si="8"/>
        <v>－</v>
      </c>
      <c r="X145" s="69">
        <f>18</f>
        <v>18</v>
      </c>
    </row>
    <row r="146" spans="1:24">
      <c r="A146" s="60" t="s">
        <v>842</v>
      </c>
      <c r="B146" s="60" t="s">
        <v>481</v>
      </c>
      <c r="C146" s="60" t="s">
        <v>482</v>
      </c>
      <c r="D146" s="60" t="s">
        <v>483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28890</f>
        <v>28890</v>
      </c>
      <c r="L146" s="67" t="s">
        <v>100</v>
      </c>
      <c r="M146" s="66">
        <f>31950</f>
        <v>31950</v>
      </c>
      <c r="N146" s="67" t="s">
        <v>95</v>
      </c>
      <c r="O146" s="66">
        <f>28230</f>
        <v>28230</v>
      </c>
      <c r="P146" s="67" t="s">
        <v>100</v>
      </c>
      <c r="Q146" s="66">
        <f>31750</f>
        <v>31750</v>
      </c>
      <c r="R146" s="67" t="s">
        <v>245</v>
      </c>
      <c r="S146" s="68">
        <f>30318.46</f>
        <v>30318.46</v>
      </c>
      <c r="T146" s="65">
        <f>87</f>
        <v>87</v>
      </c>
      <c r="U146" s="65" t="str">
        <f t="shared" si="7"/>
        <v>－</v>
      </c>
      <c r="V146" s="65">
        <f>2553290</f>
        <v>2553290</v>
      </c>
      <c r="W146" s="65" t="str">
        <f t="shared" si="8"/>
        <v>－</v>
      </c>
      <c r="X146" s="69">
        <f>13</f>
        <v>13</v>
      </c>
    </row>
    <row r="147" spans="1:24">
      <c r="A147" s="60" t="s">
        <v>842</v>
      </c>
      <c r="B147" s="60" t="s">
        <v>484</v>
      </c>
      <c r="C147" s="60" t="s">
        <v>485</v>
      </c>
      <c r="D147" s="60" t="s">
        <v>486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18490</f>
        <v>18490</v>
      </c>
      <c r="L147" s="67" t="s">
        <v>840</v>
      </c>
      <c r="M147" s="66">
        <f>20100</f>
        <v>20100</v>
      </c>
      <c r="N147" s="67" t="s">
        <v>95</v>
      </c>
      <c r="O147" s="66">
        <f>18250</f>
        <v>18250</v>
      </c>
      <c r="P147" s="67" t="s">
        <v>100</v>
      </c>
      <c r="Q147" s="66">
        <f>20080</f>
        <v>20080</v>
      </c>
      <c r="R147" s="67" t="s">
        <v>245</v>
      </c>
      <c r="S147" s="68">
        <f>19124.44</f>
        <v>19124.439999999999</v>
      </c>
      <c r="T147" s="65">
        <f>682</f>
        <v>682</v>
      </c>
      <c r="U147" s="65" t="str">
        <f t="shared" si="7"/>
        <v>－</v>
      </c>
      <c r="V147" s="65">
        <f>13033040</f>
        <v>13033040</v>
      </c>
      <c r="W147" s="65" t="str">
        <f t="shared" si="8"/>
        <v>－</v>
      </c>
      <c r="X147" s="69">
        <f>18</f>
        <v>18</v>
      </c>
    </row>
    <row r="148" spans="1:24">
      <c r="A148" s="60" t="s">
        <v>842</v>
      </c>
      <c r="B148" s="60" t="s">
        <v>487</v>
      </c>
      <c r="C148" s="60" t="s">
        <v>488</v>
      </c>
      <c r="D148" s="60" t="s">
        <v>489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22130</f>
        <v>22130</v>
      </c>
      <c r="L148" s="67" t="s">
        <v>840</v>
      </c>
      <c r="M148" s="66">
        <f>23940</f>
        <v>23940</v>
      </c>
      <c r="N148" s="67" t="s">
        <v>821</v>
      </c>
      <c r="O148" s="66">
        <f>21980</f>
        <v>21980</v>
      </c>
      <c r="P148" s="67" t="s">
        <v>100</v>
      </c>
      <c r="Q148" s="66">
        <f>23560</f>
        <v>23560</v>
      </c>
      <c r="R148" s="67" t="s">
        <v>245</v>
      </c>
      <c r="S148" s="68">
        <f>22866.25</f>
        <v>22866.25</v>
      </c>
      <c r="T148" s="65">
        <f>708</f>
        <v>708</v>
      </c>
      <c r="U148" s="65" t="str">
        <f t="shared" si="7"/>
        <v>－</v>
      </c>
      <c r="V148" s="65">
        <f>16391970</f>
        <v>16391970</v>
      </c>
      <c r="W148" s="65" t="str">
        <f t="shared" si="8"/>
        <v>－</v>
      </c>
      <c r="X148" s="69">
        <f>16</f>
        <v>16</v>
      </c>
    </row>
    <row r="149" spans="1:24">
      <c r="A149" s="60" t="s">
        <v>842</v>
      </c>
      <c r="B149" s="60" t="s">
        <v>490</v>
      </c>
      <c r="C149" s="60" t="s">
        <v>491</v>
      </c>
      <c r="D149" s="60" t="s">
        <v>492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6550</f>
        <v>6550</v>
      </c>
      <c r="L149" s="67" t="s">
        <v>840</v>
      </c>
      <c r="M149" s="66">
        <f>6700</f>
        <v>6700</v>
      </c>
      <c r="N149" s="67" t="s">
        <v>95</v>
      </c>
      <c r="O149" s="66">
        <f>6260</f>
        <v>6260</v>
      </c>
      <c r="P149" s="67" t="s">
        <v>100</v>
      </c>
      <c r="Q149" s="66">
        <f>6610</f>
        <v>6610</v>
      </c>
      <c r="R149" s="67" t="s">
        <v>245</v>
      </c>
      <c r="S149" s="68">
        <f>6508.33</f>
        <v>6508.33</v>
      </c>
      <c r="T149" s="65">
        <f>2363</f>
        <v>2363</v>
      </c>
      <c r="U149" s="65" t="str">
        <f t="shared" si="7"/>
        <v>－</v>
      </c>
      <c r="V149" s="65">
        <f>15351880</f>
        <v>15351880</v>
      </c>
      <c r="W149" s="65" t="str">
        <f t="shared" si="8"/>
        <v>－</v>
      </c>
      <c r="X149" s="69">
        <f>18</f>
        <v>18</v>
      </c>
    </row>
    <row r="150" spans="1:24">
      <c r="A150" s="60" t="s">
        <v>842</v>
      </c>
      <c r="B150" s="60" t="s">
        <v>493</v>
      </c>
      <c r="C150" s="60" t="s">
        <v>494</v>
      </c>
      <c r="D150" s="60" t="s">
        <v>495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15050</f>
        <v>15050</v>
      </c>
      <c r="L150" s="67" t="s">
        <v>840</v>
      </c>
      <c r="M150" s="66">
        <f>16360</f>
        <v>16360</v>
      </c>
      <c r="N150" s="67" t="s">
        <v>91</v>
      </c>
      <c r="O150" s="66">
        <f>14000</f>
        <v>14000</v>
      </c>
      <c r="P150" s="67" t="s">
        <v>100</v>
      </c>
      <c r="Q150" s="66">
        <f>16160</f>
        <v>16160</v>
      </c>
      <c r="R150" s="67" t="s">
        <v>245</v>
      </c>
      <c r="S150" s="68">
        <f>15269.44</f>
        <v>15269.44</v>
      </c>
      <c r="T150" s="65">
        <f>913</f>
        <v>913</v>
      </c>
      <c r="U150" s="65" t="str">
        <f t="shared" si="7"/>
        <v>－</v>
      </c>
      <c r="V150" s="65">
        <f>14011120</f>
        <v>14011120</v>
      </c>
      <c r="W150" s="65" t="str">
        <f t="shared" si="8"/>
        <v>－</v>
      </c>
      <c r="X150" s="69">
        <f>18</f>
        <v>18</v>
      </c>
    </row>
    <row r="151" spans="1:24">
      <c r="A151" s="60" t="s">
        <v>842</v>
      </c>
      <c r="B151" s="60" t="s">
        <v>496</v>
      </c>
      <c r="C151" s="60" t="s">
        <v>497</v>
      </c>
      <c r="D151" s="60" t="s">
        <v>498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28460</f>
        <v>28460</v>
      </c>
      <c r="L151" s="67" t="s">
        <v>840</v>
      </c>
      <c r="M151" s="66">
        <f>31250</f>
        <v>31250</v>
      </c>
      <c r="N151" s="67" t="s">
        <v>95</v>
      </c>
      <c r="O151" s="66">
        <f>28090</f>
        <v>28090</v>
      </c>
      <c r="P151" s="67" t="s">
        <v>840</v>
      </c>
      <c r="Q151" s="66">
        <f>31100</f>
        <v>31100</v>
      </c>
      <c r="R151" s="67" t="s">
        <v>95</v>
      </c>
      <c r="S151" s="68">
        <f>29534.62</f>
        <v>29534.62</v>
      </c>
      <c r="T151" s="65">
        <f>397</f>
        <v>397</v>
      </c>
      <c r="U151" s="65" t="str">
        <f t="shared" si="7"/>
        <v>－</v>
      </c>
      <c r="V151" s="65">
        <f>11789910</f>
        <v>11789910</v>
      </c>
      <c r="W151" s="65" t="str">
        <f t="shared" si="8"/>
        <v>－</v>
      </c>
      <c r="X151" s="69">
        <f>13</f>
        <v>13</v>
      </c>
    </row>
    <row r="152" spans="1:24">
      <c r="A152" s="60" t="s">
        <v>842</v>
      </c>
      <c r="B152" s="60" t="s">
        <v>499</v>
      </c>
      <c r="C152" s="60" t="s">
        <v>500</v>
      </c>
      <c r="D152" s="60" t="s">
        <v>501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18280</f>
        <v>18280</v>
      </c>
      <c r="L152" s="67" t="s">
        <v>840</v>
      </c>
      <c r="M152" s="66">
        <f>20180</f>
        <v>20180</v>
      </c>
      <c r="N152" s="67" t="s">
        <v>245</v>
      </c>
      <c r="O152" s="66">
        <f>17850</f>
        <v>17850</v>
      </c>
      <c r="P152" s="67" t="s">
        <v>100</v>
      </c>
      <c r="Q152" s="66">
        <f>20180</f>
        <v>20180</v>
      </c>
      <c r="R152" s="67" t="s">
        <v>245</v>
      </c>
      <c r="S152" s="68">
        <f>18953.64</f>
        <v>18953.64</v>
      </c>
      <c r="T152" s="65">
        <f>128</f>
        <v>128</v>
      </c>
      <c r="U152" s="65" t="str">
        <f t="shared" si="7"/>
        <v>－</v>
      </c>
      <c r="V152" s="65">
        <f>2317150</f>
        <v>2317150</v>
      </c>
      <c r="W152" s="65" t="str">
        <f t="shared" si="8"/>
        <v>－</v>
      </c>
      <c r="X152" s="69">
        <f>11</f>
        <v>11</v>
      </c>
    </row>
    <row r="153" spans="1:24">
      <c r="A153" s="60" t="s">
        <v>842</v>
      </c>
      <c r="B153" s="60" t="s">
        <v>502</v>
      </c>
      <c r="C153" s="60" t="s">
        <v>503</v>
      </c>
      <c r="D153" s="60" t="s">
        <v>504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f>6920</f>
        <v>6920</v>
      </c>
      <c r="L153" s="67" t="s">
        <v>840</v>
      </c>
      <c r="M153" s="66">
        <f>7410</f>
        <v>7410</v>
      </c>
      <c r="N153" s="67" t="s">
        <v>95</v>
      </c>
      <c r="O153" s="66">
        <f>6500</f>
        <v>6500</v>
      </c>
      <c r="P153" s="67" t="s">
        <v>822</v>
      </c>
      <c r="Q153" s="66">
        <f>7210</f>
        <v>7210</v>
      </c>
      <c r="R153" s="67" t="s">
        <v>245</v>
      </c>
      <c r="S153" s="68">
        <f>6781.11</f>
        <v>6781.11</v>
      </c>
      <c r="T153" s="65">
        <f>5907</f>
        <v>5907</v>
      </c>
      <c r="U153" s="65" t="str">
        <f t="shared" si="7"/>
        <v>－</v>
      </c>
      <c r="V153" s="65">
        <f>40787090</f>
        <v>40787090</v>
      </c>
      <c r="W153" s="65" t="str">
        <f t="shared" si="8"/>
        <v>－</v>
      </c>
      <c r="X153" s="69">
        <f>18</f>
        <v>18</v>
      </c>
    </row>
    <row r="154" spans="1:24">
      <c r="A154" s="60" t="s">
        <v>842</v>
      </c>
      <c r="B154" s="60" t="s">
        <v>505</v>
      </c>
      <c r="C154" s="60" t="s">
        <v>506</v>
      </c>
      <c r="D154" s="60" t="s">
        <v>507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f>10190</f>
        <v>10190</v>
      </c>
      <c r="L154" s="67" t="s">
        <v>840</v>
      </c>
      <c r="M154" s="66">
        <f>11080</f>
        <v>11080</v>
      </c>
      <c r="N154" s="67" t="s">
        <v>95</v>
      </c>
      <c r="O154" s="66">
        <f>9800</f>
        <v>9800</v>
      </c>
      <c r="P154" s="67" t="s">
        <v>90</v>
      </c>
      <c r="Q154" s="66">
        <f>10840</f>
        <v>10840</v>
      </c>
      <c r="R154" s="67" t="s">
        <v>245</v>
      </c>
      <c r="S154" s="68">
        <f>10193.75</f>
        <v>10193.75</v>
      </c>
      <c r="T154" s="65">
        <f>497</f>
        <v>497</v>
      </c>
      <c r="U154" s="65" t="str">
        <f t="shared" si="7"/>
        <v>－</v>
      </c>
      <c r="V154" s="65">
        <f>5266090</f>
        <v>5266090</v>
      </c>
      <c r="W154" s="65" t="str">
        <f t="shared" si="8"/>
        <v>－</v>
      </c>
      <c r="X154" s="69">
        <f>16</f>
        <v>16</v>
      </c>
    </row>
    <row r="155" spans="1:24">
      <c r="A155" s="60" t="s">
        <v>842</v>
      </c>
      <c r="B155" s="60" t="s">
        <v>508</v>
      </c>
      <c r="C155" s="60" t="s">
        <v>509</v>
      </c>
      <c r="D155" s="60" t="s">
        <v>510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</v>
      </c>
      <c r="K155" s="66">
        <f>24190</f>
        <v>24190</v>
      </c>
      <c r="L155" s="67" t="s">
        <v>840</v>
      </c>
      <c r="M155" s="66">
        <f>25910</f>
        <v>25910</v>
      </c>
      <c r="N155" s="67" t="s">
        <v>91</v>
      </c>
      <c r="O155" s="66">
        <f>22880</f>
        <v>22880</v>
      </c>
      <c r="P155" s="67" t="s">
        <v>86</v>
      </c>
      <c r="Q155" s="66">
        <f>25380</f>
        <v>25380</v>
      </c>
      <c r="R155" s="67" t="s">
        <v>245</v>
      </c>
      <c r="S155" s="68">
        <f>24130</f>
        <v>24130</v>
      </c>
      <c r="T155" s="65">
        <f>524</f>
        <v>524</v>
      </c>
      <c r="U155" s="65" t="str">
        <f t="shared" si="7"/>
        <v>－</v>
      </c>
      <c r="V155" s="65">
        <f>12598540</f>
        <v>12598540</v>
      </c>
      <c r="W155" s="65" t="str">
        <f t="shared" si="8"/>
        <v>－</v>
      </c>
      <c r="X155" s="69">
        <f>16</f>
        <v>16</v>
      </c>
    </row>
    <row r="156" spans="1:24">
      <c r="A156" s="60" t="s">
        <v>842</v>
      </c>
      <c r="B156" s="60" t="s">
        <v>511</v>
      </c>
      <c r="C156" s="60" t="s">
        <v>512</v>
      </c>
      <c r="D156" s="60" t="s">
        <v>513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810</f>
        <v>810</v>
      </c>
      <c r="L156" s="67" t="s">
        <v>840</v>
      </c>
      <c r="M156" s="66">
        <f>860</f>
        <v>860</v>
      </c>
      <c r="N156" s="67" t="s">
        <v>245</v>
      </c>
      <c r="O156" s="66">
        <f>758</f>
        <v>758</v>
      </c>
      <c r="P156" s="67" t="s">
        <v>100</v>
      </c>
      <c r="Q156" s="66">
        <f>839</f>
        <v>839</v>
      </c>
      <c r="R156" s="67" t="s">
        <v>245</v>
      </c>
      <c r="S156" s="68">
        <f>807.11</f>
        <v>807.11</v>
      </c>
      <c r="T156" s="65">
        <f>88240</f>
        <v>88240</v>
      </c>
      <c r="U156" s="65" t="str">
        <f t="shared" si="7"/>
        <v>－</v>
      </c>
      <c r="V156" s="65">
        <f>71853820</f>
        <v>71853820</v>
      </c>
      <c r="W156" s="65" t="str">
        <f t="shared" si="8"/>
        <v>－</v>
      </c>
      <c r="X156" s="69">
        <f>18</f>
        <v>18</v>
      </c>
    </row>
    <row r="157" spans="1:24">
      <c r="A157" s="60" t="s">
        <v>842</v>
      </c>
      <c r="B157" s="60" t="s">
        <v>514</v>
      </c>
      <c r="C157" s="60" t="s">
        <v>515</v>
      </c>
      <c r="D157" s="60" t="s">
        <v>516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10</v>
      </c>
      <c r="K157" s="66">
        <f>1827</f>
        <v>1827</v>
      </c>
      <c r="L157" s="67" t="s">
        <v>840</v>
      </c>
      <c r="M157" s="66">
        <f>1988</f>
        <v>1988</v>
      </c>
      <c r="N157" s="67" t="s">
        <v>245</v>
      </c>
      <c r="O157" s="66">
        <f>1825</f>
        <v>1825</v>
      </c>
      <c r="P157" s="67" t="s">
        <v>840</v>
      </c>
      <c r="Q157" s="66">
        <f>1988</f>
        <v>1988</v>
      </c>
      <c r="R157" s="67" t="s">
        <v>245</v>
      </c>
      <c r="S157" s="68">
        <f>1903.42</f>
        <v>1903.42</v>
      </c>
      <c r="T157" s="65">
        <f>2330</f>
        <v>2330</v>
      </c>
      <c r="U157" s="65" t="str">
        <f t="shared" si="7"/>
        <v>－</v>
      </c>
      <c r="V157" s="65">
        <f>4277530</f>
        <v>4277530</v>
      </c>
      <c r="W157" s="65" t="str">
        <f t="shared" si="8"/>
        <v>－</v>
      </c>
      <c r="X157" s="69">
        <f>12</f>
        <v>12</v>
      </c>
    </row>
    <row r="158" spans="1:24">
      <c r="A158" s="60" t="s">
        <v>842</v>
      </c>
      <c r="B158" s="60" t="s">
        <v>517</v>
      </c>
      <c r="C158" s="60" t="s">
        <v>518</v>
      </c>
      <c r="D158" s="60" t="s">
        <v>519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10</v>
      </c>
      <c r="K158" s="66">
        <f>1855</f>
        <v>1855</v>
      </c>
      <c r="L158" s="67" t="s">
        <v>840</v>
      </c>
      <c r="M158" s="66">
        <f>2017</f>
        <v>2017</v>
      </c>
      <c r="N158" s="67" t="s">
        <v>245</v>
      </c>
      <c r="O158" s="66">
        <f>1834</f>
        <v>1834</v>
      </c>
      <c r="P158" s="67" t="s">
        <v>100</v>
      </c>
      <c r="Q158" s="66">
        <f>2015</f>
        <v>2015</v>
      </c>
      <c r="R158" s="67" t="s">
        <v>245</v>
      </c>
      <c r="S158" s="68">
        <f>1913</f>
        <v>1913</v>
      </c>
      <c r="T158" s="65">
        <f>6770</f>
        <v>6770</v>
      </c>
      <c r="U158" s="65" t="str">
        <f t="shared" si="7"/>
        <v>－</v>
      </c>
      <c r="V158" s="65">
        <f>13047490</f>
        <v>13047490</v>
      </c>
      <c r="W158" s="65" t="str">
        <f t="shared" si="8"/>
        <v>－</v>
      </c>
      <c r="X158" s="69">
        <f>15</f>
        <v>15</v>
      </c>
    </row>
    <row r="159" spans="1:24">
      <c r="A159" s="60" t="s">
        <v>842</v>
      </c>
      <c r="B159" s="60" t="s">
        <v>520</v>
      </c>
      <c r="C159" s="60" t="s">
        <v>521</v>
      </c>
      <c r="D159" s="60" t="s">
        <v>522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10</v>
      </c>
      <c r="K159" s="66">
        <f>1120</f>
        <v>1120</v>
      </c>
      <c r="L159" s="67" t="s">
        <v>834</v>
      </c>
      <c r="M159" s="66">
        <f>1195</f>
        <v>1195</v>
      </c>
      <c r="N159" s="67" t="s">
        <v>95</v>
      </c>
      <c r="O159" s="66">
        <f>1108</f>
        <v>1108</v>
      </c>
      <c r="P159" s="67" t="s">
        <v>90</v>
      </c>
      <c r="Q159" s="66">
        <f>1188</f>
        <v>1188</v>
      </c>
      <c r="R159" s="67" t="s">
        <v>245</v>
      </c>
      <c r="S159" s="68">
        <f>1144.63</f>
        <v>1144.6300000000001</v>
      </c>
      <c r="T159" s="65">
        <f>8650</f>
        <v>8650</v>
      </c>
      <c r="U159" s="65" t="str">
        <f t="shared" si="7"/>
        <v>－</v>
      </c>
      <c r="V159" s="65">
        <f>9869810</f>
        <v>9869810</v>
      </c>
      <c r="W159" s="65" t="str">
        <f t="shared" si="8"/>
        <v>－</v>
      </c>
      <c r="X159" s="69">
        <f>8</f>
        <v>8</v>
      </c>
    </row>
    <row r="160" spans="1:24">
      <c r="A160" s="60" t="s">
        <v>842</v>
      </c>
      <c r="B160" s="60" t="s">
        <v>523</v>
      </c>
      <c r="C160" s="60" t="s">
        <v>524</v>
      </c>
      <c r="D160" s="60" t="s">
        <v>525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2208</f>
        <v>2208</v>
      </c>
      <c r="L160" s="67" t="s">
        <v>840</v>
      </c>
      <c r="M160" s="66">
        <f>2359</f>
        <v>2359</v>
      </c>
      <c r="N160" s="67" t="s">
        <v>95</v>
      </c>
      <c r="O160" s="66">
        <f>2144</f>
        <v>2144</v>
      </c>
      <c r="P160" s="67" t="s">
        <v>90</v>
      </c>
      <c r="Q160" s="66">
        <f>2326</f>
        <v>2326</v>
      </c>
      <c r="R160" s="67" t="s">
        <v>245</v>
      </c>
      <c r="S160" s="68">
        <f>2249.28</f>
        <v>2249.2800000000002</v>
      </c>
      <c r="T160" s="65">
        <f>1255239</f>
        <v>1255239</v>
      </c>
      <c r="U160" s="65">
        <f>93</f>
        <v>93</v>
      </c>
      <c r="V160" s="65">
        <f>2830429072</f>
        <v>2830429072</v>
      </c>
      <c r="W160" s="65">
        <f>215976</f>
        <v>215976</v>
      </c>
      <c r="X160" s="69">
        <f>18</f>
        <v>18</v>
      </c>
    </row>
    <row r="161" spans="1:24">
      <c r="A161" s="60" t="s">
        <v>842</v>
      </c>
      <c r="B161" s="60" t="s">
        <v>526</v>
      </c>
      <c r="C161" s="60" t="s">
        <v>527</v>
      </c>
      <c r="D161" s="60" t="s">
        <v>528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2711</f>
        <v>2711</v>
      </c>
      <c r="L161" s="67" t="s">
        <v>840</v>
      </c>
      <c r="M161" s="66">
        <f>2736</f>
        <v>2736</v>
      </c>
      <c r="N161" s="67" t="s">
        <v>821</v>
      </c>
      <c r="O161" s="66">
        <f>2672</f>
        <v>2672</v>
      </c>
      <c r="P161" s="67" t="s">
        <v>100</v>
      </c>
      <c r="Q161" s="66">
        <f>2716</f>
        <v>2716</v>
      </c>
      <c r="R161" s="67" t="s">
        <v>245</v>
      </c>
      <c r="S161" s="68">
        <f>2713.61</f>
        <v>2713.61</v>
      </c>
      <c r="T161" s="65">
        <f>156722</f>
        <v>156722</v>
      </c>
      <c r="U161" s="65">
        <f>111000</f>
        <v>111000</v>
      </c>
      <c r="V161" s="65">
        <f>427107821</f>
        <v>427107821</v>
      </c>
      <c r="W161" s="65">
        <f>302907900</f>
        <v>302907900</v>
      </c>
      <c r="X161" s="69">
        <f>18</f>
        <v>18</v>
      </c>
    </row>
    <row r="162" spans="1:24">
      <c r="A162" s="60" t="s">
        <v>842</v>
      </c>
      <c r="B162" s="60" t="s">
        <v>529</v>
      </c>
      <c r="C162" s="60" t="s">
        <v>530</v>
      </c>
      <c r="D162" s="60" t="s">
        <v>531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1989</f>
        <v>1989</v>
      </c>
      <c r="L162" s="67" t="s">
        <v>840</v>
      </c>
      <c r="M162" s="66">
        <f>2113</f>
        <v>2113</v>
      </c>
      <c r="N162" s="67" t="s">
        <v>95</v>
      </c>
      <c r="O162" s="66">
        <f>1923</f>
        <v>1923</v>
      </c>
      <c r="P162" s="67" t="s">
        <v>90</v>
      </c>
      <c r="Q162" s="66">
        <f>2092</f>
        <v>2092</v>
      </c>
      <c r="R162" s="67" t="s">
        <v>245</v>
      </c>
      <c r="S162" s="68">
        <f>2017.44</f>
        <v>2017.44</v>
      </c>
      <c r="T162" s="65">
        <f>117791</f>
        <v>117791</v>
      </c>
      <c r="U162" s="65" t="str">
        <f>"－"</f>
        <v>－</v>
      </c>
      <c r="V162" s="65">
        <f>240456382</f>
        <v>240456382</v>
      </c>
      <c r="W162" s="65" t="str">
        <f>"－"</f>
        <v>－</v>
      </c>
      <c r="X162" s="69">
        <f>18</f>
        <v>18</v>
      </c>
    </row>
    <row r="163" spans="1:24">
      <c r="A163" s="60" t="s">
        <v>842</v>
      </c>
      <c r="B163" s="60" t="s">
        <v>532</v>
      </c>
      <c r="C163" s="60" t="s">
        <v>533</v>
      </c>
      <c r="D163" s="60" t="s">
        <v>534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1620</f>
        <v>1620</v>
      </c>
      <c r="L163" s="67" t="s">
        <v>840</v>
      </c>
      <c r="M163" s="66">
        <f>1624</f>
        <v>1624</v>
      </c>
      <c r="N163" s="67" t="s">
        <v>150</v>
      </c>
      <c r="O163" s="66">
        <f>1513</f>
        <v>1513</v>
      </c>
      <c r="P163" s="67" t="s">
        <v>100</v>
      </c>
      <c r="Q163" s="66">
        <f>1601</f>
        <v>1601</v>
      </c>
      <c r="R163" s="67" t="s">
        <v>245</v>
      </c>
      <c r="S163" s="68">
        <f>1571.83</f>
        <v>1571.83</v>
      </c>
      <c r="T163" s="65">
        <f>54645</f>
        <v>54645</v>
      </c>
      <c r="U163" s="65">
        <f>4</f>
        <v>4</v>
      </c>
      <c r="V163" s="65">
        <f>86056334</f>
        <v>86056334</v>
      </c>
      <c r="W163" s="65">
        <f>6355</f>
        <v>6355</v>
      </c>
      <c r="X163" s="69">
        <f>18</f>
        <v>18</v>
      </c>
    </row>
    <row r="164" spans="1:24">
      <c r="A164" s="60" t="s">
        <v>842</v>
      </c>
      <c r="B164" s="60" t="s">
        <v>535</v>
      </c>
      <c r="C164" s="60" t="s">
        <v>536</v>
      </c>
      <c r="D164" s="60" t="s">
        <v>537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1727</f>
        <v>1727</v>
      </c>
      <c r="L164" s="67" t="s">
        <v>840</v>
      </c>
      <c r="M164" s="66">
        <f>1748</f>
        <v>1748</v>
      </c>
      <c r="N164" s="67" t="s">
        <v>840</v>
      </c>
      <c r="O164" s="66">
        <f>1507</f>
        <v>1507</v>
      </c>
      <c r="P164" s="67" t="s">
        <v>90</v>
      </c>
      <c r="Q164" s="66">
        <f>1727</f>
        <v>1727</v>
      </c>
      <c r="R164" s="67" t="s">
        <v>245</v>
      </c>
      <c r="S164" s="68">
        <f>1640.83</f>
        <v>1640.83</v>
      </c>
      <c r="T164" s="65">
        <f>223016</f>
        <v>223016</v>
      </c>
      <c r="U164" s="65" t="str">
        <f>"－"</f>
        <v>－</v>
      </c>
      <c r="V164" s="65">
        <f>364165961</f>
        <v>364165961</v>
      </c>
      <c r="W164" s="65" t="str">
        <f>"－"</f>
        <v>－</v>
      </c>
      <c r="X164" s="69">
        <f>18</f>
        <v>18</v>
      </c>
    </row>
    <row r="165" spans="1:24">
      <c r="A165" s="60" t="s">
        <v>842</v>
      </c>
      <c r="B165" s="60" t="s">
        <v>538</v>
      </c>
      <c r="C165" s="60" t="s">
        <v>539</v>
      </c>
      <c r="D165" s="60" t="s">
        <v>540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</v>
      </c>
      <c r="K165" s="66">
        <f>8100</f>
        <v>8100</v>
      </c>
      <c r="L165" s="67" t="s">
        <v>840</v>
      </c>
      <c r="M165" s="66">
        <f>8970</f>
        <v>8970</v>
      </c>
      <c r="N165" s="67" t="s">
        <v>245</v>
      </c>
      <c r="O165" s="66">
        <f>8030</f>
        <v>8030</v>
      </c>
      <c r="P165" s="67" t="s">
        <v>840</v>
      </c>
      <c r="Q165" s="66">
        <f>8950</f>
        <v>8950</v>
      </c>
      <c r="R165" s="67" t="s">
        <v>245</v>
      </c>
      <c r="S165" s="68">
        <f>8528.89</f>
        <v>8528.89</v>
      </c>
      <c r="T165" s="65">
        <f>17971</f>
        <v>17971</v>
      </c>
      <c r="U165" s="65">
        <f>79</f>
        <v>79</v>
      </c>
      <c r="V165" s="65">
        <f>154665640</f>
        <v>154665640</v>
      </c>
      <c r="W165" s="65">
        <f>692000</f>
        <v>692000</v>
      </c>
      <c r="X165" s="69">
        <f>18</f>
        <v>18</v>
      </c>
    </row>
    <row r="166" spans="1:24">
      <c r="A166" s="60" t="s">
        <v>842</v>
      </c>
      <c r="B166" s="60" t="s">
        <v>541</v>
      </c>
      <c r="C166" s="60" t="s">
        <v>542</v>
      </c>
      <c r="D166" s="60" t="s">
        <v>543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100</v>
      </c>
      <c r="K166" s="66">
        <f>110</f>
        <v>110</v>
      </c>
      <c r="L166" s="67" t="s">
        <v>840</v>
      </c>
      <c r="M166" s="66">
        <f>123</f>
        <v>123</v>
      </c>
      <c r="N166" s="67" t="s">
        <v>95</v>
      </c>
      <c r="O166" s="66">
        <f>106</f>
        <v>106</v>
      </c>
      <c r="P166" s="67" t="s">
        <v>100</v>
      </c>
      <c r="Q166" s="66">
        <f>118</f>
        <v>118</v>
      </c>
      <c r="R166" s="67" t="s">
        <v>245</v>
      </c>
      <c r="S166" s="68">
        <f>110.47</f>
        <v>110.47</v>
      </c>
      <c r="T166" s="65">
        <f>34600</f>
        <v>34600</v>
      </c>
      <c r="U166" s="65" t="str">
        <f>"－"</f>
        <v>－</v>
      </c>
      <c r="V166" s="65">
        <f>3920600</f>
        <v>3920600</v>
      </c>
      <c r="W166" s="65" t="str">
        <f>"－"</f>
        <v>－</v>
      </c>
      <c r="X166" s="69">
        <f>17</f>
        <v>17</v>
      </c>
    </row>
    <row r="167" spans="1:24">
      <c r="A167" s="60" t="s">
        <v>842</v>
      </c>
      <c r="B167" s="60" t="s">
        <v>544</v>
      </c>
      <c r="C167" s="60" t="s">
        <v>545</v>
      </c>
      <c r="D167" s="60" t="s">
        <v>546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f>566</f>
        <v>566</v>
      </c>
      <c r="L167" s="67" t="s">
        <v>840</v>
      </c>
      <c r="M167" s="66">
        <f>761</f>
        <v>761</v>
      </c>
      <c r="N167" s="67" t="s">
        <v>821</v>
      </c>
      <c r="O167" s="66">
        <f>541</f>
        <v>541</v>
      </c>
      <c r="P167" s="67" t="s">
        <v>840</v>
      </c>
      <c r="Q167" s="66">
        <f>730</f>
        <v>730</v>
      </c>
      <c r="R167" s="67" t="s">
        <v>245</v>
      </c>
      <c r="S167" s="68">
        <f>673.22</f>
        <v>673.22</v>
      </c>
      <c r="T167" s="65">
        <f>191286049</f>
        <v>191286049</v>
      </c>
      <c r="U167" s="65">
        <f>92089</f>
        <v>92089</v>
      </c>
      <c r="V167" s="65">
        <f>127836940207</f>
        <v>127836940207</v>
      </c>
      <c r="W167" s="65">
        <f>63203779</f>
        <v>63203779</v>
      </c>
      <c r="X167" s="69">
        <f>18</f>
        <v>18</v>
      </c>
    </row>
    <row r="168" spans="1:24">
      <c r="A168" s="60" t="s">
        <v>842</v>
      </c>
      <c r="B168" s="60" t="s">
        <v>737</v>
      </c>
      <c r="C168" s="60" t="s">
        <v>738</v>
      </c>
      <c r="D168" s="60" t="s">
        <v>739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</v>
      </c>
      <c r="K168" s="66">
        <f>17310</f>
        <v>17310</v>
      </c>
      <c r="L168" s="67" t="s">
        <v>840</v>
      </c>
      <c r="M168" s="66">
        <f>18400</f>
        <v>18400</v>
      </c>
      <c r="N168" s="67" t="s">
        <v>822</v>
      </c>
      <c r="O168" s="66">
        <f>17010</f>
        <v>17010</v>
      </c>
      <c r="P168" s="67" t="s">
        <v>100</v>
      </c>
      <c r="Q168" s="66">
        <f>17800</f>
        <v>17800</v>
      </c>
      <c r="R168" s="67" t="s">
        <v>245</v>
      </c>
      <c r="S168" s="68">
        <f>17741.11</f>
        <v>17741.11</v>
      </c>
      <c r="T168" s="65">
        <f>2710</f>
        <v>2710</v>
      </c>
      <c r="U168" s="65" t="str">
        <f>"－"</f>
        <v>－</v>
      </c>
      <c r="V168" s="65">
        <f>48046460</f>
        <v>48046460</v>
      </c>
      <c r="W168" s="65" t="str">
        <f>"－"</f>
        <v>－</v>
      </c>
      <c r="X168" s="69">
        <f>18</f>
        <v>18</v>
      </c>
    </row>
    <row r="169" spans="1:24">
      <c r="A169" s="60" t="s">
        <v>842</v>
      </c>
      <c r="B169" s="60" t="s">
        <v>740</v>
      </c>
      <c r="C169" s="60" t="s">
        <v>741</v>
      </c>
      <c r="D169" s="60" t="s">
        <v>742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10</v>
      </c>
      <c r="K169" s="66">
        <f>1500</f>
        <v>1500</v>
      </c>
      <c r="L169" s="67" t="s">
        <v>840</v>
      </c>
      <c r="M169" s="66">
        <f>1835</f>
        <v>1835</v>
      </c>
      <c r="N169" s="67" t="s">
        <v>822</v>
      </c>
      <c r="O169" s="66">
        <f>1390</f>
        <v>1390</v>
      </c>
      <c r="P169" s="67" t="s">
        <v>100</v>
      </c>
      <c r="Q169" s="66">
        <f>1740</f>
        <v>1740</v>
      </c>
      <c r="R169" s="67" t="s">
        <v>245</v>
      </c>
      <c r="S169" s="68">
        <f>1626.56</f>
        <v>1626.56</v>
      </c>
      <c r="T169" s="65">
        <f>3430</f>
        <v>3430</v>
      </c>
      <c r="U169" s="65" t="str">
        <f>"－"</f>
        <v>－</v>
      </c>
      <c r="V169" s="65">
        <f>5659610</f>
        <v>5659610</v>
      </c>
      <c r="W169" s="65" t="str">
        <f>"－"</f>
        <v>－</v>
      </c>
      <c r="X169" s="69">
        <f>16</f>
        <v>16</v>
      </c>
    </row>
    <row r="170" spans="1:24">
      <c r="A170" s="60" t="s">
        <v>842</v>
      </c>
      <c r="B170" s="60" t="s">
        <v>743</v>
      </c>
      <c r="C170" s="60" t="s">
        <v>744</v>
      </c>
      <c r="D170" s="60" t="s">
        <v>745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</v>
      </c>
      <c r="K170" s="66">
        <f>7840</f>
        <v>7840</v>
      </c>
      <c r="L170" s="67" t="s">
        <v>840</v>
      </c>
      <c r="M170" s="66">
        <f>11200</f>
        <v>11200</v>
      </c>
      <c r="N170" s="67" t="s">
        <v>49</v>
      </c>
      <c r="O170" s="66">
        <f>7560</f>
        <v>7560</v>
      </c>
      <c r="P170" s="67" t="s">
        <v>100</v>
      </c>
      <c r="Q170" s="66">
        <f>9900</f>
        <v>9900</v>
      </c>
      <c r="R170" s="67" t="s">
        <v>245</v>
      </c>
      <c r="S170" s="68">
        <f>8878.33</f>
        <v>8878.33</v>
      </c>
      <c r="T170" s="65">
        <f>2677</f>
        <v>2677</v>
      </c>
      <c r="U170" s="65" t="str">
        <f>"－"</f>
        <v>－</v>
      </c>
      <c r="V170" s="65">
        <f>25487750</f>
        <v>25487750</v>
      </c>
      <c r="W170" s="65" t="str">
        <f>"－"</f>
        <v>－</v>
      </c>
      <c r="X170" s="69">
        <f>18</f>
        <v>18</v>
      </c>
    </row>
    <row r="171" spans="1:24">
      <c r="A171" s="60" t="s">
        <v>842</v>
      </c>
      <c r="B171" s="60" t="s">
        <v>746</v>
      </c>
      <c r="C171" s="60" t="s">
        <v>747</v>
      </c>
      <c r="D171" s="60" t="s">
        <v>748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</v>
      </c>
      <c r="K171" s="66">
        <f>23830</f>
        <v>23830</v>
      </c>
      <c r="L171" s="67" t="s">
        <v>840</v>
      </c>
      <c r="M171" s="66">
        <f>25190</f>
        <v>25190</v>
      </c>
      <c r="N171" s="67" t="s">
        <v>819</v>
      </c>
      <c r="O171" s="66">
        <f>22000</f>
        <v>22000</v>
      </c>
      <c r="P171" s="67" t="s">
        <v>100</v>
      </c>
      <c r="Q171" s="66">
        <f>22270</f>
        <v>22270</v>
      </c>
      <c r="R171" s="67" t="s">
        <v>245</v>
      </c>
      <c r="S171" s="68">
        <f>23504</f>
        <v>23504</v>
      </c>
      <c r="T171" s="65">
        <f>213</f>
        <v>213</v>
      </c>
      <c r="U171" s="65" t="str">
        <f>"－"</f>
        <v>－</v>
      </c>
      <c r="V171" s="65">
        <f>4990880</f>
        <v>4990880</v>
      </c>
      <c r="W171" s="65" t="str">
        <f>"－"</f>
        <v>－</v>
      </c>
      <c r="X171" s="69">
        <f>15</f>
        <v>15</v>
      </c>
    </row>
    <row r="172" spans="1:24">
      <c r="A172" s="60" t="s">
        <v>842</v>
      </c>
      <c r="B172" s="60" t="s">
        <v>749</v>
      </c>
      <c r="C172" s="60" t="s">
        <v>750</v>
      </c>
      <c r="D172" s="60" t="s">
        <v>751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</v>
      </c>
      <c r="K172" s="66">
        <f>12860</f>
        <v>12860</v>
      </c>
      <c r="L172" s="67" t="s">
        <v>822</v>
      </c>
      <c r="M172" s="66">
        <f>14750</f>
        <v>14750</v>
      </c>
      <c r="N172" s="67" t="s">
        <v>150</v>
      </c>
      <c r="O172" s="66">
        <f>12860</f>
        <v>12860</v>
      </c>
      <c r="P172" s="67" t="s">
        <v>822</v>
      </c>
      <c r="Q172" s="66">
        <f>13900</f>
        <v>13900</v>
      </c>
      <c r="R172" s="67" t="s">
        <v>816</v>
      </c>
      <c r="S172" s="68">
        <f>13840</f>
        <v>13840</v>
      </c>
      <c r="T172" s="65">
        <f>16</f>
        <v>16</v>
      </c>
      <c r="U172" s="65" t="str">
        <f>"－"</f>
        <v>－</v>
      </c>
      <c r="V172" s="65">
        <f>217520</f>
        <v>217520</v>
      </c>
      <c r="W172" s="65" t="str">
        <f>"－"</f>
        <v>－</v>
      </c>
      <c r="X172" s="69">
        <f>5</f>
        <v>5</v>
      </c>
    </row>
    <row r="173" spans="1:24">
      <c r="A173" s="60" t="s">
        <v>842</v>
      </c>
      <c r="B173" s="60" t="s">
        <v>547</v>
      </c>
      <c r="C173" s="60" t="s">
        <v>548</v>
      </c>
      <c r="D173" s="60" t="s">
        <v>549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</v>
      </c>
      <c r="K173" s="66">
        <f>49900</f>
        <v>49900</v>
      </c>
      <c r="L173" s="67" t="s">
        <v>840</v>
      </c>
      <c r="M173" s="66">
        <f>50700</f>
        <v>50700</v>
      </c>
      <c r="N173" s="67" t="s">
        <v>245</v>
      </c>
      <c r="O173" s="66">
        <f>49600</f>
        <v>49600</v>
      </c>
      <c r="P173" s="67" t="s">
        <v>100</v>
      </c>
      <c r="Q173" s="66">
        <f>50600</f>
        <v>50600</v>
      </c>
      <c r="R173" s="67" t="s">
        <v>245</v>
      </c>
      <c r="S173" s="68">
        <f>50169.44</f>
        <v>50169.440000000002</v>
      </c>
      <c r="T173" s="65">
        <f>5000</f>
        <v>5000</v>
      </c>
      <c r="U173" s="65">
        <f>1000</f>
        <v>1000</v>
      </c>
      <c r="V173" s="65">
        <f>250662500</f>
        <v>250662500</v>
      </c>
      <c r="W173" s="65">
        <f>49985000</f>
        <v>49985000</v>
      </c>
      <c r="X173" s="69">
        <f>18</f>
        <v>18</v>
      </c>
    </row>
    <row r="174" spans="1:24">
      <c r="A174" s="60" t="s">
        <v>842</v>
      </c>
      <c r="B174" s="60" t="s">
        <v>550</v>
      </c>
      <c r="C174" s="60" t="s">
        <v>551</v>
      </c>
      <c r="D174" s="60" t="s">
        <v>552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100</v>
      </c>
      <c r="K174" s="66">
        <f>124</f>
        <v>124</v>
      </c>
      <c r="L174" s="67" t="s">
        <v>840</v>
      </c>
      <c r="M174" s="66">
        <f>124</f>
        <v>124</v>
      </c>
      <c r="N174" s="67" t="s">
        <v>840</v>
      </c>
      <c r="O174" s="66">
        <f>113</f>
        <v>113</v>
      </c>
      <c r="P174" s="67" t="s">
        <v>822</v>
      </c>
      <c r="Q174" s="66">
        <f>120</f>
        <v>120</v>
      </c>
      <c r="R174" s="67" t="s">
        <v>245</v>
      </c>
      <c r="S174" s="68">
        <f>118.39</f>
        <v>118.39</v>
      </c>
      <c r="T174" s="65">
        <f>6118400</f>
        <v>6118400</v>
      </c>
      <c r="U174" s="65">
        <f>14300</f>
        <v>14300</v>
      </c>
      <c r="V174" s="65">
        <f>727473003</f>
        <v>727473003</v>
      </c>
      <c r="W174" s="65">
        <f>1696603</f>
        <v>1696603</v>
      </c>
      <c r="X174" s="69">
        <f>18</f>
        <v>18</v>
      </c>
    </row>
    <row r="175" spans="1:24">
      <c r="A175" s="60" t="s">
        <v>842</v>
      </c>
      <c r="B175" s="60" t="s">
        <v>553</v>
      </c>
      <c r="C175" s="60" t="s">
        <v>554</v>
      </c>
      <c r="D175" s="60" t="s">
        <v>555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23290</f>
        <v>23290</v>
      </c>
      <c r="L175" s="67" t="s">
        <v>840</v>
      </c>
      <c r="M175" s="66">
        <f>24890</f>
        <v>24890</v>
      </c>
      <c r="N175" s="67" t="s">
        <v>95</v>
      </c>
      <c r="O175" s="66">
        <f>22170</f>
        <v>22170</v>
      </c>
      <c r="P175" s="67" t="s">
        <v>90</v>
      </c>
      <c r="Q175" s="66">
        <f>24390</f>
        <v>24390</v>
      </c>
      <c r="R175" s="67" t="s">
        <v>245</v>
      </c>
      <c r="S175" s="68">
        <f>23382.22</f>
        <v>23382.22</v>
      </c>
      <c r="T175" s="65">
        <f>11330</f>
        <v>11330</v>
      </c>
      <c r="U175" s="65" t="str">
        <f>"－"</f>
        <v>－</v>
      </c>
      <c r="V175" s="65">
        <f>266911100</f>
        <v>266911100</v>
      </c>
      <c r="W175" s="65" t="str">
        <f>"－"</f>
        <v>－</v>
      </c>
      <c r="X175" s="69">
        <f>18</f>
        <v>18</v>
      </c>
    </row>
    <row r="176" spans="1:24">
      <c r="A176" s="60" t="s">
        <v>842</v>
      </c>
      <c r="B176" s="60" t="s">
        <v>556</v>
      </c>
      <c r="C176" s="60" t="s">
        <v>557</v>
      </c>
      <c r="D176" s="60" t="s">
        <v>558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2270</f>
        <v>2270</v>
      </c>
      <c r="L176" s="67" t="s">
        <v>840</v>
      </c>
      <c r="M176" s="66">
        <f>2409</f>
        <v>2409</v>
      </c>
      <c r="N176" s="67" t="s">
        <v>95</v>
      </c>
      <c r="O176" s="66">
        <f>2193</f>
        <v>2193</v>
      </c>
      <c r="P176" s="67" t="s">
        <v>90</v>
      </c>
      <c r="Q176" s="66">
        <f>2389</f>
        <v>2389</v>
      </c>
      <c r="R176" s="67" t="s">
        <v>245</v>
      </c>
      <c r="S176" s="68">
        <f>2295.83</f>
        <v>2295.83</v>
      </c>
      <c r="T176" s="65">
        <f>83260</f>
        <v>83260</v>
      </c>
      <c r="U176" s="65" t="str">
        <f>"－"</f>
        <v>－</v>
      </c>
      <c r="V176" s="65">
        <f>190829830</f>
        <v>190829830</v>
      </c>
      <c r="W176" s="65" t="str">
        <f>"－"</f>
        <v>－</v>
      </c>
      <c r="X176" s="69">
        <f>18</f>
        <v>18</v>
      </c>
    </row>
    <row r="177" spans="1:24">
      <c r="A177" s="60" t="s">
        <v>842</v>
      </c>
      <c r="B177" s="60" t="s">
        <v>559</v>
      </c>
      <c r="C177" s="60" t="s">
        <v>560</v>
      </c>
      <c r="D177" s="60" t="s">
        <v>561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</v>
      </c>
      <c r="K177" s="66">
        <f>1231</f>
        <v>1231</v>
      </c>
      <c r="L177" s="67" t="s">
        <v>840</v>
      </c>
      <c r="M177" s="66">
        <f>1263</f>
        <v>1263</v>
      </c>
      <c r="N177" s="67" t="s">
        <v>95</v>
      </c>
      <c r="O177" s="66">
        <f>1175</f>
        <v>1175</v>
      </c>
      <c r="P177" s="67" t="s">
        <v>100</v>
      </c>
      <c r="Q177" s="66">
        <f>1246</f>
        <v>1246</v>
      </c>
      <c r="R177" s="67" t="s">
        <v>245</v>
      </c>
      <c r="S177" s="68">
        <f>1225.83</f>
        <v>1225.83</v>
      </c>
      <c r="T177" s="65">
        <f>148760</f>
        <v>148760</v>
      </c>
      <c r="U177" s="65">
        <f>30</f>
        <v>30</v>
      </c>
      <c r="V177" s="65">
        <f>183257140</f>
        <v>183257140</v>
      </c>
      <c r="W177" s="65">
        <f>36180</f>
        <v>36180</v>
      </c>
      <c r="X177" s="69">
        <f>18</f>
        <v>18</v>
      </c>
    </row>
    <row r="178" spans="1:24">
      <c r="A178" s="60" t="s">
        <v>842</v>
      </c>
      <c r="B178" s="60" t="s">
        <v>562</v>
      </c>
      <c r="C178" s="60" t="s">
        <v>563</v>
      </c>
      <c r="D178" s="60" t="s">
        <v>564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100</v>
      </c>
      <c r="K178" s="66">
        <f>137</f>
        <v>137</v>
      </c>
      <c r="L178" s="67" t="s">
        <v>840</v>
      </c>
      <c r="M178" s="66">
        <f>161</f>
        <v>161</v>
      </c>
      <c r="N178" s="67" t="s">
        <v>150</v>
      </c>
      <c r="O178" s="66">
        <f>135</f>
        <v>135</v>
      </c>
      <c r="P178" s="67" t="s">
        <v>840</v>
      </c>
      <c r="Q178" s="66">
        <f>154</f>
        <v>154</v>
      </c>
      <c r="R178" s="67" t="s">
        <v>245</v>
      </c>
      <c r="S178" s="68">
        <f>148.61</f>
        <v>148.61000000000001</v>
      </c>
      <c r="T178" s="65">
        <f>855100</f>
        <v>855100</v>
      </c>
      <c r="U178" s="65" t="str">
        <f t="shared" ref="U178:U194" si="9">"－"</f>
        <v>－</v>
      </c>
      <c r="V178" s="65">
        <f>129267000</f>
        <v>129267000</v>
      </c>
      <c r="W178" s="65" t="str">
        <f t="shared" ref="W178:W194" si="10">"－"</f>
        <v>－</v>
      </c>
      <c r="X178" s="69">
        <f>18</f>
        <v>18</v>
      </c>
    </row>
    <row r="179" spans="1:24">
      <c r="A179" s="60" t="s">
        <v>842</v>
      </c>
      <c r="B179" s="60" t="s">
        <v>565</v>
      </c>
      <c r="C179" s="60" t="s">
        <v>566</v>
      </c>
      <c r="D179" s="60" t="s">
        <v>567</v>
      </c>
      <c r="E179" s="61" t="s">
        <v>46</v>
      </c>
      <c r="F179" s="62" t="s">
        <v>46</v>
      </c>
      <c r="G179" s="63" t="s">
        <v>46</v>
      </c>
      <c r="H179" s="64" t="s">
        <v>823</v>
      </c>
      <c r="I179" s="64" t="s">
        <v>47</v>
      </c>
      <c r="J179" s="65">
        <v>10</v>
      </c>
      <c r="K179" s="66">
        <f>5000</f>
        <v>5000</v>
      </c>
      <c r="L179" s="67" t="s">
        <v>840</v>
      </c>
      <c r="M179" s="66">
        <f>5700</f>
        <v>5700</v>
      </c>
      <c r="N179" s="67" t="s">
        <v>822</v>
      </c>
      <c r="O179" s="66">
        <f>5000</f>
        <v>5000</v>
      </c>
      <c r="P179" s="67" t="s">
        <v>840</v>
      </c>
      <c r="Q179" s="66">
        <f>5050</f>
        <v>5050</v>
      </c>
      <c r="R179" s="67" t="s">
        <v>95</v>
      </c>
      <c r="S179" s="68">
        <f>5234.62</f>
        <v>5234.62</v>
      </c>
      <c r="T179" s="65">
        <f>2630</f>
        <v>2630</v>
      </c>
      <c r="U179" s="65" t="str">
        <f t="shared" si="9"/>
        <v>－</v>
      </c>
      <c r="V179" s="65">
        <f>14054400</f>
        <v>14054400</v>
      </c>
      <c r="W179" s="65" t="str">
        <f t="shared" si="10"/>
        <v>－</v>
      </c>
      <c r="X179" s="69">
        <f>13</f>
        <v>13</v>
      </c>
    </row>
    <row r="180" spans="1:24">
      <c r="A180" s="60" t="s">
        <v>842</v>
      </c>
      <c r="B180" s="60" t="s">
        <v>752</v>
      </c>
      <c r="C180" s="60" t="s">
        <v>753</v>
      </c>
      <c r="D180" s="60" t="s">
        <v>754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 t="str">
        <f>"－"</f>
        <v>－</v>
      </c>
      <c r="L180" s="67"/>
      <c r="M180" s="66" t="str">
        <f>"－"</f>
        <v>－</v>
      </c>
      <c r="N180" s="67"/>
      <c r="O180" s="66" t="str">
        <f>"－"</f>
        <v>－</v>
      </c>
      <c r="P180" s="67"/>
      <c r="Q180" s="66" t="str">
        <f>"－"</f>
        <v>－</v>
      </c>
      <c r="R180" s="67"/>
      <c r="S180" s="68" t="str">
        <f>"－"</f>
        <v>－</v>
      </c>
      <c r="T180" s="65" t="str">
        <f>"－"</f>
        <v>－</v>
      </c>
      <c r="U180" s="65" t="str">
        <f t="shared" si="9"/>
        <v>－</v>
      </c>
      <c r="V180" s="65" t="str">
        <f>"－"</f>
        <v>－</v>
      </c>
      <c r="W180" s="65" t="str">
        <f t="shared" si="10"/>
        <v>－</v>
      </c>
      <c r="X180" s="69" t="str">
        <f>"－"</f>
        <v>－</v>
      </c>
    </row>
    <row r="181" spans="1:24">
      <c r="A181" s="60" t="s">
        <v>842</v>
      </c>
      <c r="B181" s="60" t="s">
        <v>755</v>
      </c>
      <c r="C181" s="60" t="s">
        <v>756</v>
      </c>
      <c r="D181" s="60" t="s">
        <v>757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224</f>
        <v>224</v>
      </c>
      <c r="L181" s="67" t="s">
        <v>840</v>
      </c>
      <c r="M181" s="66">
        <f>328</f>
        <v>328</v>
      </c>
      <c r="N181" s="67" t="s">
        <v>815</v>
      </c>
      <c r="O181" s="66">
        <f>206</f>
        <v>206</v>
      </c>
      <c r="P181" s="67" t="s">
        <v>822</v>
      </c>
      <c r="Q181" s="66">
        <f>282</f>
        <v>282</v>
      </c>
      <c r="R181" s="67" t="s">
        <v>245</v>
      </c>
      <c r="S181" s="68">
        <f>262.44</f>
        <v>262.44</v>
      </c>
      <c r="T181" s="65">
        <f>17690</f>
        <v>17690</v>
      </c>
      <c r="U181" s="65" t="str">
        <f t="shared" si="9"/>
        <v>－</v>
      </c>
      <c r="V181" s="65">
        <f>4809890</f>
        <v>4809890</v>
      </c>
      <c r="W181" s="65" t="str">
        <f t="shared" si="10"/>
        <v>－</v>
      </c>
      <c r="X181" s="69">
        <f>18</f>
        <v>18</v>
      </c>
    </row>
    <row r="182" spans="1:24">
      <c r="A182" s="60" t="s">
        <v>842</v>
      </c>
      <c r="B182" s="60" t="s">
        <v>758</v>
      </c>
      <c r="C182" s="60" t="s">
        <v>759</v>
      </c>
      <c r="D182" s="60" t="s">
        <v>760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</v>
      </c>
      <c r="K182" s="66">
        <f>953</f>
        <v>953</v>
      </c>
      <c r="L182" s="67" t="s">
        <v>100</v>
      </c>
      <c r="M182" s="66">
        <f>1002</f>
        <v>1002</v>
      </c>
      <c r="N182" s="67" t="s">
        <v>821</v>
      </c>
      <c r="O182" s="66">
        <f>953</f>
        <v>953</v>
      </c>
      <c r="P182" s="67" t="s">
        <v>100</v>
      </c>
      <c r="Q182" s="66">
        <f>1002</f>
        <v>1002</v>
      </c>
      <c r="R182" s="67" t="s">
        <v>821</v>
      </c>
      <c r="S182" s="68">
        <f>992.75</f>
        <v>992.75</v>
      </c>
      <c r="T182" s="65">
        <f>120</f>
        <v>120</v>
      </c>
      <c r="U182" s="65" t="str">
        <f t="shared" si="9"/>
        <v>－</v>
      </c>
      <c r="V182" s="65">
        <f>119330</f>
        <v>119330</v>
      </c>
      <c r="W182" s="65" t="str">
        <f t="shared" si="10"/>
        <v>－</v>
      </c>
      <c r="X182" s="69">
        <f>4</f>
        <v>4</v>
      </c>
    </row>
    <row r="183" spans="1:24">
      <c r="A183" s="60" t="s">
        <v>842</v>
      </c>
      <c r="B183" s="60" t="s">
        <v>761</v>
      </c>
      <c r="C183" s="60" t="s">
        <v>762</v>
      </c>
      <c r="D183" s="60" t="s">
        <v>763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</v>
      </c>
      <c r="K183" s="66">
        <f>420</f>
        <v>420</v>
      </c>
      <c r="L183" s="67" t="s">
        <v>840</v>
      </c>
      <c r="M183" s="66">
        <f>469</f>
        <v>469</v>
      </c>
      <c r="N183" s="67" t="s">
        <v>245</v>
      </c>
      <c r="O183" s="66">
        <f>401</f>
        <v>401</v>
      </c>
      <c r="P183" s="67" t="s">
        <v>86</v>
      </c>
      <c r="Q183" s="66">
        <f>469</f>
        <v>469</v>
      </c>
      <c r="R183" s="67" t="s">
        <v>245</v>
      </c>
      <c r="S183" s="68">
        <f>428.28</f>
        <v>428.28</v>
      </c>
      <c r="T183" s="65">
        <f>5860</f>
        <v>5860</v>
      </c>
      <c r="U183" s="65" t="str">
        <f t="shared" si="9"/>
        <v>－</v>
      </c>
      <c r="V183" s="65">
        <f>2517860</f>
        <v>2517860</v>
      </c>
      <c r="W183" s="65" t="str">
        <f t="shared" si="10"/>
        <v>－</v>
      </c>
      <c r="X183" s="69">
        <f>18</f>
        <v>18</v>
      </c>
    </row>
    <row r="184" spans="1:24">
      <c r="A184" s="60" t="s">
        <v>842</v>
      </c>
      <c r="B184" s="60" t="s">
        <v>764</v>
      </c>
      <c r="C184" s="60" t="s">
        <v>765</v>
      </c>
      <c r="D184" s="60" t="s">
        <v>766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</v>
      </c>
      <c r="K184" s="66">
        <f>296</f>
        <v>296</v>
      </c>
      <c r="L184" s="67" t="s">
        <v>840</v>
      </c>
      <c r="M184" s="66">
        <f>296</f>
        <v>296</v>
      </c>
      <c r="N184" s="67" t="s">
        <v>840</v>
      </c>
      <c r="O184" s="66">
        <f>267</f>
        <v>267</v>
      </c>
      <c r="P184" s="67" t="s">
        <v>822</v>
      </c>
      <c r="Q184" s="66">
        <f>279</f>
        <v>279</v>
      </c>
      <c r="R184" s="67" t="s">
        <v>245</v>
      </c>
      <c r="S184" s="68">
        <f>278.5</f>
        <v>278.5</v>
      </c>
      <c r="T184" s="65">
        <f>516900</f>
        <v>516900</v>
      </c>
      <c r="U184" s="65" t="str">
        <f t="shared" si="9"/>
        <v>－</v>
      </c>
      <c r="V184" s="65">
        <f>143725440</f>
        <v>143725440</v>
      </c>
      <c r="W184" s="65" t="str">
        <f t="shared" si="10"/>
        <v>－</v>
      </c>
      <c r="X184" s="69">
        <f>18</f>
        <v>18</v>
      </c>
    </row>
    <row r="185" spans="1:24">
      <c r="A185" s="60" t="s">
        <v>842</v>
      </c>
      <c r="B185" s="60" t="s">
        <v>767</v>
      </c>
      <c r="C185" s="60" t="s">
        <v>768</v>
      </c>
      <c r="D185" s="60" t="s">
        <v>769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100</v>
      </c>
      <c r="K185" s="66">
        <f>2</f>
        <v>2</v>
      </c>
      <c r="L185" s="67" t="s">
        <v>840</v>
      </c>
      <c r="M185" s="66">
        <f>2</f>
        <v>2</v>
      </c>
      <c r="N185" s="67" t="s">
        <v>840</v>
      </c>
      <c r="O185" s="66">
        <f>1</f>
        <v>1</v>
      </c>
      <c r="P185" s="67" t="s">
        <v>840</v>
      </c>
      <c r="Q185" s="66">
        <f>2</f>
        <v>2</v>
      </c>
      <c r="R185" s="67" t="s">
        <v>245</v>
      </c>
      <c r="S185" s="68">
        <f>1.94</f>
        <v>1.94</v>
      </c>
      <c r="T185" s="65">
        <f>194824500</f>
        <v>194824500</v>
      </c>
      <c r="U185" s="65" t="str">
        <f t="shared" si="9"/>
        <v>－</v>
      </c>
      <c r="V185" s="65">
        <f>370419100</f>
        <v>370419100</v>
      </c>
      <c r="W185" s="65" t="str">
        <f t="shared" si="10"/>
        <v>－</v>
      </c>
      <c r="X185" s="69">
        <f>18</f>
        <v>18</v>
      </c>
    </row>
    <row r="186" spans="1:24">
      <c r="A186" s="60" t="s">
        <v>842</v>
      </c>
      <c r="B186" s="60" t="s">
        <v>770</v>
      </c>
      <c r="C186" s="60" t="s">
        <v>771</v>
      </c>
      <c r="D186" s="60" t="s">
        <v>772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10</v>
      </c>
      <c r="K186" s="66">
        <f>261</f>
        <v>261</v>
      </c>
      <c r="L186" s="67" t="s">
        <v>840</v>
      </c>
      <c r="M186" s="66">
        <f>359</f>
        <v>359</v>
      </c>
      <c r="N186" s="67" t="s">
        <v>150</v>
      </c>
      <c r="O186" s="66">
        <f>249</f>
        <v>249</v>
      </c>
      <c r="P186" s="67" t="s">
        <v>840</v>
      </c>
      <c r="Q186" s="66">
        <f>341</f>
        <v>341</v>
      </c>
      <c r="R186" s="67" t="s">
        <v>245</v>
      </c>
      <c r="S186" s="68">
        <f>315.06</f>
        <v>315.06</v>
      </c>
      <c r="T186" s="65">
        <f>9632560</f>
        <v>9632560</v>
      </c>
      <c r="U186" s="65" t="str">
        <f t="shared" si="9"/>
        <v>－</v>
      </c>
      <c r="V186" s="65">
        <f>2993768820</f>
        <v>2993768820</v>
      </c>
      <c r="W186" s="65" t="str">
        <f t="shared" si="10"/>
        <v>－</v>
      </c>
      <c r="X186" s="69">
        <f>18</f>
        <v>18</v>
      </c>
    </row>
    <row r="187" spans="1:24">
      <c r="A187" s="60" t="s">
        <v>842</v>
      </c>
      <c r="B187" s="60" t="s">
        <v>773</v>
      </c>
      <c r="C187" s="60" t="s">
        <v>774</v>
      </c>
      <c r="D187" s="60" t="s">
        <v>775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</v>
      </c>
      <c r="K187" s="66">
        <f>1371</f>
        <v>1371</v>
      </c>
      <c r="L187" s="67" t="s">
        <v>840</v>
      </c>
      <c r="M187" s="66">
        <f>1758</f>
        <v>1758</v>
      </c>
      <c r="N187" s="67" t="s">
        <v>91</v>
      </c>
      <c r="O187" s="66">
        <f>1370</f>
        <v>1370</v>
      </c>
      <c r="P187" s="67" t="s">
        <v>840</v>
      </c>
      <c r="Q187" s="66">
        <f>1693</f>
        <v>1693</v>
      </c>
      <c r="R187" s="67" t="s">
        <v>245</v>
      </c>
      <c r="S187" s="68">
        <f>1609.71</f>
        <v>1609.71</v>
      </c>
      <c r="T187" s="65">
        <f>2633</f>
        <v>2633</v>
      </c>
      <c r="U187" s="65" t="str">
        <f t="shared" si="9"/>
        <v>－</v>
      </c>
      <c r="V187" s="65">
        <f>4142169</f>
        <v>4142169</v>
      </c>
      <c r="W187" s="65" t="str">
        <f t="shared" si="10"/>
        <v>－</v>
      </c>
      <c r="X187" s="69">
        <f>17</f>
        <v>17</v>
      </c>
    </row>
    <row r="188" spans="1:24">
      <c r="A188" s="60" t="s">
        <v>842</v>
      </c>
      <c r="B188" s="60" t="s">
        <v>776</v>
      </c>
      <c r="C188" s="60" t="s">
        <v>777</v>
      </c>
      <c r="D188" s="60" t="s">
        <v>778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100</v>
      </c>
      <c r="K188" s="66">
        <f>264</f>
        <v>264</v>
      </c>
      <c r="L188" s="67" t="s">
        <v>65</v>
      </c>
      <c r="M188" s="66">
        <f>280</f>
        <v>280</v>
      </c>
      <c r="N188" s="67" t="s">
        <v>816</v>
      </c>
      <c r="O188" s="66">
        <f>239</f>
        <v>239</v>
      </c>
      <c r="P188" s="67" t="s">
        <v>91</v>
      </c>
      <c r="Q188" s="66">
        <f>263</f>
        <v>263</v>
      </c>
      <c r="R188" s="67" t="s">
        <v>91</v>
      </c>
      <c r="S188" s="68">
        <f>268.6</f>
        <v>268.60000000000002</v>
      </c>
      <c r="T188" s="65">
        <f>1600</f>
        <v>1600</v>
      </c>
      <c r="U188" s="65" t="str">
        <f t="shared" si="9"/>
        <v>－</v>
      </c>
      <c r="V188" s="65">
        <f>428700</f>
        <v>428700</v>
      </c>
      <c r="W188" s="65" t="str">
        <f t="shared" si="10"/>
        <v>－</v>
      </c>
      <c r="X188" s="69">
        <f>5</f>
        <v>5</v>
      </c>
    </row>
    <row r="189" spans="1:24">
      <c r="A189" s="60" t="s">
        <v>842</v>
      </c>
      <c r="B189" s="60" t="s">
        <v>779</v>
      </c>
      <c r="C189" s="60" t="s">
        <v>780</v>
      </c>
      <c r="D189" s="60" t="s">
        <v>781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</v>
      </c>
      <c r="K189" s="66">
        <f>2600</f>
        <v>2600</v>
      </c>
      <c r="L189" s="67" t="s">
        <v>100</v>
      </c>
      <c r="M189" s="66">
        <f>2753</f>
        <v>2753</v>
      </c>
      <c r="N189" s="67" t="s">
        <v>100</v>
      </c>
      <c r="O189" s="66">
        <f>2535</f>
        <v>2535</v>
      </c>
      <c r="P189" s="67" t="s">
        <v>819</v>
      </c>
      <c r="Q189" s="66">
        <f>2606</f>
        <v>2606</v>
      </c>
      <c r="R189" s="67" t="s">
        <v>91</v>
      </c>
      <c r="S189" s="68">
        <f>2613</f>
        <v>2613</v>
      </c>
      <c r="T189" s="65">
        <f>610</f>
        <v>610</v>
      </c>
      <c r="U189" s="65" t="str">
        <f t="shared" si="9"/>
        <v>－</v>
      </c>
      <c r="V189" s="65">
        <f>1602120</f>
        <v>1602120</v>
      </c>
      <c r="W189" s="65" t="str">
        <f t="shared" si="10"/>
        <v>－</v>
      </c>
      <c r="X189" s="69">
        <f>8</f>
        <v>8</v>
      </c>
    </row>
    <row r="190" spans="1:24">
      <c r="A190" s="60" t="s">
        <v>842</v>
      </c>
      <c r="B190" s="60" t="s">
        <v>782</v>
      </c>
      <c r="C190" s="60" t="s">
        <v>783</v>
      </c>
      <c r="D190" s="60" t="s">
        <v>784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</v>
      </c>
      <c r="K190" s="66">
        <f>1550</f>
        <v>1550</v>
      </c>
      <c r="L190" s="67" t="s">
        <v>840</v>
      </c>
      <c r="M190" s="66">
        <f>1550</f>
        <v>1550</v>
      </c>
      <c r="N190" s="67" t="s">
        <v>840</v>
      </c>
      <c r="O190" s="66">
        <f>1152</f>
        <v>1152</v>
      </c>
      <c r="P190" s="67" t="s">
        <v>834</v>
      </c>
      <c r="Q190" s="66">
        <f>1248</f>
        <v>1248</v>
      </c>
      <c r="R190" s="67" t="s">
        <v>91</v>
      </c>
      <c r="S190" s="68">
        <f>1315.33</f>
        <v>1315.33</v>
      </c>
      <c r="T190" s="65">
        <f>1100</f>
        <v>1100</v>
      </c>
      <c r="U190" s="65" t="str">
        <f t="shared" si="9"/>
        <v>－</v>
      </c>
      <c r="V190" s="65">
        <f>1420940</f>
        <v>1420940</v>
      </c>
      <c r="W190" s="65" t="str">
        <f t="shared" si="10"/>
        <v>－</v>
      </c>
      <c r="X190" s="69">
        <f>9</f>
        <v>9</v>
      </c>
    </row>
    <row r="191" spans="1:24">
      <c r="A191" s="60" t="s">
        <v>842</v>
      </c>
      <c r="B191" s="60" t="s">
        <v>785</v>
      </c>
      <c r="C191" s="60" t="s">
        <v>786</v>
      </c>
      <c r="D191" s="60" t="s">
        <v>787</v>
      </c>
      <c r="E191" s="61" t="s">
        <v>46</v>
      </c>
      <c r="F191" s="62" t="s">
        <v>46</v>
      </c>
      <c r="G191" s="63" t="s">
        <v>46</v>
      </c>
      <c r="H191" s="64"/>
      <c r="I191" s="64" t="s">
        <v>47</v>
      </c>
      <c r="J191" s="65">
        <v>100</v>
      </c>
      <c r="K191" s="66">
        <f>67</f>
        <v>67</v>
      </c>
      <c r="L191" s="67" t="s">
        <v>840</v>
      </c>
      <c r="M191" s="66">
        <f>67</f>
        <v>67</v>
      </c>
      <c r="N191" s="67" t="s">
        <v>840</v>
      </c>
      <c r="O191" s="66">
        <f>62</f>
        <v>62</v>
      </c>
      <c r="P191" s="67" t="s">
        <v>90</v>
      </c>
      <c r="Q191" s="66">
        <f>65</f>
        <v>65</v>
      </c>
      <c r="R191" s="67" t="s">
        <v>245</v>
      </c>
      <c r="S191" s="68">
        <f>64.94</f>
        <v>64.94</v>
      </c>
      <c r="T191" s="65">
        <f>6813200</f>
        <v>6813200</v>
      </c>
      <c r="U191" s="65" t="str">
        <f t="shared" si="9"/>
        <v>－</v>
      </c>
      <c r="V191" s="65">
        <f>444246500</f>
        <v>444246500</v>
      </c>
      <c r="W191" s="65" t="str">
        <f t="shared" si="10"/>
        <v>－</v>
      </c>
      <c r="X191" s="69">
        <f>18</f>
        <v>18</v>
      </c>
    </row>
    <row r="192" spans="1:24">
      <c r="A192" s="60" t="s">
        <v>842</v>
      </c>
      <c r="B192" s="60" t="s">
        <v>788</v>
      </c>
      <c r="C192" s="60" t="s">
        <v>789</v>
      </c>
      <c r="D192" s="60" t="s">
        <v>790</v>
      </c>
      <c r="E192" s="61" t="s">
        <v>46</v>
      </c>
      <c r="F192" s="62" t="s">
        <v>46</v>
      </c>
      <c r="G192" s="63" t="s">
        <v>46</v>
      </c>
      <c r="H192" s="64"/>
      <c r="I192" s="64" t="s">
        <v>47</v>
      </c>
      <c r="J192" s="65">
        <v>100</v>
      </c>
      <c r="K192" s="66">
        <f>64</f>
        <v>64</v>
      </c>
      <c r="L192" s="67" t="s">
        <v>840</v>
      </c>
      <c r="M192" s="66">
        <f>67</f>
        <v>67</v>
      </c>
      <c r="N192" s="67" t="s">
        <v>815</v>
      </c>
      <c r="O192" s="66">
        <f>63</f>
        <v>63</v>
      </c>
      <c r="P192" s="67" t="s">
        <v>100</v>
      </c>
      <c r="Q192" s="66">
        <f>67</f>
        <v>67</v>
      </c>
      <c r="R192" s="67" t="s">
        <v>245</v>
      </c>
      <c r="S192" s="68">
        <f>65.39</f>
        <v>65.39</v>
      </c>
      <c r="T192" s="65">
        <f>1697000</f>
        <v>1697000</v>
      </c>
      <c r="U192" s="65" t="str">
        <f t="shared" si="9"/>
        <v>－</v>
      </c>
      <c r="V192" s="65">
        <f>110415800</f>
        <v>110415800</v>
      </c>
      <c r="W192" s="65" t="str">
        <f t="shared" si="10"/>
        <v>－</v>
      </c>
      <c r="X192" s="69">
        <f>18</f>
        <v>18</v>
      </c>
    </row>
    <row r="193" spans="1:24">
      <c r="A193" s="60" t="s">
        <v>842</v>
      </c>
      <c r="B193" s="60" t="s">
        <v>791</v>
      </c>
      <c r="C193" s="60" t="s">
        <v>792</v>
      </c>
      <c r="D193" s="60" t="s">
        <v>793</v>
      </c>
      <c r="E193" s="61" t="s">
        <v>46</v>
      </c>
      <c r="F193" s="62" t="s">
        <v>46</v>
      </c>
      <c r="G193" s="63" t="s">
        <v>46</v>
      </c>
      <c r="H193" s="64"/>
      <c r="I193" s="64" t="s">
        <v>47</v>
      </c>
      <c r="J193" s="65">
        <v>10</v>
      </c>
      <c r="K193" s="66">
        <f>1950</f>
        <v>1950</v>
      </c>
      <c r="L193" s="67" t="s">
        <v>840</v>
      </c>
      <c r="M193" s="66">
        <f>1978</f>
        <v>1978</v>
      </c>
      <c r="N193" s="67" t="s">
        <v>100</v>
      </c>
      <c r="O193" s="66">
        <f>1820</f>
        <v>1820</v>
      </c>
      <c r="P193" s="67" t="s">
        <v>90</v>
      </c>
      <c r="Q193" s="66">
        <f>1895</f>
        <v>1895</v>
      </c>
      <c r="R193" s="67" t="s">
        <v>245</v>
      </c>
      <c r="S193" s="68">
        <f>1905.44</f>
        <v>1905.44</v>
      </c>
      <c r="T193" s="65">
        <f>6260</f>
        <v>6260</v>
      </c>
      <c r="U193" s="65" t="str">
        <f t="shared" si="9"/>
        <v>－</v>
      </c>
      <c r="V193" s="65">
        <f>11952240</f>
        <v>11952240</v>
      </c>
      <c r="W193" s="65" t="str">
        <f t="shared" si="10"/>
        <v>－</v>
      </c>
      <c r="X193" s="69">
        <f>18</f>
        <v>18</v>
      </c>
    </row>
    <row r="194" spans="1:24">
      <c r="A194" s="60" t="s">
        <v>842</v>
      </c>
      <c r="B194" s="60" t="s">
        <v>568</v>
      </c>
      <c r="C194" s="60" t="s">
        <v>569</v>
      </c>
      <c r="D194" s="60" t="s">
        <v>570</v>
      </c>
      <c r="E194" s="61" t="s">
        <v>46</v>
      </c>
      <c r="F194" s="62" t="s">
        <v>46</v>
      </c>
      <c r="G194" s="63" t="s">
        <v>46</v>
      </c>
      <c r="H194" s="64"/>
      <c r="I194" s="64" t="s">
        <v>47</v>
      </c>
      <c r="J194" s="65">
        <v>10</v>
      </c>
      <c r="K194" s="66">
        <f>1395</f>
        <v>1395</v>
      </c>
      <c r="L194" s="67" t="s">
        <v>840</v>
      </c>
      <c r="M194" s="66">
        <f>1503</f>
        <v>1503</v>
      </c>
      <c r="N194" s="67" t="s">
        <v>95</v>
      </c>
      <c r="O194" s="66">
        <f>1347</f>
        <v>1347</v>
      </c>
      <c r="P194" s="67" t="s">
        <v>100</v>
      </c>
      <c r="Q194" s="66">
        <f>1485</f>
        <v>1485</v>
      </c>
      <c r="R194" s="67" t="s">
        <v>245</v>
      </c>
      <c r="S194" s="68">
        <f>1410.61</f>
        <v>1410.61</v>
      </c>
      <c r="T194" s="65">
        <f>79200</f>
        <v>79200</v>
      </c>
      <c r="U194" s="65" t="str">
        <f t="shared" si="9"/>
        <v>－</v>
      </c>
      <c r="V194" s="65">
        <f>112552380</f>
        <v>112552380</v>
      </c>
      <c r="W194" s="65" t="str">
        <f t="shared" si="10"/>
        <v>－</v>
      </c>
      <c r="X194" s="69">
        <f>18</f>
        <v>18</v>
      </c>
    </row>
    <row r="195" spans="1:24">
      <c r="A195" s="60" t="s">
        <v>842</v>
      </c>
      <c r="B195" s="60" t="s">
        <v>571</v>
      </c>
      <c r="C195" s="60" t="s">
        <v>572</v>
      </c>
      <c r="D195" s="60" t="s">
        <v>573</v>
      </c>
      <c r="E195" s="61" t="s">
        <v>46</v>
      </c>
      <c r="F195" s="62" t="s">
        <v>46</v>
      </c>
      <c r="G195" s="63" t="s">
        <v>46</v>
      </c>
      <c r="H195" s="64"/>
      <c r="I195" s="64" t="s">
        <v>47</v>
      </c>
      <c r="J195" s="65">
        <v>10</v>
      </c>
      <c r="K195" s="66">
        <f>72</f>
        <v>72</v>
      </c>
      <c r="L195" s="67" t="s">
        <v>840</v>
      </c>
      <c r="M195" s="66">
        <f>95</f>
        <v>95</v>
      </c>
      <c r="N195" s="67" t="s">
        <v>821</v>
      </c>
      <c r="O195" s="66">
        <f>69</f>
        <v>69</v>
      </c>
      <c r="P195" s="67" t="s">
        <v>840</v>
      </c>
      <c r="Q195" s="66">
        <f>90</f>
        <v>90</v>
      </c>
      <c r="R195" s="67" t="s">
        <v>245</v>
      </c>
      <c r="S195" s="68">
        <f>83.39</f>
        <v>83.39</v>
      </c>
      <c r="T195" s="65">
        <f>1096675930</f>
        <v>1096675930</v>
      </c>
      <c r="U195" s="65">
        <f>4679610</f>
        <v>4679610</v>
      </c>
      <c r="V195" s="65">
        <f>91595599364</f>
        <v>91595599364</v>
      </c>
      <c r="W195" s="65">
        <f>389134094</f>
        <v>389134094</v>
      </c>
      <c r="X195" s="69">
        <f>18</f>
        <v>18</v>
      </c>
    </row>
    <row r="196" spans="1:24">
      <c r="A196" s="60" t="s">
        <v>842</v>
      </c>
      <c r="B196" s="60" t="s">
        <v>574</v>
      </c>
      <c r="C196" s="60" t="s">
        <v>575</v>
      </c>
      <c r="D196" s="60" t="s">
        <v>576</v>
      </c>
      <c r="E196" s="61" t="s">
        <v>46</v>
      </c>
      <c r="F196" s="62" t="s">
        <v>46</v>
      </c>
      <c r="G196" s="63" t="s">
        <v>46</v>
      </c>
      <c r="H196" s="64"/>
      <c r="I196" s="64" t="s">
        <v>577</v>
      </c>
      <c r="J196" s="65">
        <v>1</v>
      </c>
      <c r="K196" s="66">
        <f>8920</f>
        <v>8920</v>
      </c>
      <c r="L196" s="67" t="s">
        <v>840</v>
      </c>
      <c r="M196" s="66">
        <f>9180</f>
        <v>9180</v>
      </c>
      <c r="N196" s="67" t="s">
        <v>834</v>
      </c>
      <c r="O196" s="66">
        <f>7610</f>
        <v>7610</v>
      </c>
      <c r="P196" s="67" t="s">
        <v>816</v>
      </c>
      <c r="Q196" s="66">
        <f>7820</f>
        <v>7820</v>
      </c>
      <c r="R196" s="67" t="s">
        <v>245</v>
      </c>
      <c r="S196" s="68">
        <f>8477.22</f>
        <v>8477.2199999999993</v>
      </c>
      <c r="T196" s="65">
        <f>20240</f>
        <v>20240</v>
      </c>
      <c r="U196" s="65" t="str">
        <f>"－"</f>
        <v>－</v>
      </c>
      <c r="V196" s="65">
        <f>163160390</f>
        <v>163160390</v>
      </c>
      <c r="W196" s="65" t="str">
        <f>"－"</f>
        <v>－</v>
      </c>
      <c r="X196" s="69">
        <f>18</f>
        <v>18</v>
      </c>
    </row>
    <row r="197" spans="1:24">
      <c r="A197" s="60" t="s">
        <v>842</v>
      </c>
      <c r="B197" s="60" t="s">
        <v>578</v>
      </c>
      <c r="C197" s="60" t="s">
        <v>579</v>
      </c>
      <c r="D197" s="60" t="s">
        <v>580</v>
      </c>
      <c r="E197" s="61" t="s">
        <v>46</v>
      </c>
      <c r="F197" s="62" t="s">
        <v>46</v>
      </c>
      <c r="G197" s="63" t="s">
        <v>46</v>
      </c>
      <c r="H197" s="64"/>
      <c r="I197" s="64" t="s">
        <v>577</v>
      </c>
      <c r="J197" s="65">
        <v>1</v>
      </c>
      <c r="K197" s="66">
        <f>6590</f>
        <v>6590</v>
      </c>
      <c r="L197" s="67" t="s">
        <v>840</v>
      </c>
      <c r="M197" s="66">
        <f>7200</f>
        <v>7200</v>
      </c>
      <c r="N197" s="67" t="s">
        <v>816</v>
      </c>
      <c r="O197" s="66">
        <f>6500</f>
        <v>6500</v>
      </c>
      <c r="P197" s="67" t="s">
        <v>819</v>
      </c>
      <c r="Q197" s="66">
        <f>7000</f>
        <v>7000</v>
      </c>
      <c r="R197" s="67" t="s">
        <v>245</v>
      </c>
      <c r="S197" s="68">
        <f>6763.33</f>
        <v>6763.33</v>
      </c>
      <c r="T197" s="65">
        <f>17715</f>
        <v>17715</v>
      </c>
      <c r="U197" s="65" t="str">
        <f>"－"</f>
        <v>－</v>
      </c>
      <c r="V197" s="65">
        <f>121535030</f>
        <v>121535030</v>
      </c>
      <c r="W197" s="65" t="str">
        <f>"－"</f>
        <v>－</v>
      </c>
      <c r="X197" s="69">
        <f>18</f>
        <v>18</v>
      </c>
    </row>
    <row r="198" spans="1:24">
      <c r="A198" s="60" t="s">
        <v>842</v>
      </c>
      <c r="B198" s="60" t="s">
        <v>581</v>
      </c>
      <c r="C198" s="60" t="s">
        <v>582</v>
      </c>
      <c r="D198" s="60" t="s">
        <v>583</v>
      </c>
      <c r="E198" s="61" t="s">
        <v>46</v>
      </c>
      <c r="F198" s="62" t="s">
        <v>46</v>
      </c>
      <c r="G198" s="63" t="s">
        <v>46</v>
      </c>
      <c r="H198" s="64"/>
      <c r="I198" s="64" t="s">
        <v>577</v>
      </c>
      <c r="J198" s="65">
        <v>1</v>
      </c>
      <c r="K198" s="66">
        <f>7000</f>
        <v>7000</v>
      </c>
      <c r="L198" s="67" t="s">
        <v>840</v>
      </c>
      <c r="M198" s="66">
        <f>7520</f>
        <v>7520</v>
      </c>
      <c r="N198" s="67" t="s">
        <v>95</v>
      </c>
      <c r="O198" s="66">
        <f>6510</f>
        <v>6510</v>
      </c>
      <c r="P198" s="67" t="s">
        <v>90</v>
      </c>
      <c r="Q198" s="66">
        <f>7510</f>
        <v>7510</v>
      </c>
      <c r="R198" s="67" t="s">
        <v>245</v>
      </c>
      <c r="S198" s="68">
        <f>6968.89</f>
        <v>6968.89</v>
      </c>
      <c r="T198" s="65">
        <f>1772</f>
        <v>1772</v>
      </c>
      <c r="U198" s="65" t="str">
        <f>"－"</f>
        <v>－</v>
      </c>
      <c r="V198" s="65">
        <f>12412170</f>
        <v>12412170</v>
      </c>
      <c r="W198" s="65" t="str">
        <f>"－"</f>
        <v>－</v>
      </c>
      <c r="X198" s="69">
        <f>18</f>
        <v>18</v>
      </c>
    </row>
    <row r="199" spans="1:24">
      <c r="A199" s="60" t="s">
        <v>842</v>
      </c>
      <c r="B199" s="60" t="s">
        <v>584</v>
      </c>
      <c r="C199" s="60" t="s">
        <v>585</v>
      </c>
      <c r="D199" s="60" t="s">
        <v>586</v>
      </c>
      <c r="E199" s="61" t="s">
        <v>46</v>
      </c>
      <c r="F199" s="62" t="s">
        <v>46</v>
      </c>
      <c r="G199" s="63" t="s">
        <v>46</v>
      </c>
      <c r="H199" s="64"/>
      <c r="I199" s="64" t="s">
        <v>577</v>
      </c>
      <c r="J199" s="65">
        <v>1</v>
      </c>
      <c r="K199" s="66">
        <f>9260</f>
        <v>9260</v>
      </c>
      <c r="L199" s="67" t="s">
        <v>840</v>
      </c>
      <c r="M199" s="66">
        <f>9500</f>
        <v>9500</v>
      </c>
      <c r="N199" s="67" t="s">
        <v>840</v>
      </c>
      <c r="O199" s="66">
        <f>8690</f>
        <v>8690</v>
      </c>
      <c r="P199" s="67" t="s">
        <v>91</v>
      </c>
      <c r="Q199" s="66">
        <f>8890</f>
        <v>8890</v>
      </c>
      <c r="R199" s="67" t="s">
        <v>245</v>
      </c>
      <c r="S199" s="68">
        <f>9177.22</f>
        <v>9177.2199999999993</v>
      </c>
      <c r="T199" s="65">
        <f>10218</f>
        <v>10218</v>
      </c>
      <c r="U199" s="65" t="str">
        <f>"－"</f>
        <v>－</v>
      </c>
      <c r="V199" s="65">
        <f>92458680</f>
        <v>92458680</v>
      </c>
      <c r="W199" s="65" t="str">
        <f>"－"</f>
        <v>－</v>
      </c>
      <c r="X199" s="69">
        <f>18</f>
        <v>18</v>
      </c>
    </row>
    <row r="200" spans="1:24">
      <c r="A200" s="60" t="s">
        <v>842</v>
      </c>
      <c r="B200" s="60" t="s">
        <v>587</v>
      </c>
      <c r="C200" s="60" t="s">
        <v>588</v>
      </c>
      <c r="D200" s="60" t="s">
        <v>589</v>
      </c>
      <c r="E200" s="61" t="s">
        <v>46</v>
      </c>
      <c r="F200" s="62" t="s">
        <v>46</v>
      </c>
      <c r="G200" s="63" t="s">
        <v>46</v>
      </c>
      <c r="H200" s="64"/>
      <c r="I200" s="64" t="s">
        <v>577</v>
      </c>
      <c r="J200" s="65">
        <v>1</v>
      </c>
      <c r="K200" s="66">
        <f>1174</f>
        <v>1174</v>
      </c>
      <c r="L200" s="67" t="s">
        <v>840</v>
      </c>
      <c r="M200" s="66">
        <f>1200</f>
        <v>1200</v>
      </c>
      <c r="N200" s="67" t="s">
        <v>840</v>
      </c>
      <c r="O200" s="66">
        <f>920</f>
        <v>920</v>
      </c>
      <c r="P200" s="67" t="s">
        <v>834</v>
      </c>
      <c r="Q200" s="66">
        <f>968</f>
        <v>968</v>
      </c>
      <c r="R200" s="67" t="s">
        <v>245</v>
      </c>
      <c r="S200" s="68">
        <f>1026.33</f>
        <v>1026.33</v>
      </c>
      <c r="T200" s="65">
        <f>7886003</f>
        <v>7886003</v>
      </c>
      <c r="U200" s="65">
        <f>71</f>
        <v>71</v>
      </c>
      <c r="V200" s="65">
        <f>8134153212</f>
        <v>8134153212</v>
      </c>
      <c r="W200" s="65">
        <f>81862</f>
        <v>81862</v>
      </c>
      <c r="X200" s="69">
        <f>18</f>
        <v>18</v>
      </c>
    </row>
    <row r="201" spans="1:24">
      <c r="A201" s="60" t="s">
        <v>842</v>
      </c>
      <c r="B201" s="60" t="s">
        <v>590</v>
      </c>
      <c r="C201" s="60" t="s">
        <v>591</v>
      </c>
      <c r="D201" s="60" t="s">
        <v>592</v>
      </c>
      <c r="E201" s="61" t="s">
        <v>46</v>
      </c>
      <c r="F201" s="62" t="s">
        <v>46</v>
      </c>
      <c r="G201" s="63" t="s">
        <v>46</v>
      </c>
      <c r="H201" s="64"/>
      <c r="I201" s="64" t="s">
        <v>577</v>
      </c>
      <c r="J201" s="65">
        <v>1</v>
      </c>
      <c r="K201" s="66">
        <f>15600</f>
        <v>15600</v>
      </c>
      <c r="L201" s="67" t="s">
        <v>840</v>
      </c>
      <c r="M201" s="66">
        <f>17100</f>
        <v>17100</v>
      </c>
      <c r="N201" s="67" t="s">
        <v>822</v>
      </c>
      <c r="O201" s="66">
        <f>15200</f>
        <v>15200</v>
      </c>
      <c r="P201" s="67" t="s">
        <v>100</v>
      </c>
      <c r="Q201" s="66">
        <f>16240</f>
        <v>16240</v>
      </c>
      <c r="R201" s="67" t="s">
        <v>245</v>
      </c>
      <c r="S201" s="68">
        <f>16111.11</f>
        <v>16111.11</v>
      </c>
      <c r="T201" s="65">
        <f>43391</f>
        <v>43391</v>
      </c>
      <c r="U201" s="65" t="str">
        <f>"－"</f>
        <v>－</v>
      </c>
      <c r="V201" s="65">
        <f>710269960</f>
        <v>710269960</v>
      </c>
      <c r="W201" s="65" t="str">
        <f>"－"</f>
        <v>－</v>
      </c>
      <c r="X201" s="69">
        <f>18</f>
        <v>18</v>
      </c>
    </row>
    <row r="202" spans="1:24">
      <c r="A202" s="60" t="s">
        <v>842</v>
      </c>
      <c r="B202" s="60" t="s">
        <v>593</v>
      </c>
      <c r="C202" s="60" t="s">
        <v>594</v>
      </c>
      <c r="D202" s="60" t="s">
        <v>595</v>
      </c>
      <c r="E202" s="61" t="s">
        <v>46</v>
      </c>
      <c r="F202" s="62" t="s">
        <v>46</v>
      </c>
      <c r="G202" s="63" t="s">
        <v>46</v>
      </c>
      <c r="H202" s="64"/>
      <c r="I202" s="64" t="s">
        <v>577</v>
      </c>
      <c r="J202" s="65">
        <v>1</v>
      </c>
      <c r="K202" s="66">
        <f>6270</f>
        <v>6270</v>
      </c>
      <c r="L202" s="67" t="s">
        <v>840</v>
      </c>
      <c r="M202" s="66">
        <f>6360</f>
        <v>6360</v>
      </c>
      <c r="N202" s="67" t="s">
        <v>100</v>
      </c>
      <c r="O202" s="66">
        <f>5970</f>
        <v>5970</v>
      </c>
      <c r="P202" s="67" t="s">
        <v>150</v>
      </c>
      <c r="Q202" s="66">
        <f>6100</f>
        <v>6100</v>
      </c>
      <c r="R202" s="67" t="s">
        <v>245</v>
      </c>
      <c r="S202" s="68">
        <f>6163.89</f>
        <v>6163.89</v>
      </c>
      <c r="T202" s="65">
        <f>12159</f>
        <v>12159</v>
      </c>
      <c r="U202" s="65" t="str">
        <f>"－"</f>
        <v>－</v>
      </c>
      <c r="V202" s="65">
        <f>74562870</f>
        <v>74562870</v>
      </c>
      <c r="W202" s="65" t="str">
        <f>"－"</f>
        <v>－</v>
      </c>
      <c r="X202" s="69">
        <f>18</f>
        <v>18</v>
      </c>
    </row>
    <row r="203" spans="1:24">
      <c r="A203" s="60" t="s">
        <v>842</v>
      </c>
      <c r="B203" s="60" t="s">
        <v>596</v>
      </c>
      <c r="C203" s="60" t="s">
        <v>597</v>
      </c>
      <c r="D203" s="60" t="s">
        <v>598</v>
      </c>
      <c r="E203" s="61" t="s">
        <v>46</v>
      </c>
      <c r="F203" s="62" t="s">
        <v>46</v>
      </c>
      <c r="G203" s="63" t="s">
        <v>46</v>
      </c>
      <c r="H203" s="64"/>
      <c r="I203" s="64" t="s">
        <v>577</v>
      </c>
      <c r="J203" s="65">
        <v>1</v>
      </c>
      <c r="K203" s="66">
        <f>202</f>
        <v>202</v>
      </c>
      <c r="L203" s="67" t="s">
        <v>840</v>
      </c>
      <c r="M203" s="66">
        <f>261</f>
        <v>261</v>
      </c>
      <c r="N203" s="67" t="s">
        <v>150</v>
      </c>
      <c r="O203" s="66">
        <f>178</f>
        <v>178</v>
      </c>
      <c r="P203" s="67" t="s">
        <v>90</v>
      </c>
      <c r="Q203" s="66">
        <f>227</f>
        <v>227</v>
      </c>
      <c r="R203" s="67" t="s">
        <v>245</v>
      </c>
      <c r="S203" s="68">
        <f>216.56</f>
        <v>216.56</v>
      </c>
      <c r="T203" s="65">
        <f>607425930</f>
        <v>607425930</v>
      </c>
      <c r="U203" s="65" t="str">
        <f>"－"</f>
        <v>－</v>
      </c>
      <c r="V203" s="65">
        <f>134067526485</f>
        <v>134067526485</v>
      </c>
      <c r="W203" s="65" t="str">
        <f>"－"</f>
        <v>－</v>
      </c>
      <c r="X203" s="69">
        <f>18</f>
        <v>18</v>
      </c>
    </row>
    <row r="204" spans="1:24">
      <c r="A204" s="60" t="s">
        <v>842</v>
      </c>
      <c r="B204" s="60" t="s">
        <v>599</v>
      </c>
      <c r="C204" s="60" t="s">
        <v>600</v>
      </c>
      <c r="D204" s="60" t="s">
        <v>601</v>
      </c>
      <c r="E204" s="61" t="s">
        <v>46</v>
      </c>
      <c r="F204" s="62" t="s">
        <v>46</v>
      </c>
      <c r="G204" s="63" t="s">
        <v>46</v>
      </c>
      <c r="H204" s="64"/>
      <c r="I204" s="64" t="s">
        <v>577</v>
      </c>
      <c r="J204" s="65">
        <v>1</v>
      </c>
      <c r="K204" s="66">
        <f>8050</f>
        <v>8050</v>
      </c>
      <c r="L204" s="67" t="s">
        <v>840</v>
      </c>
      <c r="M204" s="66">
        <f>8400</f>
        <v>8400</v>
      </c>
      <c r="N204" s="67" t="s">
        <v>90</v>
      </c>
      <c r="O204" s="66">
        <f>6790</f>
        <v>6790</v>
      </c>
      <c r="P204" s="67" t="s">
        <v>821</v>
      </c>
      <c r="Q204" s="66">
        <f>7030</f>
        <v>7030</v>
      </c>
      <c r="R204" s="67" t="s">
        <v>245</v>
      </c>
      <c r="S204" s="68">
        <f>7495</f>
        <v>7495</v>
      </c>
      <c r="T204" s="65">
        <f>326970</f>
        <v>326970</v>
      </c>
      <c r="U204" s="65" t="str">
        <f>"－"</f>
        <v>－</v>
      </c>
      <c r="V204" s="65">
        <f>2434218220</f>
        <v>2434218220</v>
      </c>
      <c r="W204" s="65" t="str">
        <f>"－"</f>
        <v>－</v>
      </c>
      <c r="X204" s="69">
        <f>18</f>
        <v>18</v>
      </c>
    </row>
    <row r="205" spans="1:24">
      <c r="A205" s="60" t="s">
        <v>842</v>
      </c>
      <c r="B205" s="60" t="s">
        <v>602</v>
      </c>
      <c r="C205" s="60" t="s">
        <v>603</v>
      </c>
      <c r="D205" s="60" t="s">
        <v>604</v>
      </c>
      <c r="E205" s="61" t="s">
        <v>46</v>
      </c>
      <c r="F205" s="62" t="s">
        <v>46</v>
      </c>
      <c r="G205" s="63" t="s">
        <v>46</v>
      </c>
      <c r="H205" s="64"/>
      <c r="I205" s="64" t="s">
        <v>577</v>
      </c>
      <c r="J205" s="65">
        <v>1</v>
      </c>
      <c r="K205" s="66">
        <f>15970</f>
        <v>15970</v>
      </c>
      <c r="L205" s="67" t="s">
        <v>840</v>
      </c>
      <c r="M205" s="66">
        <f>18040</f>
        <v>18040</v>
      </c>
      <c r="N205" s="67" t="s">
        <v>95</v>
      </c>
      <c r="O205" s="66">
        <f>14700</f>
        <v>14700</v>
      </c>
      <c r="P205" s="67" t="s">
        <v>90</v>
      </c>
      <c r="Q205" s="66">
        <f>17500</f>
        <v>17500</v>
      </c>
      <c r="R205" s="67" t="s">
        <v>245</v>
      </c>
      <c r="S205" s="68">
        <f>16180.56</f>
        <v>16180.56</v>
      </c>
      <c r="T205" s="65">
        <f>676185</f>
        <v>676185</v>
      </c>
      <c r="U205" s="65">
        <f>58</f>
        <v>58</v>
      </c>
      <c r="V205" s="65">
        <f>10984150710</f>
        <v>10984150710</v>
      </c>
      <c r="W205" s="65">
        <f>934380</f>
        <v>934380</v>
      </c>
      <c r="X205" s="69">
        <f>18</f>
        <v>18</v>
      </c>
    </row>
    <row r="206" spans="1:24">
      <c r="A206" s="60" t="s">
        <v>842</v>
      </c>
      <c r="B206" s="60" t="s">
        <v>605</v>
      </c>
      <c r="C206" s="60" t="s">
        <v>606</v>
      </c>
      <c r="D206" s="60" t="s">
        <v>607</v>
      </c>
      <c r="E206" s="61" t="s">
        <v>46</v>
      </c>
      <c r="F206" s="62" t="s">
        <v>46</v>
      </c>
      <c r="G206" s="63" t="s">
        <v>46</v>
      </c>
      <c r="H206" s="64"/>
      <c r="I206" s="64" t="s">
        <v>577</v>
      </c>
      <c r="J206" s="65">
        <v>1</v>
      </c>
      <c r="K206" s="66">
        <f>4570</f>
        <v>4570</v>
      </c>
      <c r="L206" s="67" t="s">
        <v>840</v>
      </c>
      <c r="M206" s="66">
        <f>4775</f>
        <v>4775</v>
      </c>
      <c r="N206" s="67" t="s">
        <v>90</v>
      </c>
      <c r="O206" s="66">
        <f>4220</f>
        <v>4220</v>
      </c>
      <c r="P206" s="67" t="s">
        <v>95</v>
      </c>
      <c r="Q206" s="66">
        <f>4300</f>
        <v>4300</v>
      </c>
      <c r="R206" s="67" t="s">
        <v>245</v>
      </c>
      <c r="S206" s="68">
        <f>4519.17</f>
        <v>4519.17</v>
      </c>
      <c r="T206" s="65">
        <f>433484</f>
        <v>433484</v>
      </c>
      <c r="U206" s="65">
        <f>227</f>
        <v>227</v>
      </c>
      <c r="V206" s="65">
        <f>1953033535</f>
        <v>1953033535</v>
      </c>
      <c r="W206" s="65">
        <f>1045470</f>
        <v>1045470</v>
      </c>
      <c r="X206" s="69">
        <f>18</f>
        <v>18</v>
      </c>
    </row>
    <row r="207" spans="1:24">
      <c r="A207" s="60" t="s">
        <v>842</v>
      </c>
      <c r="B207" s="60" t="s">
        <v>608</v>
      </c>
      <c r="C207" s="60" t="s">
        <v>609</v>
      </c>
      <c r="D207" s="60" t="s">
        <v>610</v>
      </c>
      <c r="E207" s="61" t="s">
        <v>46</v>
      </c>
      <c r="F207" s="62" t="s">
        <v>46</v>
      </c>
      <c r="G207" s="63" t="s">
        <v>46</v>
      </c>
      <c r="H207" s="64"/>
      <c r="I207" s="64" t="s">
        <v>577</v>
      </c>
      <c r="J207" s="65">
        <v>1</v>
      </c>
      <c r="K207" s="66">
        <f>8450</f>
        <v>8450</v>
      </c>
      <c r="L207" s="67" t="s">
        <v>840</v>
      </c>
      <c r="M207" s="66">
        <f>10510</f>
        <v>10510</v>
      </c>
      <c r="N207" s="67" t="s">
        <v>245</v>
      </c>
      <c r="O207" s="66">
        <f>8320</f>
        <v>8320</v>
      </c>
      <c r="P207" s="67" t="s">
        <v>840</v>
      </c>
      <c r="Q207" s="66">
        <f>10480</f>
        <v>10480</v>
      </c>
      <c r="R207" s="67" t="s">
        <v>245</v>
      </c>
      <c r="S207" s="68">
        <f>9488.89</f>
        <v>9488.89</v>
      </c>
      <c r="T207" s="65">
        <f>311880</f>
        <v>311880</v>
      </c>
      <c r="U207" s="65" t="str">
        <f t="shared" ref="U207:U220" si="11">"－"</f>
        <v>－</v>
      </c>
      <c r="V207" s="65">
        <f>3062837280</f>
        <v>3062837280</v>
      </c>
      <c r="W207" s="65" t="str">
        <f t="shared" ref="W207:W220" si="12">"－"</f>
        <v>－</v>
      </c>
      <c r="X207" s="69">
        <f>18</f>
        <v>18</v>
      </c>
    </row>
    <row r="208" spans="1:24">
      <c r="A208" s="60" t="s">
        <v>842</v>
      </c>
      <c r="B208" s="60" t="s">
        <v>611</v>
      </c>
      <c r="C208" s="60" t="s">
        <v>612</v>
      </c>
      <c r="D208" s="60" t="s">
        <v>613</v>
      </c>
      <c r="E208" s="61" t="s">
        <v>46</v>
      </c>
      <c r="F208" s="62" t="s">
        <v>46</v>
      </c>
      <c r="G208" s="63" t="s">
        <v>46</v>
      </c>
      <c r="H208" s="64"/>
      <c r="I208" s="64" t="s">
        <v>577</v>
      </c>
      <c r="J208" s="65">
        <v>1</v>
      </c>
      <c r="K208" s="66">
        <f>9370</f>
        <v>9370</v>
      </c>
      <c r="L208" s="67" t="s">
        <v>840</v>
      </c>
      <c r="M208" s="66">
        <f>9600</f>
        <v>9600</v>
      </c>
      <c r="N208" s="67" t="s">
        <v>150</v>
      </c>
      <c r="O208" s="66">
        <f>9070</f>
        <v>9070</v>
      </c>
      <c r="P208" s="67" t="s">
        <v>86</v>
      </c>
      <c r="Q208" s="66">
        <f>9590</f>
        <v>9590</v>
      </c>
      <c r="R208" s="67" t="s">
        <v>245</v>
      </c>
      <c r="S208" s="68">
        <f>9377.33</f>
        <v>9377.33</v>
      </c>
      <c r="T208" s="65">
        <f>528</f>
        <v>528</v>
      </c>
      <c r="U208" s="65" t="str">
        <f t="shared" si="11"/>
        <v>－</v>
      </c>
      <c r="V208" s="65">
        <f>4910370</f>
        <v>4910370</v>
      </c>
      <c r="W208" s="65" t="str">
        <f t="shared" si="12"/>
        <v>－</v>
      </c>
      <c r="X208" s="69">
        <f>15</f>
        <v>15</v>
      </c>
    </row>
    <row r="209" spans="1:24">
      <c r="A209" s="60" t="s">
        <v>842</v>
      </c>
      <c r="B209" s="60" t="s">
        <v>614</v>
      </c>
      <c r="C209" s="60" t="s">
        <v>615</v>
      </c>
      <c r="D209" s="60" t="s">
        <v>616</v>
      </c>
      <c r="E209" s="61" t="s">
        <v>46</v>
      </c>
      <c r="F209" s="62" t="s">
        <v>46</v>
      </c>
      <c r="G209" s="63" t="s">
        <v>46</v>
      </c>
      <c r="H209" s="64"/>
      <c r="I209" s="64" t="s">
        <v>577</v>
      </c>
      <c r="J209" s="65">
        <v>1</v>
      </c>
      <c r="K209" s="66">
        <f>12600</f>
        <v>12600</v>
      </c>
      <c r="L209" s="67" t="s">
        <v>840</v>
      </c>
      <c r="M209" s="66">
        <f>13530</f>
        <v>13530</v>
      </c>
      <c r="N209" s="67" t="s">
        <v>95</v>
      </c>
      <c r="O209" s="66">
        <f>11790</f>
        <v>11790</v>
      </c>
      <c r="P209" s="67" t="s">
        <v>90</v>
      </c>
      <c r="Q209" s="66">
        <f>13350</f>
        <v>13350</v>
      </c>
      <c r="R209" s="67" t="s">
        <v>245</v>
      </c>
      <c r="S209" s="68">
        <f>12583.33</f>
        <v>12583.33</v>
      </c>
      <c r="T209" s="65">
        <f>12853</f>
        <v>12853</v>
      </c>
      <c r="U209" s="65" t="str">
        <f t="shared" si="11"/>
        <v>－</v>
      </c>
      <c r="V209" s="65">
        <f>162918930</f>
        <v>162918930</v>
      </c>
      <c r="W209" s="65" t="str">
        <f t="shared" si="12"/>
        <v>－</v>
      </c>
      <c r="X209" s="69">
        <f>18</f>
        <v>18</v>
      </c>
    </row>
    <row r="210" spans="1:24">
      <c r="A210" s="60" t="s">
        <v>842</v>
      </c>
      <c r="B210" s="60" t="s">
        <v>617</v>
      </c>
      <c r="C210" s="60" t="s">
        <v>618</v>
      </c>
      <c r="D210" s="60" t="s">
        <v>619</v>
      </c>
      <c r="E210" s="61" t="s">
        <v>46</v>
      </c>
      <c r="F210" s="62" t="s">
        <v>46</v>
      </c>
      <c r="G210" s="63" t="s">
        <v>46</v>
      </c>
      <c r="H210" s="64"/>
      <c r="I210" s="64" t="s">
        <v>577</v>
      </c>
      <c r="J210" s="65">
        <v>1</v>
      </c>
      <c r="K210" s="66">
        <f>10850</f>
        <v>10850</v>
      </c>
      <c r="L210" s="67" t="s">
        <v>840</v>
      </c>
      <c r="M210" s="66">
        <f>11330</f>
        <v>11330</v>
      </c>
      <c r="N210" s="67" t="s">
        <v>245</v>
      </c>
      <c r="O210" s="66">
        <f>10250</f>
        <v>10250</v>
      </c>
      <c r="P210" s="67" t="s">
        <v>822</v>
      </c>
      <c r="Q210" s="66">
        <f>11280</f>
        <v>11280</v>
      </c>
      <c r="R210" s="67" t="s">
        <v>245</v>
      </c>
      <c r="S210" s="68">
        <f>10870.56</f>
        <v>10870.56</v>
      </c>
      <c r="T210" s="65">
        <f>9699</f>
        <v>9699</v>
      </c>
      <c r="U210" s="65" t="str">
        <f t="shared" si="11"/>
        <v>－</v>
      </c>
      <c r="V210" s="65">
        <f>106641660</f>
        <v>106641660</v>
      </c>
      <c r="W210" s="65" t="str">
        <f t="shared" si="12"/>
        <v>－</v>
      </c>
      <c r="X210" s="69">
        <f>18</f>
        <v>18</v>
      </c>
    </row>
    <row r="211" spans="1:24">
      <c r="A211" s="60" t="s">
        <v>842</v>
      </c>
      <c r="B211" s="60" t="s">
        <v>620</v>
      </c>
      <c r="C211" s="60" t="s">
        <v>621</v>
      </c>
      <c r="D211" s="60" t="s">
        <v>622</v>
      </c>
      <c r="E211" s="61" t="s">
        <v>46</v>
      </c>
      <c r="F211" s="62" t="s">
        <v>46</v>
      </c>
      <c r="G211" s="63" t="s">
        <v>46</v>
      </c>
      <c r="H211" s="64"/>
      <c r="I211" s="64" t="s">
        <v>577</v>
      </c>
      <c r="J211" s="65">
        <v>1</v>
      </c>
      <c r="K211" s="66">
        <f>5880</f>
        <v>5880</v>
      </c>
      <c r="L211" s="67" t="s">
        <v>840</v>
      </c>
      <c r="M211" s="66">
        <f>5880</f>
        <v>5880</v>
      </c>
      <c r="N211" s="67" t="s">
        <v>840</v>
      </c>
      <c r="O211" s="66">
        <f>4760</f>
        <v>4760</v>
      </c>
      <c r="P211" s="67" t="s">
        <v>822</v>
      </c>
      <c r="Q211" s="66">
        <f>5400</f>
        <v>5400</v>
      </c>
      <c r="R211" s="67" t="s">
        <v>245</v>
      </c>
      <c r="S211" s="68">
        <f>5209.44</f>
        <v>5209.4399999999996</v>
      </c>
      <c r="T211" s="65">
        <f>148375</f>
        <v>148375</v>
      </c>
      <c r="U211" s="65" t="str">
        <f t="shared" si="11"/>
        <v>－</v>
      </c>
      <c r="V211" s="65">
        <f>773647080</f>
        <v>773647080</v>
      </c>
      <c r="W211" s="65" t="str">
        <f t="shared" si="12"/>
        <v>－</v>
      </c>
      <c r="X211" s="69">
        <f>18</f>
        <v>18</v>
      </c>
    </row>
    <row r="212" spans="1:24">
      <c r="A212" s="60" t="s">
        <v>842</v>
      </c>
      <c r="B212" s="60" t="s">
        <v>623</v>
      </c>
      <c r="C212" s="60" t="s">
        <v>624</v>
      </c>
      <c r="D212" s="60" t="s">
        <v>625</v>
      </c>
      <c r="E212" s="61" t="s">
        <v>46</v>
      </c>
      <c r="F212" s="62" t="s">
        <v>46</v>
      </c>
      <c r="G212" s="63" t="s">
        <v>46</v>
      </c>
      <c r="H212" s="64"/>
      <c r="I212" s="64" t="s">
        <v>577</v>
      </c>
      <c r="J212" s="65">
        <v>1</v>
      </c>
      <c r="K212" s="66">
        <f>6940</f>
        <v>6940</v>
      </c>
      <c r="L212" s="67" t="s">
        <v>840</v>
      </c>
      <c r="M212" s="66">
        <f>7700</f>
        <v>7700</v>
      </c>
      <c r="N212" s="67" t="s">
        <v>86</v>
      </c>
      <c r="O212" s="66">
        <f>6940</f>
        <v>6940</v>
      </c>
      <c r="P212" s="67" t="s">
        <v>840</v>
      </c>
      <c r="Q212" s="66">
        <f>7080</f>
        <v>7080</v>
      </c>
      <c r="R212" s="67" t="s">
        <v>245</v>
      </c>
      <c r="S212" s="68">
        <f>7297.78</f>
        <v>7297.78</v>
      </c>
      <c r="T212" s="65">
        <f>4398</f>
        <v>4398</v>
      </c>
      <c r="U212" s="65" t="str">
        <f t="shared" si="11"/>
        <v>－</v>
      </c>
      <c r="V212" s="65">
        <f>32242920</f>
        <v>32242920</v>
      </c>
      <c r="W212" s="65" t="str">
        <f t="shared" si="12"/>
        <v>－</v>
      </c>
      <c r="X212" s="69">
        <f>18</f>
        <v>18</v>
      </c>
    </row>
    <row r="213" spans="1:24">
      <c r="A213" s="60" t="s">
        <v>842</v>
      </c>
      <c r="B213" s="60" t="s">
        <v>626</v>
      </c>
      <c r="C213" s="60" t="s">
        <v>627</v>
      </c>
      <c r="D213" s="60" t="s">
        <v>628</v>
      </c>
      <c r="E213" s="61" t="s">
        <v>46</v>
      </c>
      <c r="F213" s="62" t="s">
        <v>46</v>
      </c>
      <c r="G213" s="63" t="s">
        <v>46</v>
      </c>
      <c r="H213" s="64"/>
      <c r="I213" s="64" t="s">
        <v>577</v>
      </c>
      <c r="J213" s="65">
        <v>1</v>
      </c>
      <c r="K213" s="66">
        <f>8000</f>
        <v>8000</v>
      </c>
      <c r="L213" s="67" t="s">
        <v>840</v>
      </c>
      <c r="M213" s="66">
        <f>8820</f>
        <v>8820</v>
      </c>
      <c r="N213" s="67" t="s">
        <v>95</v>
      </c>
      <c r="O213" s="66">
        <f>7800</f>
        <v>7800</v>
      </c>
      <c r="P213" s="67" t="s">
        <v>100</v>
      </c>
      <c r="Q213" s="66">
        <f>8820</f>
        <v>8820</v>
      </c>
      <c r="R213" s="67" t="s">
        <v>95</v>
      </c>
      <c r="S213" s="68">
        <f>8210.83</f>
        <v>8210.83</v>
      </c>
      <c r="T213" s="65">
        <f>2781</f>
        <v>2781</v>
      </c>
      <c r="U213" s="65" t="str">
        <f t="shared" si="11"/>
        <v>－</v>
      </c>
      <c r="V213" s="65">
        <f>23788670</f>
        <v>23788670</v>
      </c>
      <c r="W213" s="65" t="str">
        <f t="shared" si="12"/>
        <v>－</v>
      </c>
      <c r="X213" s="69">
        <f>12</f>
        <v>12</v>
      </c>
    </row>
    <row r="214" spans="1:24">
      <c r="A214" s="60" t="s">
        <v>842</v>
      </c>
      <c r="B214" s="60" t="s">
        <v>629</v>
      </c>
      <c r="C214" s="60" t="s">
        <v>630</v>
      </c>
      <c r="D214" s="60" t="s">
        <v>631</v>
      </c>
      <c r="E214" s="61" t="s">
        <v>46</v>
      </c>
      <c r="F214" s="62" t="s">
        <v>46</v>
      </c>
      <c r="G214" s="63" t="s">
        <v>46</v>
      </c>
      <c r="H214" s="64"/>
      <c r="I214" s="64" t="s">
        <v>577</v>
      </c>
      <c r="J214" s="65">
        <v>1</v>
      </c>
      <c r="K214" s="66">
        <f>8760</f>
        <v>8760</v>
      </c>
      <c r="L214" s="67" t="s">
        <v>100</v>
      </c>
      <c r="M214" s="66">
        <f>9840</f>
        <v>9840</v>
      </c>
      <c r="N214" s="67" t="s">
        <v>95</v>
      </c>
      <c r="O214" s="66">
        <f>8740</f>
        <v>8740</v>
      </c>
      <c r="P214" s="67" t="s">
        <v>100</v>
      </c>
      <c r="Q214" s="66">
        <f>9720</f>
        <v>9720</v>
      </c>
      <c r="R214" s="67" t="s">
        <v>245</v>
      </c>
      <c r="S214" s="68">
        <f>9359.17</f>
        <v>9359.17</v>
      </c>
      <c r="T214" s="65">
        <f>2717</f>
        <v>2717</v>
      </c>
      <c r="U214" s="65" t="str">
        <f t="shared" si="11"/>
        <v>－</v>
      </c>
      <c r="V214" s="65">
        <f>25692990</f>
        <v>25692990</v>
      </c>
      <c r="W214" s="65" t="str">
        <f t="shared" si="12"/>
        <v>－</v>
      </c>
      <c r="X214" s="69">
        <f>12</f>
        <v>12</v>
      </c>
    </row>
    <row r="215" spans="1:24">
      <c r="A215" s="60" t="s">
        <v>842</v>
      </c>
      <c r="B215" s="60" t="s">
        <v>632</v>
      </c>
      <c r="C215" s="60" t="s">
        <v>633</v>
      </c>
      <c r="D215" s="60" t="s">
        <v>634</v>
      </c>
      <c r="E215" s="61" t="s">
        <v>46</v>
      </c>
      <c r="F215" s="62" t="s">
        <v>46</v>
      </c>
      <c r="G215" s="63" t="s">
        <v>46</v>
      </c>
      <c r="H215" s="64"/>
      <c r="I215" s="64" t="s">
        <v>577</v>
      </c>
      <c r="J215" s="65">
        <v>1</v>
      </c>
      <c r="K215" s="66">
        <f>9360</f>
        <v>9360</v>
      </c>
      <c r="L215" s="67" t="s">
        <v>100</v>
      </c>
      <c r="M215" s="66">
        <f>10520</f>
        <v>10520</v>
      </c>
      <c r="N215" s="67" t="s">
        <v>95</v>
      </c>
      <c r="O215" s="66">
        <f>9360</f>
        <v>9360</v>
      </c>
      <c r="P215" s="67" t="s">
        <v>100</v>
      </c>
      <c r="Q215" s="66">
        <f>10390</f>
        <v>10390</v>
      </c>
      <c r="R215" s="67" t="s">
        <v>245</v>
      </c>
      <c r="S215" s="68">
        <f>9869</f>
        <v>9869</v>
      </c>
      <c r="T215" s="65">
        <f>648</f>
        <v>648</v>
      </c>
      <c r="U215" s="65" t="str">
        <f t="shared" si="11"/>
        <v>－</v>
      </c>
      <c r="V215" s="65">
        <f>6436650</f>
        <v>6436650</v>
      </c>
      <c r="W215" s="65" t="str">
        <f t="shared" si="12"/>
        <v>－</v>
      </c>
      <c r="X215" s="69">
        <f>10</f>
        <v>10</v>
      </c>
    </row>
    <row r="216" spans="1:24">
      <c r="A216" s="60" t="s">
        <v>842</v>
      </c>
      <c r="B216" s="60" t="s">
        <v>635</v>
      </c>
      <c r="C216" s="60" t="s">
        <v>636</v>
      </c>
      <c r="D216" s="60" t="s">
        <v>637</v>
      </c>
      <c r="E216" s="61" t="s">
        <v>46</v>
      </c>
      <c r="F216" s="62" t="s">
        <v>46</v>
      </c>
      <c r="G216" s="63" t="s">
        <v>46</v>
      </c>
      <c r="H216" s="64"/>
      <c r="I216" s="64" t="s">
        <v>577</v>
      </c>
      <c r="J216" s="65">
        <v>1</v>
      </c>
      <c r="K216" s="66">
        <f>9820</f>
        <v>9820</v>
      </c>
      <c r="L216" s="67" t="s">
        <v>840</v>
      </c>
      <c r="M216" s="66">
        <f>10620</f>
        <v>10620</v>
      </c>
      <c r="N216" s="67" t="s">
        <v>95</v>
      </c>
      <c r="O216" s="66">
        <f>9710</f>
        <v>9710</v>
      </c>
      <c r="P216" s="67" t="s">
        <v>86</v>
      </c>
      <c r="Q216" s="66">
        <f>10610</f>
        <v>10610</v>
      </c>
      <c r="R216" s="67" t="s">
        <v>245</v>
      </c>
      <c r="S216" s="68">
        <f>10150</f>
        <v>10150</v>
      </c>
      <c r="T216" s="65">
        <f>1236</f>
        <v>1236</v>
      </c>
      <c r="U216" s="65" t="str">
        <f t="shared" si="11"/>
        <v>－</v>
      </c>
      <c r="V216" s="65">
        <f>12725060</f>
        <v>12725060</v>
      </c>
      <c r="W216" s="65" t="str">
        <f t="shared" si="12"/>
        <v>－</v>
      </c>
      <c r="X216" s="69">
        <f>13</f>
        <v>13</v>
      </c>
    </row>
    <row r="217" spans="1:24">
      <c r="A217" s="60" t="s">
        <v>842</v>
      </c>
      <c r="B217" s="60" t="s">
        <v>638</v>
      </c>
      <c r="C217" s="60" t="s">
        <v>639</v>
      </c>
      <c r="D217" s="60" t="s">
        <v>640</v>
      </c>
      <c r="E217" s="61" t="s">
        <v>46</v>
      </c>
      <c r="F217" s="62" t="s">
        <v>46</v>
      </c>
      <c r="G217" s="63" t="s">
        <v>46</v>
      </c>
      <c r="H217" s="64"/>
      <c r="I217" s="64" t="s">
        <v>577</v>
      </c>
      <c r="J217" s="65">
        <v>1</v>
      </c>
      <c r="K217" s="66">
        <f>8810</f>
        <v>8810</v>
      </c>
      <c r="L217" s="67" t="s">
        <v>840</v>
      </c>
      <c r="M217" s="66">
        <f>9600</f>
        <v>9600</v>
      </c>
      <c r="N217" s="67" t="s">
        <v>95</v>
      </c>
      <c r="O217" s="66">
        <f>8530</f>
        <v>8530</v>
      </c>
      <c r="P217" s="67" t="s">
        <v>100</v>
      </c>
      <c r="Q217" s="66">
        <f>9500</f>
        <v>9500</v>
      </c>
      <c r="R217" s="67" t="s">
        <v>245</v>
      </c>
      <c r="S217" s="68">
        <f>8995.88</f>
        <v>8995.8799999999992</v>
      </c>
      <c r="T217" s="65">
        <f>6751</f>
        <v>6751</v>
      </c>
      <c r="U217" s="65" t="str">
        <f t="shared" si="11"/>
        <v>－</v>
      </c>
      <c r="V217" s="65">
        <f>62782040</f>
        <v>62782040</v>
      </c>
      <c r="W217" s="65" t="str">
        <f t="shared" si="12"/>
        <v>－</v>
      </c>
      <c r="X217" s="69">
        <f>17</f>
        <v>17</v>
      </c>
    </row>
    <row r="218" spans="1:24">
      <c r="A218" s="60" t="s">
        <v>842</v>
      </c>
      <c r="B218" s="60" t="s">
        <v>641</v>
      </c>
      <c r="C218" s="60" t="s">
        <v>642</v>
      </c>
      <c r="D218" s="60" t="s">
        <v>643</v>
      </c>
      <c r="E218" s="61" t="s">
        <v>46</v>
      </c>
      <c r="F218" s="62" t="s">
        <v>46</v>
      </c>
      <c r="G218" s="63" t="s">
        <v>46</v>
      </c>
      <c r="H218" s="64"/>
      <c r="I218" s="64" t="s">
        <v>577</v>
      </c>
      <c r="J218" s="65">
        <v>1</v>
      </c>
      <c r="K218" s="66">
        <f>8540</f>
        <v>8540</v>
      </c>
      <c r="L218" s="67" t="s">
        <v>834</v>
      </c>
      <c r="M218" s="66">
        <f>9150</f>
        <v>9150</v>
      </c>
      <c r="N218" s="67" t="s">
        <v>95</v>
      </c>
      <c r="O218" s="66">
        <f>8520</f>
        <v>8520</v>
      </c>
      <c r="P218" s="67" t="s">
        <v>49</v>
      </c>
      <c r="Q218" s="66">
        <f>9150</f>
        <v>9150</v>
      </c>
      <c r="R218" s="67" t="s">
        <v>95</v>
      </c>
      <c r="S218" s="68">
        <f>8786</f>
        <v>8786</v>
      </c>
      <c r="T218" s="65">
        <f>196</f>
        <v>196</v>
      </c>
      <c r="U218" s="65" t="str">
        <f t="shared" si="11"/>
        <v>－</v>
      </c>
      <c r="V218" s="65">
        <f>1715570</f>
        <v>1715570</v>
      </c>
      <c r="W218" s="65" t="str">
        <f t="shared" si="12"/>
        <v>－</v>
      </c>
      <c r="X218" s="69">
        <f>5</f>
        <v>5</v>
      </c>
    </row>
    <row r="219" spans="1:24">
      <c r="A219" s="60" t="s">
        <v>842</v>
      </c>
      <c r="B219" s="60" t="s">
        <v>644</v>
      </c>
      <c r="C219" s="60" t="s">
        <v>645</v>
      </c>
      <c r="D219" s="60" t="s">
        <v>646</v>
      </c>
      <c r="E219" s="61" t="s">
        <v>46</v>
      </c>
      <c r="F219" s="62" t="s">
        <v>46</v>
      </c>
      <c r="G219" s="63" t="s">
        <v>46</v>
      </c>
      <c r="H219" s="64"/>
      <c r="I219" s="64" t="s">
        <v>577</v>
      </c>
      <c r="J219" s="65">
        <v>1</v>
      </c>
      <c r="K219" s="66">
        <f>10970</f>
        <v>10970</v>
      </c>
      <c r="L219" s="67" t="s">
        <v>834</v>
      </c>
      <c r="M219" s="66">
        <f>11520</f>
        <v>11520</v>
      </c>
      <c r="N219" s="67" t="s">
        <v>245</v>
      </c>
      <c r="O219" s="66">
        <f>10970</f>
        <v>10970</v>
      </c>
      <c r="P219" s="67" t="s">
        <v>834</v>
      </c>
      <c r="Q219" s="66">
        <f>11510</f>
        <v>11510</v>
      </c>
      <c r="R219" s="67" t="s">
        <v>245</v>
      </c>
      <c r="S219" s="68">
        <f>11261.67</f>
        <v>11261.67</v>
      </c>
      <c r="T219" s="65">
        <f>1370</f>
        <v>1370</v>
      </c>
      <c r="U219" s="65" t="str">
        <f t="shared" si="11"/>
        <v>－</v>
      </c>
      <c r="V219" s="65">
        <f>15584560</f>
        <v>15584560</v>
      </c>
      <c r="W219" s="65" t="str">
        <f t="shared" si="12"/>
        <v>－</v>
      </c>
      <c r="X219" s="69">
        <f>6</f>
        <v>6</v>
      </c>
    </row>
    <row r="220" spans="1:24">
      <c r="A220" s="60" t="s">
        <v>842</v>
      </c>
      <c r="B220" s="60" t="s">
        <v>647</v>
      </c>
      <c r="C220" s="60" t="s">
        <v>648</v>
      </c>
      <c r="D220" s="60" t="s">
        <v>649</v>
      </c>
      <c r="E220" s="61" t="s">
        <v>46</v>
      </c>
      <c r="F220" s="62" t="s">
        <v>46</v>
      </c>
      <c r="G220" s="63" t="s">
        <v>46</v>
      </c>
      <c r="H220" s="64"/>
      <c r="I220" s="64" t="s">
        <v>47</v>
      </c>
      <c r="J220" s="65">
        <v>10</v>
      </c>
      <c r="K220" s="66">
        <f>1012</f>
        <v>1012</v>
      </c>
      <c r="L220" s="67" t="s">
        <v>840</v>
      </c>
      <c r="M220" s="66">
        <f>1012</f>
        <v>1012</v>
      </c>
      <c r="N220" s="67" t="s">
        <v>840</v>
      </c>
      <c r="O220" s="66">
        <f>1002</f>
        <v>1002</v>
      </c>
      <c r="P220" s="67" t="s">
        <v>819</v>
      </c>
      <c r="Q220" s="66">
        <f>1004</f>
        <v>1004</v>
      </c>
      <c r="R220" s="67" t="s">
        <v>245</v>
      </c>
      <c r="S220" s="68">
        <f>1005.78</f>
        <v>1005.78</v>
      </c>
      <c r="T220" s="65">
        <f>21520</f>
        <v>21520</v>
      </c>
      <c r="U220" s="65" t="str">
        <f t="shared" si="11"/>
        <v>－</v>
      </c>
      <c r="V220" s="65">
        <f>21648340</f>
        <v>21648340</v>
      </c>
      <c r="W220" s="65" t="str">
        <f t="shared" si="12"/>
        <v>－</v>
      </c>
      <c r="X220" s="69">
        <f>18</f>
        <v>18</v>
      </c>
    </row>
    <row r="221" spans="1:24">
      <c r="A221" s="60" t="s">
        <v>842</v>
      </c>
      <c r="B221" s="60" t="s">
        <v>650</v>
      </c>
      <c r="C221" s="60" t="s">
        <v>651</v>
      </c>
      <c r="D221" s="60" t="s">
        <v>652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f>977</f>
        <v>977</v>
      </c>
      <c r="L221" s="67" t="s">
        <v>840</v>
      </c>
      <c r="M221" s="66">
        <f>999</f>
        <v>999</v>
      </c>
      <c r="N221" s="67" t="s">
        <v>91</v>
      </c>
      <c r="O221" s="66">
        <f>958</f>
        <v>958</v>
      </c>
      <c r="P221" s="67" t="s">
        <v>100</v>
      </c>
      <c r="Q221" s="66">
        <f>985</f>
        <v>985</v>
      </c>
      <c r="R221" s="67" t="s">
        <v>245</v>
      </c>
      <c r="S221" s="68">
        <f>976.22</f>
        <v>976.22</v>
      </c>
      <c r="T221" s="65">
        <f>709530</f>
        <v>709530</v>
      </c>
      <c r="U221" s="65">
        <f>330000</f>
        <v>330000</v>
      </c>
      <c r="V221" s="65">
        <f>695873740</f>
        <v>695873740</v>
      </c>
      <c r="W221" s="65">
        <f>323298000</f>
        <v>323298000</v>
      </c>
      <c r="X221" s="69">
        <f>18</f>
        <v>18</v>
      </c>
    </row>
    <row r="222" spans="1:24">
      <c r="A222" s="60" t="s">
        <v>842</v>
      </c>
      <c r="B222" s="60" t="s">
        <v>653</v>
      </c>
      <c r="C222" s="60" t="s">
        <v>654</v>
      </c>
      <c r="D222" s="60" t="s">
        <v>655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1049</f>
        <v>1049</v>
      </c>
      <c r="L222" s="67" t="s">
        <v>840</v>
      </c>
      <c r="M222" s="66">
        <f>1057</f>
        <v>1057</v>
      </c>
      <c r="N222" s="67" t="s">
        <v>821</v>
      </c>
      <c r="O222" s="66">
        <f>1045</f>
        <v>1045</v>
      </c>
      <c r="P222" s="67" t="s">
        <v>100</v>
      </c>
      <c r="Q222" s="66">
        <f>1054</f>
        <v>1054</v>
      </c>
      <c r="R222" s="67" t="s">
        <v>245</v>
      </c>
      <c r="S222" s="68">
        <f>1051.94</f>
        <v>1051.94</v>
      </c>
      <c r="T222" s="65">
        <f>13890</f>
        <v>13890</v>
      </c>
      <c r="U222" s="65" t="str">
        <f>"－"</f>
        <v>－</v>
      </c>
      <c r="V222" s="65">
        <f>14610440</f>
        <v>14610440</v>
      </c>
      <c r="W222" s="65" t="str">
        <f>"－"</f>
        <v>－</v>
      </c>
      <c r="X222" s="69">
        <f>18</f>
        <v>18</v>
      </c>
    </row>
    <row r="223" spans="1:24">
      <c r="A223" s="60" t="s">
        <v>842</v>
      </c>
      <c r="B223" s="60" t="s">
        <v>656</v>
      </c>
      <c r="C223" s="60" t="s">
        <v>657</v>
      </c>
      <c r="D223" s="60" t="s">
        <v>658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976</f>
        <v>976</v>
      </c>
      <c r="L223" s="67" t="s">
        <v>840</v>
      </c>
      <c r="M223" s="66">
        <f>1030</f>
        <v>1030</v>
      </c>
      <c r="N223" s="67" t="s">
        <v>95</v>
      </c>
      <c r="O223" s="66">
        <f>935</f>
        <v>935</v>
      </c>
      <c r="P223" s="67" t="s">
        <v>90</v>
      </c>
      <c r="Q223" s="66">
        <f>1019</f>
        <v>1019</v>
      </c>
      <c r="R223" s="67" t="s">
        <v>245</v>
      </c>
      <c r="S223" s="68">
        <f>982.5</f>
        <v>982.5</v>
      </c>
      <c r="T223" s="65">
        <f>55310</f>
        <v>55310</v>
      </c>
      <c r="U223" s="65" t="str">
        <f>"－"</f>
        <v>－</v>
      </c>
      <c r="V223" s="65">
        <f>53292220</f>
        <v>53292220</v>
      </c>
      <c r="W223" s="65" t="str">
        <f>"－"</f>
        <v>－</v>
      </c>
      <c r="X223" s="69">
        <f>18</f>
        <v>18</v>
      </c>
    </row>
    <row r="224" spans="1:24">
      <c r="A224" s="60" t="s">
        <v>842</v>
      </c>
      <c r="B224" s="60" t="s">
        <v>659</v>
      </c>
      <c r="C224" s="60" t="s">
        <v>660</v>
      </c>
      <c r="D224" s="60" t="s">
        <v>661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1006</f>
        <v>1006</v>
      </c>
      <c r="L224" s="67" t="s">
        <v>840</v>
      </c>
      <c r="M224" s="66">
        <f>1066</f>
        <v>1066</v>
      </c>
      <c r="N224" s="67" t="s">
        <v>95</v>
      </c>
      <c r="O224" s="66">
        <f>984</f>
        <v>984</v>
      </c>
      <c r="P224" s="67" t="s">
        <v>90</v>
      </c>
      <c r="Q224" s="66">
        <f>1062</f>
        <v>1062</v>
      </c>
      <c r="R224" s="67" t="s">
        <v>245</v>
      </c>
      <c r="S224" s="68">
        <f>1022.83</f>
        <v>1022.83</v>
      </c>
      <c r="T224" s="65">
        <f>26490</f>
        <v>26490</v>
      </c>
      <c r="U224" s="65" t="str">
        <f>"－"</f>
        <v>－</v>
      </c>
      <c r="V224" s="65">
        <f>26742930</f>
        <v>26742930</v>
      </c>
      <c r="W224" s="65" t="str">
        <f>"－"</f>
        <v>－</v>
      </c>
      <c r="X224" s="69">
        <f>18</f>
        <v>18</v>
      </c>
    </row>
    <row r="225" spans="1:24">
      <c r="A225" s="60" t="s">
        <v>842</v>
      </c>
      <c r="B225" s="60" t="s">
        <v>662</v>
      </c>
      <c r="C225" s="60" t="s">
        <v>663</v>
      </c>
      <c r="D225" s="60" t="s">
        <v>664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813</f>
        <v>813</v>
      </c>
      <c r="L225" s="67" t="s">
        <v>840</v>
      </c>
      <c r="M225" s="66">
        <f>841</f>
        <v>841</v>
      </c>
      <c r="N225" s="67" t="s">
        <v>245</v>
      </c>
      <c r="O225" s="66">
        <f>727</f>
        <v>727</v>
      </c>
      <c r="P225" s="67" t="s">
        <v>90</v>
      </c>
      <c r="Q225" s="66">
        <f>841</f>
        <v>841</v>
      </c>
      <c r="R225" s="67" t="s">
        <v>245</v>
      </c>
      <c r="S225" s="68">
        <f>780.89</f>
        <v>780.89</v>
      </c>
      <c r="T225" s="65">
        <f>737410</f>
        <v>737410</v>
      </c>
      <c r="U225" s="65">
        <f>55230</f>
        <v>55230</v>
      </c>
      <c r="V225" s="65">
        <f>569904585</f>
        <v>569904585</v>
      </c>
      <c r="W225" s="65">
        <f>43257225</f>
        <v>43257225</v>
      </c>
      <c r="X225" s="69">
        <f>18</f>
        <v>18</v>
      </c>
    </row>
    <row r="226" spans="1:24">
      <c r="A226" s="60" t="s">
        <v>842</v>
      </c>
      <c r="B226" s="60" t="s">
        <v>665</v>
      </c>
      <c r="C226" s="60" t="s">
        <v>666</v>
      </c>
      <c r="D226" s="60" t="s">
        <v>667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10</v>
      </c>
      <c r="K226" s="66">
        <f>589</f>
        <v>589</v>
      </c>
      <c r="L226" s="67" t="s">
        <v>840</v>
      </c>
      <c r="M226" s="66">
        <f>754</f>
        <v>754</v>
      </c>
      <c r="N226" s="67" t="s">
        <v>821</v>
      </c>
      <c r="O226" s="66">
        <f>588</f>
        <v>588</v>
      </c>
      <c r="P226" s="67" t="s">
        <v>840</v>
      </c>
      <c r="Q226" s="66">
        <f>746</f>
        <v>746</v>
      </c>
      <c r="R226" s="67" t="s">
        <v>245</v>
      </c>
      <c r="S226" s="68">
        <f>676.33</f>
        <v>676.33</v>
      </c>
      <c r="T226" s="65">
        <f>12382600</f>
        <v>12382600</v>
      </c>
      <c r="U226" s="65">
        <f>6250</f>
        <v>6250</v>
      </c>
      <c r="V226" s="65">
        <f>8361105444</f>
        <v>8361105444</v>
      </c>
      <c r="W226" s="65">
        <f>4257224</f>
        <v>4257224</v>
      </c>
      <c r="X226" s="69">
        <f>18</f>
        <v>18</v>
      </c>
    </row>
    <row r="227" spans="1:24">
      <c r="A227" s="60" t="s">
        <v>842</v>
      </c>
      <c r="B227" s="60" t="s">
        <v>668</v>
      </c>
      <c r="C227" s="60" t="s">
        <v>669</v>
      </c>
      <c r="D227" s="60" t="s">
        <v>670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920</f>
        <v>920</v>
      </c>
      <c r="L227" s="67" t="s">
        <v>840</v>
      </c>
      <c r="M227" s="66">
        <f>988</f>
        <v>988</v>
      </c>
      <c r="N227" s="67" t="s">
        <v>245</v>
      </c>
      <c r="O227" s="66">
        <f>890</f>
        <v>890</v>
      </c>
      <c r="P227" s="67" t="s">
        <v>86</v>
      </c>
      <c r="Q227" s="66">
        <f>988</f>
        <v>988</v>
      </c>
      <c r="R227" s="67" t="s">
        <v>245</v>
      </c>
      <c r="S227" s="68">
        <f>940.11</f>
        <v>940.11</v>
      </c>
      <c r="T227" s="65">
        <f>433890</f>
        <v>433890</v>
      </c>
      <c r="U227" s="65">
        <f>270000</f>
        <v>270000</v>
      </c>
      <c r="V227" s="65">
        <f>398880900</f>
        <v>398880900</v>
      </c>
      <c r="W227" s="65">
        <f>247250500</f>
        <v>247250500</v>
      </c>
      <c r="X227" s="69">
        <f>18</f>
        <v>18</v>
      </c>
    </row>
    <row r="228" spans="1:24">
      <c r="A228" s="60" t="s">
        <v>842</v>
      </c>
      <c r="B228" s="60" t="s">
        <v>671</v>
      </c>
      <c r="C228" s="60" t="s">
        <v>672</v>
      </c>
      <c r="D228" s="60" t="s">
        <v>673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</v>
      </c>
      <c r="K228" s="66">
        <f>844</f>
        <v>844</v>
      </c>
      <c r="L228" s="67" t="s">
        <v>840</v>
      </c>
      <c r="M228" s="66">
        <f>920</f>
        <v>920</v>
      </c>
      <c r="N228" s="67" t="s">
        <v>245</v>
      </c>
      <c r="O228" s="66">
        <f>838</f>
        <v>838</v>
      </c>
      <c r="P228" s="67" t="s">
        <v>100</v>
      </c>
      <c r="Q228" s="66">
        <f>920</f>
        <v>920</v>
      </c>
      <c r="R228" s="67" t="s">
        <v>245</v>
      </c>
      <c r="S228" s="68">
        <f>873.83</f>
        <v>873.83</v>
      </c>
      <c r="T228" s="65">
        <f>125631</f>
        <v>125631</v>
      </c>
      <c r="U228" s="65">
        <f>114000</f>
        <v>114000</v>
      </c>
      <c r="V228" s="65">
        <f>110398505</f>
        <v>110398505</v>
      </c>
      <c r="W228" s="65">
        <f>100228800</f>
        <v>100228800</v>
      </c>
      <c r="X228" s="69">
        <f>18</f>
        <v>18</v>
      </c>
    </row>
    <row r="229" spans="1:24">
      <c r="A229" s="60" t="s">
        <v>842</v>
      </c>
      <c r="B229" s="60" t="s">
        <v>674</v>
      </c>
      <c r="C229" s="60" t="s">
        <v>675</v>
      </c>
      <c r="D229" s="60" t="s">
        <v>676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10</v>
      </c>
      <c r="K229" s="66">
        <f>948</f>
        <v>948</v>
      </c>
      <c r="L229" s="67" t="s">
        <v>840</v>
      </c>
      <c r="M229" s="66">
        <f>1019</f>
        <v>1019</v>
      </c>
      <c r="N229" s="67" t="s">
        <v>245</v>
      </c>
      <c r="O229" s="66">
        <f>935</f>
        <v>935</v>
      </c>
      <c r="P229" s="67" t="s">
        <v>100</v>
      </c>
      <c r="Q229" s="66">
        <f>1003</f>
        <v>1003</v>
      </c>
      <c r="R229" s="67" t="s">
        <v>245</v>
      </c>
      <c r="S229" s="68">
        <f>976.22</f>
        <v>976.22</v>
      </c>
      <c r="T229" s="65">
        <f>40920</f>
        <v>40920</v>
      </c>
      <c r="U229" s="65" t="str">
        <f>"－"</f>
        <v>－</v>
      </c>
      <c r="V229" s="65">
        <f>40000740</f>
        <v>40000740</v>
      </c>
      <c r="W229" s="65" t="str">
        <f>"－"</f>
        <v>－</v>
      </c>
      <c r="X229" s="69">
        <f>18</f>
        <v>18</v>
      </c>
    </row>
    <row r="230" spans="1:24">
      <c r="A230" s="60" t="s">
        <v>842</v>
      </c>
      <c r="B230" s="60" t="s">
        <v>677</v>
      </c>
      <c r="C230" s="60" t="s">
        <v>678</v>
      </c>
      <c r="D230" s="60" t="s">
        <v>679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10</v>
      </c>
      <c r="K230" s="66">
        <f>855</f>
        <v>855</v>
      </c>
      <c r="L230" s="67" t="s">
        <v>840</v>
      </c>
      <c r="M230" s="66">
        <f>900</f>
        <v>900</v>
      </c>
      <c r="N230" s="67" t="s">
        <v>91</v>
      </c>
      <c r="O230" s="66">
        <f>825</f>
        <v>825</v>
      </c>
      <c r="P230" s="67" t="s">
        <v>100</v>
      </c>
      <c r="Q230" s="66">
        <f>892</f>
        <v>892</v>
      </c>
      <c r="R230" s="67" t="s">
        <v>245</v>
      </c>
      <c r="S230" s="68">
        <f>866.61</f>
        <v>866.61</v>
      </c>
      <c r="T230" s="65">
        <f>19710</f>
        <v>19710</v>
      </c>
      <c r="U230" s="65" t="str">
        <f>"－"</f>
        <v>－</v>
      </c>
      <c r="V230" s="65">
        <f>17154200</f>
        <v>17154200</v>
      </c>
      <c r="W230" s="65" t="str">
        <f>"－"</f>
        <v>－</v>
      </c>
      <c r="X230" s="69">
        <f>18</f>
        <v>18</v>
      </c>
    </row>
    <row r="231" spans="1:24">
      <c r="A231" s="60" t="s">
        <v>842</v>
      </c>
      <c r="B231" s="60" t="s">
        <v>680</v>
      </c>
      <c r="C231" s="60" t="s">
        <v>681</v>
      </c>
      <c r="D231" s="60" t="s">
        <v>682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1009</f>
        <v>1009</v>
      </c>
      <c r="L231" s="67" t="s">
        <v>840</v>
      </c>
      <c r="M231" s="66">
        <f>1069</f>
        <v>1069</v>
      </c>
      <c r="N231" s="67" t="s">
        <v>95</v>
      </c>
      <c r="O231" s="66">
        <f>981</f>
        <v>981</v>
      </c>
      <c r="P231" s="67" t="s">
        <v>90</v>
      </c>
      <c r="Q231" s="66">
        <f>1060</f>
        <v>1060</v>
      </c>
      <c r="R231" s="67" t="s">
        <v>245</v>
      </c>
      <c r="S231" s="68">
        <f>1024.72</f>
        <v>1024.72</v>
      </c>
      <c r="T231" s="65">
        <f>6981890</f>
        <v>6981890</v>
      </c>
      <c r="U231" s="65">
        <f>4125060</f>
        <v>4125060</v>
      </c>
      <c r="V231" s="65">
        <f>7174112865</f>
        <v>7174112865</v>
      </c>
      <c r="W231" s="65">
        <f>4244310575</f>
        <v>4244310575</v>
      </c>
      <c r="X231" s="69">
        <f>18</f>
        <v>18</v>
      </c>
    </row>
    <row r="232" spans="1:24">
      <c r="A232" s="60" t="s">
        <v>842</v>
      </c>
      <c r="B232" s="60" t="s">
        <v>683</v>
      </c>
      <c r="C232" s="60" t="s">
        <v>684</v>
      </c>
      <c r="D232" s="60" t="s">
        <v>685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</v>
      </c>
      <c r="K232" s="66">
        <f>2166</f>
        <v>2166</v>
      </c>
      <c r="L232" s="67" t="s">
        <v>840</v>
      </c>
      <c r="M232" s="66">
        <f>2410</f>
        <v>2410</v>
      </c>
      <c r="N232" s="67" t="s">
        <v>95</v>
      </c>
      <c r="O232" s="66">
        <f>2125</f>
        <v>2125</v>
      </c>
      <c r="P232" s="67" t="s">
        <v>100</v>
      </c>
      <c r="Q232" s="66">
        <f>2372</f>
        <v>2372</v>
      </c>
      <c r="R232" s="67" t="s">
        <v>245</v>
      </c>
      <c r="S232" s="68">
        <f>2257.33</f>
        <v>2257.33</v>
      </c>
      <c r="T232" s="65">
        <f>417133</f>
        <v>417133</v>
      </c>
      <c r="U232" s="65">
        <f>377000</f>
        <v>377000</v>
      </c>
      <c r="V232" s="65">
        <f>990597532</f>
        <v>990597532</v>
      </c>
      <c r="W232" s="65">
        <f>900049800</f>
        <v>900049800</v>
      </c>
      <c r="X232" s="69">
        <f>18</f>
        <v>18</v>
      </c>
    </row>
    <row r="233" spans="1:24">
      <c r="A233" s="60" t="s">
        <v>842</v>
      </c>
      <c r="B233" s="60" t="s">
        <v>686</v>
      </c>
      <c r="C233" s="60" t="s">
        <v>687</v>
      </c>
      <c r="D233" s="60" t="s">
        <v>688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10</v>
      </c>
      <c r="K233" s="66">
        <f>1343</f>
        <v>1343</v>
      </c>
      <c r="L233" s="67" t="s">
        <v>840</v>
      </c>
      <c r="M233" s="66">
        <f>1425</f>
        <v>1425</v>
      </c>
      <c r="N233" s="67" t="s">
        <v>95</v>
      </c>
      <c r="O233" s="66">
        <f>1343</f>
        <v>1343</v>
      </c>
      <c r="P233" s="67" t="s">
        <v>840</v>
      </c>
      <c r="Q233" s="66">
        <f>1425</f>
        <v>1425</v>
      </c>
      <c r="R233" s="67" t="s">
        <v>245</v>
      </c>
      <c r="S233" s="68">
        <f>1376.88</f>
        <v>1376.88</v>
      </c>
      <c r="T233" s="65">
        <f>240</f>
        <v>240</v>
      </c>
      <c r="U233" s="65" t="str">
        <f>"－"</f>
        <v>－</v>
      </c>
      <c r="V233" s="65">
        <f>333660</f>
        <v>333660</v>
      </c>
      <c r="W233" s="65" t="str">
        <f>"－"</f>
        <v>－</v>
      </c>
      <c r="X233" s="69">
        <f>8</f>
        <v>8</v>
      </c>
    </row>
    <row r="234" spans="1:24">
      <c r="A234" s="60" t="s">
        <v>842</v>
      </c>
      <c r="B234" s="60" t="s">
        <v>689</v>
      </c>
      <c r="C234" s="60" t="s">
        <v>690</v>
      </c>
      <c r="D234" s="60" t="s">
        <v>691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10</v>
      </c>
      <c r="K234" s="66">
        <f>1498</f>
        <v>1498</v>
      </c>
      <c r="L234" s="67" t="s">
        <v>820</v>
      </c>
      <c r="M234" s="66">
        <f>1597</f>
        <v>1597</v>
      </c>
      <c r="N234" s="67" t="s">
        <v>95</v>
      </c>
      <c r="O234" s="66">
        <f>1467</f>
        <v>1467</v>
      </c>
      <c r="P234" s="67" t="s">
        <v>86</v>
      </c>
      <c r="Q234" s="66">
        <f>1597</f>
        <v>1597</v>
      </c>
      <c r="R234" s="67" t="s">
        <v>95</v>
      </c>
      <c r="S234" s="68">
        <f>1519.82</f>
        <v>1519.82</v>
      </c>
      <c r="T234" s="65">
        <f>240</f>
        <v>240</v>
      </c>
      <c r="U234" s="65" t="str">
        <f>"－"</f>
        <v>－</v>
      </c>
      <c r="V234" s="65">
        <f>364330</f>
        <v>364330</v>
      </c>
      <c r="W234" s="65" t="str">
        <f>"－"</f>
        <v>－</v>
      </c>
      <c r="X234" s="69">
        <f>11</f>
        <v>11</v>
      </c>
    </row>
    <row r="235" spans="1:24">
      <c r="A235" s="60" t="s">
        <v>842</v>
      </c>
      <c r="B235" s="60" t="s">
        <v>692</v>
      </c>
      <c r="C235" s="60" t="s">
        <v>693</v>
      </c>
      <c r="D235" s="60" t="s">
        <v>694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</v>
      </c>
      <c r="K235" s="66">
        <f>20000</f>
        <v>20000</v>
      </c>
      <c r="L235" s="67" t="s">
        <v>840</v>
      </c>
      <c r="M235" s="66">
        <f>22080</f>
        <v>22080</v>
      </c>
      <c r="N235" s="67" t="s">
        <v>95</v>
      </c>
      <c r="O235" s="66">
        <f>19820</f>
        <v>19820</v>
      </c>
      <c r="P235" s="67" t="s">
        <v>100</v>
      </c>
      <c r="Q235" s="66">
        <f>22080</f>
        <v>22080</v>
      </c>
      <c r="R235" s="67" t="s">
        <v>95</v>
      </c>
      <c r="S235" s="68">
        <f>20761.33</f>
        <v>20761.330000000002</v>
      </c>
      <c r="T235" s="65">
        <f>51852</f>
        <v>51852</v>
      </c>
      <c r="U235" s="65">
        <f>45000</f>
        <v>45000</v>
      </c>
      <c r="V235" s="65">
        <f>1117576480</f>
        <v>1117576480</v>
      </c>
      <c r="W235" s="65">
        <f>970641000</f>
        <v>970641000</v>
      </c>
      <c r="X235" s="69">
        <f>15</f>
        <v>15</v>
      </c>
    </row>
    <row r="236" spans="1:24">
      <c r="A236" s="60" t="s">
        <v>842</v>
      </c>
      <c r="B236" s="60" t="s">
        <v>695</v>
      </c>
      <c r="C236" s="60" t="s">
        <v>696</v>
      </c>
      <c r="D236" s="60" t="s">
        <v>697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</v>
      </c>
      <c r="K236" s="66">
        <f>13530</f>
        <v>13530</v>
      </c>
      <c r="L236" s="67" t="s">
        <v>819</v>
      </c>
      <c r="M236" s="66">
        <f>13640</f>
        <v>13640</v>
      </c>
      <c r="N236" s="67" t="s">
        <v>150</v>
      </c>
      <c r="O236" s="66">
        <f>13530</f>
        <v>13530</v>
      </c>
      <c r="P236" s="67" t="s">
        <v>819</v>
      </c>
      <c r="Q236" s="66">
        <f>13640</f>
        <v>13640</v>
      </c>
      <c r="R236" s="67" t="s">
        <v>150</v>
      </c>
      <c r="S236" s="68">
        <f>13590</f>
        <v>13590</v>
      </c>
      <c r="T236" s="65">
        <f>3</f>
        <v>3</v>
      </c>
      <c r="U236" s="65" t="str">
        <f>"－"</f>
        <v>－</v>
      </c>
      <c r="V236" s="65">
        <f>40710</f>
        <v>40710</v>
      </c>
      <c r="W236" s="65" t="str">
        <f>"－"</f>
        <v>－</v>
      </c>
      <c r="X236" s="69">
        <f>2</f>
        <v>2</v>
      </c>
    </row>
    <row r="237" spans="1:24">
      <c r="A237" s="60" t="s">
        <v>842</v>
      </c>
      <c r="B237" s="60" t="s">
        <v>698</v>
      </c>
      <c r="C237" s="60" t="s">
        <v>699</v>
      </c>
      <c r="D237" s="60" t="s">
        <v>700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10</v>
      </c>
      <c r="K237" s="66">
        <f>922</f>
        <v>922</v>
      </c>
      <c r="L237" s="67" t="s">
        <v>840</v>
      </c>
      <c r="M237" s="66">
        <f>1000</f>
        <v>1000</v>
      </c>
      <c r="N237" s="67" t="s">
        <v>245</v>
      </c>
      <c r="O237" s="66">
        <f>909</f>
        <v>909</v>
      </c>
      <c r="P237" s="67" t="s">
        <v>840</v>
      </c>
      <c r="Q237" s="66">
        <f>1000</f>
        <v>1000</v>
      </c>
      <c r="R237" s="67" t="s">
        <v>245</v>
      </c>
      <c r="S237" s="68">
        <f>950.39</f>
        <v>950.39</v>
      </c>
      <c r="T237" s="65">
        <f>350890</f>
        <v>350890</v>
      </c>
      <c r="U237" s="65">
        <f>300000</f>
        <v>300000</v>
      </c>
      <c r="V237" s="65">
        <f>336928610</f>
        <v>336928610</v>
      </c>
      <c r="W237" s="65">
        <f>290128000</f>
        <v>290128000</v>
      </c>
      <c r="X237" s="69">
        <f>18</f>
        <v>18</v>
      </c>
    </row>
    <row r="238" spans="1:24">
      <c r="A238" s="60" t="s">
        <v>842</v>
      </c>
      <c r="B238" s="60" t="s">
        <v>701</v>
      </c>
      <c r="C238" s="60" t="s">
        <v>702</v>
      </c>
      <c r="D238" s="60" t="s">
        <v>703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10</v>
      </c>
      <c r="K238" s="66">
        <f>909</f>
        <v>909</v>
      </c>
      <c r="L238" s="67" t="s">
        <v>840</v>
      </c>
      <c r="M238" s="66">
        <f>993</f>
        <v>993</v>
      </c>
      <c r="N238" s="67" t="s">
        <v>245</v>
      </c>
      <c r="O238" s="66">
        <f>891</f>
        <v>891</v>
      </c>
      <c r="P238" s="67" t="s">
        <v>86</v>
      </c>
      <c r="Q238" s="66">
        <f>993</f>
        <v>993</v>
      </c>
      <c r="R238" s="67" t="s">
        <v>245</v>
      </c>
      <c r="S238" s="68">
        <f>939.33</f>
        <v>939.33</v>
      </c>
      <c r="T238" s="65">
        <f>219500</f>
        <v>219500</v>
      </c>
      <c r="U238" s="65">
        <f>172000</f>
        <v>172000</v>
      </c>
      <c r="V238" s="65">
        <f>201915750</f>
        <v>201915750</v>
      </c>
      <c r="W238" s="65">
        <f>157896000</f>
        <v>157896000</v>
      </c>
      <c r="X238" s="69">
        <f>18</f>
        <v>18</v>
      </c>
    </row>
    <row r="239" spans="1:24">
      <c r="A239" s="60" t="s">
        <v>842</v>
      </c>
      <c r="B239" s="60" t="s">
        <v>704</v>
      </c>
      <c r="C239" s="60" t="s">
        <v>705</v>
      </c>
      <c r="D239" s="60" t="s">
        <v>706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</v>
      </c>
      <c r="K239" s="66">
        <f>830</f>
        <v>830</v>
      </c>
      <c r="L239" s="67" t="s">
        <v>840</v>
      </c>
      <c r="M239" s="66">
        <f>904</f>
        <v>904</v>
      </c>
      <c r="N239" s="67" t="s">
        <v>840</v>
      </c>
      <c r="O239" s="66">
        <f>806</f>
        <v>806</v>
      </c>
      <c r="P239" s="67" t="s">
        <v>100</v>
      </c>
      <c r="Q239" s="66">
        <f>883</f>
        <v>883</v>
      </c>
      <c r="R239" s="67" t="s">
        <v>245</v>
      </c>
      <c r="S239" s="68">
        <f>847.5</f>
        <v>847.5</v>
      </c>
      <c r="T239" s="65">
        <f>25887</f>
        <v>25887</v>
      </c>
      <c r="U239" s="65" t="str">
        <f t="shared" ref="U239:U246" si="13">"－"</f>
        <v>－</v>
      </c>
      <c r="V239" s="65">
        <f>21912642</f>
        <v>21912642</v>
      </c>
      <c r="W239" s="65" t="str">
        <f t="shared" ref="W239:W246" si="14">"－"</f>
        <v>－</v>
      </c>
      <c r="X239" s="69">
        <f>18</f>
        <v>18</v>
      </c>
    </row>
    <row r="240" spans="1:24">
      <c r="A240" s="60" t="s">
        <v>842</v>
      </c>
      <c r="B240" s="60" t="s">
        <v>707</v>
      </c>
      <c r="C240" s="60" t="s">
        <v>708</v>
      </c>
      <c r="D240" s="60" t="s">
        <v>709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</v>
      </c>
      <c r="K240" s="66">
        <f>9830</f>
        <v>9830</v>
      </c>
      <c r="L240" s="67" t="s">
        <v>840</v>
      </c>
      <c r="M240" s="66">
        <f>10040</f>
        <v>10040</v>
      </c>
      <c r="N240" s="67" t="s">
        <v>815</v>
      </c>
      <c r="O240" s="66">
        <f>9250</f>
        <v>9250</v>
      </c>
      <c r="P240" s="67" t="s">
        <v>821</v>
      </c>
      <c r="Q240" s="66">
        <f>9700</f>
        <v>9700</v>
      </c>
      <c r="R240" s="67" t="s">
        <v>245</v>
      </c>
      <c r="S240" s="68">
        <f>9837.78</f>
        <v>9837.7800000000007</v>
      </c>
      <c r="T240" s="65">
        <f>989</f>
        <v>989</v>
      </c>
      <c r="U240" s="65" t="str">
        <f t="shared" si="13"/>
        <v>－</v>
      </c>
      <c r="V240" s="65">
        <f>9681290</f>
        <v>9681290</v>
      </c>
      <c r="W240" s="65" t="str">
        <f t="shared" si="14"/>
        <v>－</v>
      </c>
      <c r="X240" s="69">
        <f>18</f>
        <v>18</v>
      </c>
    </row>
    <row r="241" spans="1:24">
      <c r="A241" s="60" t="s">
        <v>842</v>
      </c>
      <c r="B241" s="60" t="s">
        <v>710</v>
      </c>
      <c r="C241" s="60" t="s">
        <v>711</v>
      </c>
      <c r="D241" s="60" t="s">
        <v>712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</v>
      </c>
      <c r="K241" s="66">
        <f>1671</f>
        <v>1671</v>
      </c>
      <c r="L241" s="67" t="s">
        <v>840</v>
      </c>
      <c r="M241" s="66">
        <f>1943</f>
        <v>1943</v>
      </c>
      <c r="N241" s="67" t="s">
        <v>816</v>
      </c>
      <c r="O241" s="66">
        <f>1652</f>
        <v>1652</v>
      </c>
      <c r="P241" s="67" t="s">
        <v>86</v>
      </c>
      <c r="Q241" s="66">
        <f>1838</f>
        <v>1838</v>
      </c>
      <c r="R241" s="67" t="s">
        <v>245</v>
      </c>
      <c r="S241" s="68">
        <f>1741.67</f>
        <v>1741.67</v>
      </c>
      <c r="T241" s="65">
        <f>8353</f>
        <v>8353</v>
      </c>
      <c r="U241" s="65" t="str">
        <f t="shared" si="13"/>
        <v>－</v>
      </c>
      <c r="V241" s="65">
        <f>14658667</f>
        <v>14658667</v>
      </c>
      <c r="W241" s="65" t="str">
        <f t="shared" si="14"/>
        <v>－</v>
      </c>
      <c r="X241" s="69">
        <f>18</f>
        <v>18</v>
      </c>
    </row>
    <row r="242" spans="1:24">
      <c r="A242" s="60" t="s">
        <v>842</v>
      </c>
      <c r="B242" s="60" t="s">
        <v>713</v>
      </c>
      <c r="C242" s="60" t="s">
        <v>714</v>
      </c>
      <c r="D242" s="60" t="s">
        <v>715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10</v>
      </c>
      <c r="K242" s="66">
        <f>1046</f>
        <v>1046</v>
      </c>
      <c r="L242" s="67" t="s">
        <v>840</v>
      </c>
      <c r="M242" s="66">
        <f>1083</f>
        <v>1083</v>
      </c>
      <c r="N242" s="67" t="s">
        <v>150</v>
      </c>
      <c r="O242" s="66">
        <f>1016</f>
        <v>1016</v>
      </c>
      <c r="P242" s="67" t="s">
        <v>820</v>
      </c>
      <c r="Q242" s="66">
        <f>1082</f>
        <v>1082</v>
      </c>
      <c r="R242" s="67" t="s">
        <v>821</v>
      </c>
      <c r="S242" s="68">
        <f>1050.83</f>
        <v>1050.83</v>
      </c>
      <c r="T242" s="65">
        <f>160</f>
        <v>160</v>
      </c>
      <c r="U242" s="65" t="str">
        <f t="shared" si="13"/>
        <v>－</v>
      </c>
      <c r="V242" s="65">
        <f>170680</f>
        <v>170680</v>
      </c>
      <c r="W242" s="65" t="str">
        <f t="shared" si="14"/>
        <v>－</v>
      </c>
      <c r="X242" s="69">
        <f>6</f>
        <v>6</v>
      </c>
    </row>
    <row r="243" spans="1:24">
      <c r="A243" s="60" t="s">
        <v>842</v>
      </c>
      <c r="B243" s="60" t="s">
        <v>716</v>
      </c>
      <c r="C243" s="60" t="s">
        <v>717</v>
      </c>
      <c r="D243" s="60" t="s">
        <v>718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f>1000</f>
        <v>1000</v>
      </c>
      <c r="L243" s="67" t="s">
        <v>840</v>
      </c>
      <c r="M243" s="66">
        <f>1035</f>
        <v>1035</v>
      </c>
      <c r="N243" s="67" t="s">
        <v>100</v>
      </c>
      <c r="O243" s="66">
        <f>993</f>
        <v>993</v>
      </c>
      <c r="P243" s="67" t="s">
        <v>65</v>
      </c>
      <c r="Q243" s="66">
        <f>1009</f>
        <v>1009</v>
      </c>
      <c r="R243" s="67" t="s">
        <v>245</v>
      </c>
      <c r="S243" s="68">
        <f>1003.13</f>
        <v>1003.13</v>
      </c>
      <c r="T243" s="65">
        <f>6940</f>
        <v>6940</v>
      </c>
      <c r="U243" s="65" t="str">
        <f t="shared" si="13"/>
        <v>－</v>
      </c>
      <c r="V243" s="65">
        <f>6991220</f>
        <v>6991220</v>
      </c>
      <c r="W243" s="65" t="str">
        <f t="shared" si="14"/>
        <v>－</v>
      </c>
      <c r="X243" s="69">
        <f>16</f>
        <v>16</v>
      </c>
    </row>
    <row r="244" spans="1:24">
      <c r="A244" s="60" t="s">
        <v>842</v>
      </c>
      <c r="B244" s="60" t="s">
        <v>719</v>
      </c>
      <c r="C244" s="60" t="s">
        <v>720</v>
      </c>
      <c r="D244" s="60" t="s">
        <v>721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1590</f>
        <v>1590</v>
      </c>
      <c r="L244" s="67" t="s">
        <v>840</v>
      </c>
      <c r="M244" s="66">
        <f>1749</f>
        <v>1749</v>
      </c>
      <c r="N244" s="67" t="s">
        <v>245</v>
      </c>
      <c r="O244" s="66">
        <f>1579</f>
        <v>1579</v>
      </c>
      <c r="P244" s="67" t="s">
        <v>86</v>
      </c>
      <c r="Q244" s="66">
        <f>1749</f>
        <v>1749</v>
      </c>
      <c r="R244" s="67" t="s">
        <v>245</v>
      </c>
      <c r="S244" s="68">
        <f>1640.11</f>
        <v>1640.11</v>
      </c>
      <c r="T244" s="65">
        <f>25110</f>
        <v>25110</v>
      </c>
      <c r="U244" s="65" t="str">
        <f t="shared" si="13"/>
        <v>－</v>
      </c>
      <c r="V244" s="65">
        <f>41509940</f>
        <v>41509940</v>
      </c>
      <c r="W244" s="65" t="str">
        <f t="shared" si="14"/>
        <v>－</v>
      </c>
      <c r="X244" s="69">
        <f>18</f>
        <v>18</v>
      </c>
    </row>
    <row r="245" spans="1:24">
      <c r="A245" s="60" t="s">
        <v>842</v>
      </c>
      <c r="B245" s="60" t="s">
        <v>722</v>
      </c>
      <c r="C245" s="60" t="s">
        <v>723</v>
      </c>
      <c r="D245" s="60" t="s">
        <v>724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10</v>
      </c>
      <c r="K245" s="66">
        <f>1595</f>
        <v>1595</v>
      </c>
      <c r="L245" s="67" t="s">
        <v>840</v>
      </c>
      <c r="M245" s="66">
        <f>1725</f>
        <v>1725</v>
      </c>
      <c r="N245" s="67" t="s">
        <v>245</v>
      </c>
      <c r="O245" s="66">
        <f>1563</f>
        <v>1563</v>
      </c>
      <c r="P245" s="67" t="s">
        <v>86</v>
      </c>
      <c r="Q245" s="66">
        <f>1725</f>
        <v>1725</v>
      </c>
      <c r="R245" s="67" t="s">
        <v>245</v>
      </c>
      <c r="S245" s="68">
        <f>1635.65</f>
        <v>1635.65</v>
      </c>
      <c r="T245" s="65">
        <f>4190</f>
        <v>4190</v>
      </c>
      <c r="U245" s="65" t="str">
        <f t="shared" si="13"/>
        <v>－</v>
      </c>
      <c r="V245" s="65">
        <f>6921150</f>
        <v>6921150</v>
      </c>
      <c r="W245" s="65" t="str">
        <f t="shared" si="14"/>
        <v>－</v>
      </c>
      <c r="X245" s="69">
        <f>17</f>
        <v>17</v>
      </c>
    </row>
    <row r="246" spans="1:24">
      <c r="A246" s="60" t="s">
        <v>842</v>
      </c>
      <c r="B246" s="60" t="s">
        <v>725</v>
      </c>
      <c r="C246" s="60" t="s">
        <v>726</v>
      </c>
      <c r="D246" s="60" t="s">
        <v>727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10</v>
      </c>
      <c r="K246" s="66">
        <f>1430</f>
        <v>1430</v>
      </c>
      <c r="L246" s="67" t="s">
        <v>840</v>
      </c>
      <c r="M246" s="66">
        <f>1577</f>
        <v>1577</v>
      </c>
      <c r="N246" s="67" t="s">
        <v>95</v>
      </c>
      <c r="O246" s="66">
        <f>1425</f>
        <v>1425</v>
      </c>
      <c r="P246" s="67" t="s">
        <v>100</v>
      </c>
      <c r="Q246" s="66">
        <f>1577</f>
        <v>1577</v>
      </c>
      <c r="R246" s="67" t="s">
        <v>95</v>
      </c>
      <c r="S246" s="68">
        <f>1490.56</f>
        <v>1490.56</v>
      </c>
      <c r="T246" s="65">
        <f>720</f>
        <v>720</v>
      </c>
      <c r="U246" s="65" t="str">
        <f t="shared" si="13"/>
        <v>－</v>
      </c>
      <c r="V246" s="65">
        <f>1057920</f>
        <v>1057920</v>
      </c>
      <c r="W246" s="65" t="str">
        <f t="shared" si="14"/>
        <v>－</v>
      </c>
      <c r="X246" s="69">
        <f>9</f>
        <v>9</v>
      </c>
    </row>
    <row r="247" spans="1:24">
      <c r="A247" s="60" t="s">
        <v>842</v>
      </c>
      <c r="B247" s="60" t="s">
        <v>728</v>
      </c>
      <c r="C247" s="60" t="s">
        <v>729</v>
      </c>
      <c r="D247" s="60" t="s">
        <v>730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</v>
      </c>
      <c r="K247" s="66">
        <f>8850</f>
        <v>8850</v>
      </c>
      <c r="L247" s="67" t="s">
        <v>840</v>
      </c>
      <c r="M247" s="66">
        <f>9420</f>
        <v>9420</v>
      </c>
      <c r="N247" s="67" t="s">
        <v>95</v>
      </c>
      <c r="O247" s="66">
        <f>8560</f>
        <v>8560</v>
      </c>
      <c r="P247" s="67" t="s">
        <v>90</v>
      </c>
      <c r="Q247" s="66">
        <f>9280</f>
        <v>9280</v>
      </c>
      <c r="R247" s="67" t="s">
        <v>245</v>
      </c>
      <c r="S247" s="68">
        <f>8984.44</f>
        <v>8984.44</v>
      </c>
      <c r="T247" s="65">
        <f>150780</f>
        <v>150780</v>
      </c>
      <c r="U247" s="65">
        <f>66524</f>
        <v>66524</v>
      </c>
      <c r="V247" s="65">
        <f>1370393090</f>
        <v>1370393090</v>
      </c>
      <c r="W247" s="65">
        <f>612007860</f>
        <v>612007860</v>
      </c>
      <c r="X247" s="69">
        <f>18</f>
        <v>18</v>
      </c>
    </row>
    <row r="248" spans="1:24">
      <c r="A248" s="60" t="s">
        <v>842</v>
      </c>
      <c r="B248" s="60" t="s">
        <v>734</v>
      </c>
      <c r="C248" s="60" t="s">
        <v>735</v>
      </c>
      <c r="D248" s="60" t="s">
        <v>736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</v>
      </c>
      <c r="K248" s="66">
        <f>8530</f>
        <v>8530</v>
      </c>
      <c r="L248" s="67" t="s">
        <v>840</v>
      </c>
      <c r="M248" s="66">
        <f>9150</f>
        <v>9150</v>
      </c>
      <c r="N248" s="67" t="s">
        <v>245</v>
      </c>
      <c r="O248" s="66">
        <f>8320</f>
        <v>8320</v>
      </c>
      <c r="P248" s="67" t="s">
        <v>100</v>
      </c>
      <c r="Q248" s="66">
        <f>8950</f>
        <v>8950</v>
      </c>
      <c r="R248" s="67" t="s">
        <v>245</v>
      </c>
      <c r="S248" s="68">
        <f>8705.56</f>
        <v>8705.56</v>
      </c>
      <c r="T248" s="65">
        <f>45227</f>
        <v>45227</v>
      </c>
      <c r="U248" s="65">
        <f>11227</f>
        <v>11227</v>
      </c>
      <c r="V248" s="65">
        <f>397060310</f>
        <v>397060310</v>
      </c>
      <c r="W248" s="65">
        <f>101490340</f>
        <v>101490340</v>
      </c>
      <c r="X248" s="69">
        <f>18</f>
        <v>18</v>
      </c>
    </row>
    <row r="249" spans="1:24">
      <c r="A249" s="60" t="s">
        <v>842</v>
      </c>
      <c r="B249" s="60" t="s">
        <v>824</v>
      </c>
      <c r="C249" s="60" t="s">
        <v>825</v>
      </c>
      <c r="D249" s="60" t="s">
        <v>826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</v>
      </c>
      <c r="K249" s="66">
        <f>19350</f>
        <v>19350</v>
      </c>
      <c r="L249" s="67" t="s">
        <v>822</v>
      </c>
      <c r="M249" s="66">
        <f>20800</f>
        <v>20800</v>
      </c>
      <c r="N249" s="67" t="s">
        <v>95</v>
      </c>
      <c r="O249" s="66">
        <f>19350</f>
        <v>19350</v>
      </c>
      <c r="P249" s="67" t="s">
        <v>822</v>
      </c>
      <c r="Q249" s="66">
        <f>20630</f>
        <v>20630</v>
      </c>
      <c r="R249" s="67" t="s">
        <v>95</v>
      </c>
      <c r="S249" s="68">
        <f>19990</f>
        <v>19990</v>
      </c>
      <c r="T249" s="65">
        <f>16</f>
        <v>16</v>
      </c>
      <c r="U249" s="65" t="str">
        <f>"－"</f>
        <v>－</v>
      </c>
      <c r="V249" s="65">
        <f>328330</f>
        <v>328330</v>
      </c>
      <c r="W249" s="65" t="str">
        <f>"－"</f>
        <v>－</v>
      </c>
      <c r="X249" s="69">
        <f>2</f>
        <v>2</v>
      </c>
    </row>
    <row r="250" spans="1:24">
      <c r="A250" s="60" t="s">
        <v>842</v>
      </c>
      <c r="B250" s="60" t="s">
        <v>828</v>
      </c>
      <c r="C250" s="60" t="s">
        <v>829</v>
      </c>
      <c r="D250" s="60" t="s">
        <v>830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2776</f>
        <v>2776</v>
      </c>
      <c r="L250" s="67" t="s">
        <v>840</v>
      </c>
      <c r="M250" s="66">
        <f>2777</f>
        <v>2777</v>
      </c>
      <c r="N250" s="67" t="s">
        <v>840</v>
      </c>
      <c r="O250" s="66">
        <f>2744</f>
        <v>2744</v>
      </c>
      <c r="P250" s="67" t="s">
        <v>819</v>
      </c>
      <c r="Q250" s="66">
        <f>2758</f>
        <v>2758</v>
      </c>
      <c r="R250" s="67" t="s">
        <v>245</v>
      </c>
      <c r="S250" s="68">
        <f>2761.72</f>
        <v>2761.72</v>
      </c>
      <c r="T250" s="65">
        <f>47686</f>
        <v>47686</v>
      </c>
      <c r="U250" s="65" t="str">
        <f>"－"</f>
        <v>－</v>
      </c>
      <c r="V250" s="65">
        <f>131759052</f>
        <v>131759052</v>
      </c>
      <c r="W250" s="65" t="str">
        <f>"－"</f>
        <v>－</v>
      </c>
      <c r="X250" s="69">
        <f>18</f>
        <v>18</v>
      </c>
    </row>
    <row r="251" spans="1:24">
      <c r="A251" s="60" t="s">
        <v>842</v>
      </c>
      <c r="B251" s="60" t="s">
        <v>835</v>
      </c>
      <c r="C251" s="60" t="s">
        <v>836</v>
      </c>
      <c r="D251" s="60" t="s">
        <v>837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10</v>
      </c>
      <c r="K251" s="66">
        <f>2085</f>
        <v>2085</v>
      </c>
      <c r="L251" s="67" t="s">
        <v>840</v>
      </c>
      <c r="M251" s="66">
        <f>2225</f>
        <v>2225</v>
      </c>
      <c r="N251" s="67" t="s">
        <v>95</v>
      </c>
      <c r="O251" s="66">
        <f>1999</f>
        <v>1999</v>
      </c>
      <c r="P251" s="67" t="s">
        <v>90</v>
      </c>
      <c r="Q251" s="66">
        <f>2191</f>
        <v>2191</v>
      </c>
      <c r="R251" s="67" t="s">
        <v>245</v>
      </c>
      <c r="S251" s="68">
        <f>2101.22</f>
        <v>2101.2199999999998</v>
      </c>
      <c r="T251" s="65">
        <f>12400</f>
        <v>12400</v>
      </c>
      <c r="U251" s="65" t="str">
        <f>"－"</f>
        <v>－</v>
      </c>
      <c r="V251" s="65">
        <f>26000260</f>
        <v>26000260</v>
      </c>
      <c r="W251" s="65" t="str">
        <f>"－"</f>
        <v>－</v>
      </c>
      <c r="X251" s="69">
        <f>18</f>
        <v>18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217AB-008B-49E7-AC25-16D6724440B4}">
  <sheetPr>
    <pageSetUpPr fitToPage="1"/>
  </sheetPr>
  <dimension ref="A1:X251"/>
  <sheetViews>
    <sheetView showGridLines="0" view="pageBreakPreview" zoomScaleNormal="70" zoomScaleSheetLayoutView="100" workbookViewId="0"/>
  </sheetViews>
  <sheetFormatPr defaultRowHeight="13.5"/>
  <cols>
    <col min="1" max="1" width="13.125" style="1" bestFit="1" customWidth="1"/>
    <col min="2" max="2" width="10.75" style="1" bestFit="1" customWidth="1"/>
    <col min="3" max="4" width="27.625" style="1" customWidth="1"/>
    <col min="5" max="5" width="13.75" style="1" bestFit="1" customWidth="1"/>
    <col min="6" max="6" width="20.75" style="1" bestFit="1" customWidth="1"/>
    <col min="7" max="7" width="11.25" style="1" customWidth="1"/>
    <col min="8" max="8" width="8.75" style="1" bestFit="1" customWidth="1"/>
    <col min="9" max="9" width="11.75" style="1" bestFit="1" customWidth="1"/>
    <col min="10" max="10" width="12.625" style="1" bestFit="1" customWidth="1"/>
    <col min="11" max="11" width="16.25" style="1" customWidth="1"/>
    <col min="12" max="12" width="5.625" style="1" bestFit="1" customWidth="1"/>
    <col min="13" max="13" width="16.25" style="1" customWidth="1"/>
    <col min="14" max="14" width="5.625" style="1" bestFit="1" customWidth="1"/>
    <col min="15" max="15" width="16.25" style="1" customWidth="1"/>
    <col min="16" max="16" width="5.625" style="1" bestFit="1" customWidth="1"/>
    <col min="17" max="17" width="16.25" style="1" customWidth="1"/>
    <col min="18" max="18" width="5.625" style="1" bestFit="1" customWidth="1"/>
    <col min="19" max="19" width="23.875" style="1" bestFit="1" customWidth="1"/>
    <col min="20" max="20" width="16.25" style="1" customWidth="1"/>
    <col min="21" max="21" width="24.125" style="1" customWidth="1"/>
    <col min="22" max="22" width="19.875" style="1" bestFit="1" customWidth="1"/>
    <col min="23" max="23" width="25" style="1" bestFit="1" customWidth="1"/>
    <col min="24" max="24" width="13.12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839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1475</f>
        <v>1475</v>
      </c>
      <c r="L7" s="67" t="s">
        <v>840</v>
      </c>
      <c r="M7" s="66">
        <f>1577</f>
        <v>1577</v>
      </c>
      <c r="N7" s="67" t="s">
        <v>50</v>
      </c>
      <c r="O7" s="66">
        <f>1398</f>
        <v>1398</v>
      </c>
      <c r="P7" s="67" t="s">
        <v>814</v>
      </c>
      <c r="Q7" s="66">
        <f>1556</f>
        <v>1556</v>
      </c>
      <c r="R7" s="67" t="s">
        <v>50</v>
      </c>
      <c r="S7" s="68">
        <f>1501.67</f>
        <v>1501.67</v>
      </c>
      <c r="T7" s="65">
        <f>3910900</f>
        <v>3910900</v>
      </c>
      <c r="U7" s="65">
        <f>789750</f>
        <v>789750</v>
      </c>
      <c r="V7" s="65">
        <f>5821988595</f>
        <v>5821988595</v>
      </c>
      <c r="W7" s="65">
        <f>1195661065</f>
        <v>1195661065</v>
      </c>
      <c r="X7" s="69">
        <f>21</f>
        <v>21</v>
      </c>
    </row>
    <row r="8" spans="1:24">
      <c r="A8" s="60" t="s">
        <v>839</v>
      </c>
      <c r="B8" s="60" t="s">
        <v>52</v>
      </c>
      <c r="C8" s="60" t="s">
        <v>53</v>
      </c>
      <c r="D8" s="60" t="s">
        <v>54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1455</f>
        <v>1455</v>
      </c>
      <c r="L8" s="67" t="s">
        <v>840</v>
      </c>
      <c r="M8" s="66">
        <f>1556</f>
        <v>1556</v>
      </c>
      <c r="N8" s="67" t="s">
        <v>50</v>
      </c>
      <c r="O8" s="66">
        <f>1380</f>
        <v>1380</v>
      </c>
      <c r="P8" s="67" t="s">
        <v>814</v>
      </c>
      <c r="Q8" s="66">
        <f>1533</f>
        <v>1533</v>
      </c>
      <c r="R8" s="67" t="s">
        <v>50</v>
      </c>
      <c r="S8" s="68">
        <f>1482.62</f>
        <v>1482.62</v>
      </c>
      <c r="T8" s="65">
        <f>65407580</f>
        <v>65407580</v>
      </c>
      <c r="U8" s="65">
        <f>7783080</f>
        <v>7783080</v>
      </c>
      <c r="V8" s="65">
        <f>96748120021</f>
        <v>96748120021</v>
      </c>
      <c r="W8" s="65">
        <f>11605647931</f>
        <v>11605647931</v>
      </c>
      <c r="X8" s="69">
        <f>21</f>
        <v>21</v>
      </c>
    </row>
    <row r="9" spans="1:24">
      <c r="A9" s="60" t="s">
        <v>839</v>
      </c>
      <c r="B9" s="60" t="s">
        <v>55</v>
      </c>
      <c r="C9" s="60" t="s">
        <v>56</v>
      </c>
      <c r="D9" s="60" t="s">
        <v>57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1439</f>
        <v>1439</v>
      </c>
      <c r="L9" s="67" t="s">
        <v>840</v>
      </c>
      <c r="M9" s="66">
        <f>1537</f>
        <v>1537</v>
      </c>
      <c r="N9" s="67" t="s">
        <v>50</v>
      </c>
      <c r="O9" s="66">
        <f>1365</f>
        <v>1365</v>
      </c>
      <c r="P9" s="67" t="s">
        <v>814</v>
      </c>
      <c r="Q9" s="66">
        <f>1520</f>
        <v>1520</v>
      </c>
      <c r="R9" s="67" t="s">
        <v>50</v>
      </c>
      <c r="S9" s="68">
        <f>1466.24</f>
        <v>1466.24</v>
      </c>
      <c r="T9" s="65">
        <f>5154500</f>
        <v>5154500</v>
      </c>
      <c r="U9" s="65">
        <f>600</f>
        <v>600</v>
      </c>
      <c r="V9" s="65">
        <f>7589074550</f>
        <v>7589074550</v>
      </c>
      <c r="W9" s="65">
        <f>878350</f>
        <v>878350</v>
      </c>
      <c r="X9" s="69">
        <f>21</f>
        <v>21</v>
      </c>
    </row>
    <row r="10" spans="1:24">
      <c r="A10" s="60" t="s">
        <v>839</v>
      </c>
      <c r="B10" s="60" t="s">
        <v>58</v>
      </c>
      <c r="C10" s="60" t="s">
        <v>59</v>
      </c>
      <c r="D10" s="60" t="s">
        <v>60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31000</f>
        <v>31000</v>
      </c>
      <c r="L10" s="67" t="s">
        <v>840</v>
      </c>
      <c r="M10" s="66">
        <f>32600</f>
        <v>32600</v>
      </c>
      <c r="N10" s="67" t="s">
        <v>820</v>
      </c>
      <c r="O10" s="66">
        <f>30100</f>
        <v>30100</v>
      </c>
      <c r="P10" s="67" t="s">
        <v>833</v>
      </c>
      <c r="Q10" s="66">
        <f>31800</f>
        <v>31800</v>
      </c>
      <c r="R10" s="67" t="s">
        <v>50</v>
      </c>
      <c r="S10" s="68">
        <f>31547.62</f>
        <v>31547.62</v>
      </c>
      <c r="T10" s="65">
        <f>6449</f>
        <v>6449</v>
      </c>
      <c r="U10" s="65">
        <f>7</f>
        <v>7</v>
      </c>
      <c r="V10" s="65">
        <f>203728500</f>
        <v>203728500</v>
      </c>
      <c r="W10" s="65">
        <f>219700</f>
        <v>219700</v>
      </c>
      <c r="X10" s="69">
        <f>21</f>
        <v>21</v>
      </c>
    </row>
    <row r="11" spans="1:24">
      <c r="A11" s="60" t="s">
        <v>839</v>
      </c>
      <c r="B11" s="60" t="s">
        <v>62</v>
      </c>
      <c r="C11" s="60" t="s">
        <v>63</v>
      </c>
      <c r="D11" s="60" t="s">
        <v>64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611</f>
        <v>611</v>
      </c>
      <c r="L11" s="67" t="s">
        <v>840</v>
      </c>
      <c r="M11" s="66">
        <f>670</f>
        <v>670</v>
      </c>
      <c r="N11" s="67" t="s">
        <v>86</v>
      </c>
      <c r="O11" s="66">
        <f>600</f>
        <v>600</v>
      </c>
      <c r="P11" s="67" t="s">
        <v>833</v>
      </c>
      <c r="Q11" s="66">
        <f>664</f>
        <v>664</v>
      </c>
      <c r="R11" s="67" t="s">
        <v>50</v>
      </c>
      <c r="S11" s="68">
        <f>644.52</f>
        <v>644.52</v>
      </c>
      <c r="T11" s="65">
        <f>83390</f>
        <v>83390</v>
      </c>
      <c r="U11" s="65" t="str">
        <f>"－"</f>
        <v>－</v>
      </c>
      <c r="V11" s="65">
        <f>53678820</f>
        <v>53678820</v>
      </c>
      <c r="W11" s="65" t="str">
        <f>"－"</f>
        <v>－</v>
      </c>
      <c r="X11" s="69">
        <f>21</f>
        <v>21</v>
      </c>
    </row>
    <row r="12" spans="1:24">
      <c r="A12" s="60" t="s">
        <v>839</v>
      </c>
      <c r="B12" s="60" t="s">
        <v>66</v>
      </c>
      <c r="C12" s="60" t="s">
        <v>67</v>
      </c>
      <c r="D12" s="60" t="s">
        <v>68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16550</f>
        <v>16550</v>
      </c>
      <c r="L12" s="67" t="s">
        <v>840</v>
      </c>
      <c r="M12" s="66">
        <f>17140</f>
        <v>17140</v>
      </c>
      <c r="N12" s="67" t="s">
        <v>79</v>
      </c>
      <c r="O12" s="66">
        <f>14840</f>
        <v>14840</v>
      </c>
      <c r="P12" s="67" t="s">
        <v>814</v>
      </c>
      <c r="Q12" s="66">
        <f>16850</f>
        <v>16850</v>
      </c>
      <c r="R12" s="67" t="s">
        <v>50</v>
      </c>
      <c r="S12" s="68">
        <f>16093.33</f>
        <v>16093.33</v>
      </c>
      <c r="T12" s="65">
        <f>2467</f>
        <v>2467</v>
      </c>
      <c r="U12" s="65" t="str">
        <f>"－"</f>
        <v>－</v>
      </c>
      <c r="V12" s="65">
        <f>38880030</f>
        <v>38880030</v>
      </c>
      <c r="W12" s="65" t="str">
        <f>"－"</f>
        <v>－</v>
      </c>
      <c r="X12" s="69">
        <f>21</f>
        <v>21</v>
      </c>
    </row>
    <row r="13" spans="1:24">
      <c r="A13" s="60" t="s">
        <v>839</v>
      </c>
      <c r="B13" s="60" t="s">
        <v>69</v>
      </c>
      <c r="C13" s="60" t="s">
        <v>70</v>
      </c>
      <c r="D13" s="60" t="s">
        <v>71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2140</f>
        <v>2140</v>
      </c>
      <c r="L13" s="67" t="s">
        <v>840</v>
      </c>
      <c r="M13" s="66">
        <f>2348</f>
        <v>2348</v>
      </c>
      <c r="N13" s="67" t="s">
        <v>150</v>
      </c>
      <c r="O13" s="66">
        <f>1988</f>
        <v>1988</v>
      </c>
      <c r="P13" s="67" t="s">
        <v>833</v>
      </c>
      <c r="Q13" s="66">
        <f>2300</f>
        <v>2300</v>
      </c>
      <c r="R13" s="67" t="s">
        <v>50</v>
      </c>
      <c r="S13" s="68">
        <f>2207.4</f>
        <v>2207.4</v>
      </c>
      <c r="T13" s="65">
        <f>6800</f>
        <v>6800</v>
      </c>
      <c r="U13" s="65" t="str">
        <f>"－"</f>
        <v>－</v>
      </c>
      <c r="V13" s="65">
        <f>15172950</f>
        <v>15172950</v>
      </c>
      <c r="W13" s="65" t="str">
        <f>"－"</f>
        <v>－</v>
      </c>
      <c r="X13" s="69">
        <f>20</f>
        <v>20</v>
      </c>
    </row>
    <row r="14" spans="1:24">
      <c r="A14" s="60" t="s">
        <v>839</v>
      </c>
      <c r="B14" s="60" t="s">
        <v>73</v>
      </c>
      <c r="C14" s="60" t="s">
        <v>74</v>
      </c>
      <c r="D14" s="60" t="s">
        <v>75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299</f>
        <v>299</v>
      </c>
      <c r="L14" s="67" t="s">
        <v>840</v>
      </c>
      <c r="M14" s="66">
        <f>300</f>
        <v>300</v>
      </c>
      <c r="N14" s="67" t="s">
        <v>50</v>
      </c>
      <c r="O14" s="66">
        <f>278</f>
        <v>278</v>
      </c>
      <c r="P14" s="67" t="s">
        <v>814</v>
      </c>
      <c r="Q14" s="66">
        <f>300</f>
        <v>300</v>
      </c>
      <c r="R14" s="67" t="s">
        <v>50</v>
      </c>
      <c r="S14" s="68">
        <f>291.5</f>
        <v>291.5</v>
      </c>
      <c r="T14" s="65">
        <f>50000</f>
        <v>50000</v>
      </c>
      <c r="U14" s="65" t="str">
        <f>"－"</f>
        <v>－</v>
      </c>
      <c r="V14" s="65">
        <f>14494000</f>
        <v>14494000</v>
      </c>
      <c r="W14" s="65" t="str">
        <f>"－"</f>
        <v>－</v>
      </c>
      <c r="X14" s="69">
        <f>16</f>
        <v>16</v>
      </c>
    </row>
    <row r="15" spans="1:24">
      <c r="A15" s="60" t="s">
        <v>839</v>
      </c>
      <c r="B15" s="60" t="s">
        <v>76</v>
      </c>
      <c r="C15" s="60" t="s">
        <v>77</v>
      </c>
      <c r="D15" s="60" t="s">
        <v>78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19320</f>
        <v>19320</v>
      </c>
      <c r="L15" s="67" t="s">
        <v>840</v>
      </c>
      <c r="M15" s="66">
        <f>21150</f>
        <v>21150</v>
      </c>
      <c r="N15" s="67" t="s">
        <v>50</v>
      </c>
      <c r="O15" s="66">
        <f>18320</f>
        <v>18320</v>
      </c>
      <c r="P15" s="67" t="s">
        <v>814</v>
      </c>
      <c r="Q15" s="66">
        <f>20990</f>
        <v>20990</v>
      </c>
      <c r="R15" s="67" t="s">
        <v>50</v>
      </c>
      <c r="S15" s="68">
        <f>19937.14</f>
        <v>19937.14</v>
      </c>
      <c r="T15" s="65">
        <f>2094341</f>
        <v>2094341</v>
      </c>
      <c r="U15" s="65">
        <f>94260</f>
        <v>94260</v>
      </c>
      <c r="V15" s="65">
        <f>41754443553</f>
        <v>41754443553</v>
      </c>
      <c r="W15" s="65">
        <f>1852901273</f>
        <v>1852901273</v>
      </c>
      <c r="X15" s="69">
        <f>21</f>
        <v>21</v>
      </c>
    </row>
    <row r="16" spans="1:24">
      <c r="A16" s="60" t="s">
        <v>839</v>
      </c>
      <c r="B16" s="60" t="s">
        <v>80</v>
      </c>
      <c r="C16" s="60" t="s">
        <v>81</v>
      </c>
      <c r="D16" s="60" t="s">
        <v>82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19360</f>
        <v>19360</v>
      </c>
      <c r="L16" s="67" t="s">
        <v>840</v>
      </c>
      <c r="M16" s="66">
        <f>21190</f>
        <v>21190</v>
      </c>
      <c r="N16" s="67" t="s">
        <v>50</v>
      </c>
      <c r="O16" s="66">
        <f>18350</f>
        <v>18350</v>
      </c>
      <c r="P16" s="67" t="s">
        <v>814</v>
      </c>
      <c r="Q16" s="66">
        <f>21000</f>
        <v>21000</v>
      </c>
      <c r="R16" s="67" t="s">
        <v>50</v>
      </c>
      <c r="S16" s="68">
        <f>19972.86</f>
        <v>19972.86</v>
      </c>
      <c r="T16" s="65">
        <f>12004638</f>
        <v>12004638</v>
      </c>
      <c r="U16" s="65">
        <f>646724</f>
        <v>646724</v>
      </c>
      <c r="V16" s="65">
        <f>240363875873</f>
        <v>240363875873</v>
      </c>
      <c r="W16" s="65">
        <f>13193787973</f>
        <v>13193787973</v>
      </c>
      <c r="X16" s="69">
        <f>21</f>
        <v>21</v>
      </c>
    </row>
    <row r="17" spans="1:24">
      <c r="A17" s="60" t="s">
        <v>839</v>
      </c>
      <c r="B17" s="60" t="s">
        <v>83</v>
      </c>
      <c r="C17" s="60" t="s">
        <v>84</v>
      </c>
      <c r="D17" s="60" t="s">
        <v>85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5640</f>
        <v>5640</v>
      </c>
      <c r="L17" s="67" t="s">
        <v>840</v>
      </c>
      <c r="M17" s="66">
        <f>5780</f>
        <v>5780</v>
      </c>
      <c r="N17" s="67" t="s">
        <v>65</v>
      </c>
      <c r="O17" s="66">
        <f>5010</f>
        <v>5010</v>
      </c>
      <c r="P17" s="67" t="s">
        <v>99</v>
      </c>
      <c r="Q17" s="66">
        <f>5300</f>
        <v>5300</v>
      </c>
      <c r="R17" s="67" t="s">
        <v>50</v>
      </c>
      <c r="S17" s="68">
        <f>5421.43</f>
        <v>5421.43</v>
      </c>
      <c r="T17" s="65">
        <f>8260</f>
        <v>8260</v>
      </c>
      <c r="U17" s="65" t="str">
        <f>"－"</f>
        <v>－</v>
      </c>
      <c r="V17" s="65">
        <f>44774600</f>
        <v>44774600</v>
      </c>
      <c r="W17" s="65" t="str">
        <f>"－"</f>
        <v>－</v>
      </c>
      <c r="X17" s="69">
        <f>21</f>
        <v>21</v>
      </c>
    </row>
    <row r="18" spans="1:24">
      <c r="A18" s="60" t="s">
        <v>839</v>
      </c>
      <c r="B18" s="60" t="s">
        <v>87</v>
      </c>
      <c r="C18" s="60" t="s">
        <v>88</v>
      </c>
      <c r="D18" s="60" t="s">
        <v>89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264</f>
        <v>264</v>
      </c>
      <c r="L18" s="67" t="s">
        <v>840</v>
      </c>
      <c r="M18" s="66">
        <f>292</f>
        <v>292</v>
      </c>
      <c r="N18" s="67" t="s">
        <v>90</v>
      </c>
      <c r="O18" s="66">
        <f>247</f>
        <v>247</v>
      </c>
      <c r="P18" s="67" t="s">
        <v>48</v>
      </c>
      <c r="Q18" s="66">
        <f>279</f>
        <v>279</v>
      </c>
      <c r="R18" s="67" t="s">
        <v>50</v>
      </c>
      <c r="S18" s="68">
        <f>268.85</f>
        <v>268.85000000000002</v>
      </c>
      <c r="T18" s="65">
        <f>31600</f>
        <v>31600</v>
      </c>
      <c r="U18" s="65" t="str">
        <f>"－"</f>
        <v>－</v>
      </c>
      <c r="V18" s="65">
        <f>8455800</f>
        <v>8455800</v>
      </c>
      <c r="W18" s="65" t="str">
        <f>"－"</f>
        <v>－</v>
      </c>
      <c r="X18" s="69">
        <f>20</f>
        <v>20</v>
      </c>
    </row>
    <row r="19" spans="1:24">
      <c r="A19" s="60" t="s">
        <v>839</v>
      </c>
      <c r="B19" s="60" t="s">
        <v>92</v>
      </c>
      <c r="C19" s="60" t="s">
        <v>93</v>
      </c>
      <c r="D19" s="60" t="s">
        <v>94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123</f>
        <v>123</v>
      </c>
      <c r="L19" s="67" t="s">
        <v>840</v>
      </c>
      <c r="M19" s="66">
        <f>133</f>
        <v>133</v>
      </c>
      <c r="N19" s="67" t="s">
        <v>119</v>
      </c>
      <c r="O19" s="66">
        <f>113</f>
        <v>113</v>
      </c>
      <c r="P19" s="67" t="s">
        <v>840</v>
      </c>
      <c r="Q19" s="66">
        <f>124</f>
        <v>124</v>
      </c>
      <c r="R19" s="67" t="s">
        <v>50</v>
      </c>
      <c r="S19" s="68">
        <f>124.24</f>
        <v>124.24</v>
      </c>
      <c r="T19" s="65">
        <f>616200</f>
        <v>616200</v>
      </c>
      <c r="U19" s="65">
        <f>6400</f>
        <v>6400</v>
      </c>
      <c r="V19" s="65">
        <f>75257100</f>
        <v>75257100</v>
      </c>
      <c r="W19" s="65">
        <f>780800</f>
        <v>780800</v>
      </c>
      <c r="X19" s="69">
        <f>21</f>
        <v>21</v>
      </c>
    </row>
    <row r="20" spans="1:24">
      <c r="A20" s="60" t="s">
        <v>839</v>
      </c>
      <c r="B20" s="60" t="s">
        <v>96</v>
      </c>
      <c r="C20" s="60" t="s">
        <v>97</v>
      </c>
      <c r="D20" s="60" t="s">
        <v>98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122</f>
        <v>122</v>
      </c>
      <c r="L20" s="67" t="s">
        <v>840</v>
      </c>
      <c r="M20" s="66">
        <f>136</f>
        <v>136</v>
      </c>
      <c r="N20" s="67" t="s">
        <v>150</v>
      </c>
      <c r="O20" s="66">
        <f>112</f>
        <v>112</v>
      </c>
      <c r="P20" s="67" t="s">
        <v>48</v>
      </c>
      <c r="Q20" s="66">
        <f>126</f>
        <v>126</v>
      </c>
      <c r="R20" s="67" t="s">
        <v>50</v>
      </c>
      <c r="S20" s="68">
        <f>123</f>
        <v>123</v>
      </c>
      <c r="T20" s="65">
        <f>1094500</f>
        <v>1094500</v>
      </c>
      <c r="U20" s="65" t="str">
        <f>"－"</f>
        <v>－</v>
      </c>
      <c r="V20" s="65">
        <f>133140900</f>
        <v>133140900</v>
      </c>
      <c r="W20" s="65" t="str">
        <f>"－"</f>
        <v>－</v>
      </c>
      <c r="X20" s="69">
        <f>21</f>
        <v>21</v>
      </c>
    </row>
    <row r="21" spans="1:24">
      <c r="A21" s="60" t="s">
        <v>839</v>
      </c>
      <c r="B21" s="60" t="s">
        <v>101</v>
      </c>
      <c r="C21" s="60" t="s">
        <v>102</v>
      </c>
      <c r="D21" s="60" t="s">
        <v>103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15910</f>
        <v>15910</v>
      </c>
      <c r="L21" s="67" t="s">
        <v>840</v>
      </c>
      <c r="M21" s="66">
        <f>17520</f>
        <v>17520</v>
      </c>
      <c r="N21" s="67" t="s">
        <v>175</v>
      </c>
      <c r="O21" s="66">
        <f>15910</f>
        <v>15910</v>
      </c>
      <c r="P21" s="67" t="s">
        <v>840</v>
      </c>
      <c r="Q21" s="66">
        <f>17210</f>
        <v>17210</v>
      </c>
      <c r="R21" s="67" t="s">
        <v>50</v>
      </c>
      <c r="S21" s="68">
        <f>16991.43</f>
        <v>16991.43</v>
      </c>
      <c r="T21" s="65">
        <f>279921</f>
        <v>279921</v>
      </c>
      <c r="U21" s="65" t="str">
        <f>"－"</f>
        <v>－</v>
      </c>
      <c r="V21" s="65">
        <f>4755422390</f>
        <v>4755422390</v>
      </c>
      <c r="W21" s="65" t="str">
        <f>"－"</f>
        <v>－</v>
      </c>
      <c r="X21" s="69">
        <f>21</f>
        <v>21</v>
      </c>
    </row>
    <row r="22" spans="1:24">
      <c r="A22" s="60" t="s">
        <v>839</v>
      </c>
      <c r="B22" s="60" t="s">
        <v>104</v>
      </c>
      <c r="C22" s="60" t="s">
        <v>105</v>
      </c>
      <c r="D22" s="60" t="s">
        <v>106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2617</f>
        <v>2617</v>
      </c>
      <c r="L22" s="67" t="s">
        <v>840</v>
      </c>
      <c r="M22" s="66">
        <f>2880</f>
        <v>2880</v>
      </c>
      <c r="N22" s="67" t="s">
        <v>833</v>
      </c>
      <c r="O22" s="66">
        <f>2177</f>
        <v>2177</v>
      </c>
      <c r="P22" s="67" t="s">
        <v>95</v>
      </c>
      <c r="Q22" s="66">
        <f>2300</f>
        <v>2300</v>
      </c>
      <c r="R22" s="67" t="s">
        <v>50</v>
      </c>
      <c r="S22" s="68">
        <f>2565.67</f>
        <v>2565.67</v>
      </c>
      <c r="T22" s="65">
        <f>6416</f>
        <v>6416</v>
      </c>
      <c r="U22" s="65" t="str">
        <f>"－"</f>
        <v>－</v>
      </c>
      <c r="V22" s="65">
        <f>15831833</f>
        <v>15831833</v>
      </c>
      <c r="W22" s="65" t="str">
        <f>"－"</f>
        <v>－</v>
      </c>
      <c r="X22" s="69">
        <f>21</f>
        <v>21</v>
      </c>
    </row>
    <row r="23" spans="1:24">
      <c r="A23" s="60" t="s">
        <v>839</v>
      </c>
      <c r="B23" s="60" t="s">
        <v>107</v>
      </c>
      <c r="C23" s="60" t="s">
        <v>108</v>
      </c>
      <c r="D23" s="60" t="s">
        <v>109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4520</f>
        <v>4520</v>
      </c>
      <c r="L23" s="67" t="s">
        <v>840</v>
      </c>
      <c r="M23" s="66">
        <f>4990</f>
        <v>4990</v>
      </c>
      <c r="N23" s="67" t="s">
        <v>90</v>
      </c>
      <c r="O23" s="66">
        <f>4465</f>
        <v>4465</v>
      </c>
      <c r="P23" s="67" t="s">
        <v>840</v>
      </c>
      <c r="Q23" s="66">
        <f>4780</f>
        <v>4780</v>
      </c>
      <c r="R23" s="67" t="s">
        <v>50</v>
      </c>
      <c r="S23" s="68">
        <f>4788.1</f>
        <v>4788.1000000000004</v>
      </c>
      <c r="T23" s="65">
        <f>207100</f>
        <v>207100</v>
      </c>
      <c r="U23" s="65" t="str">
        <f>"－"</f>
        <v>－</v>
      </c>
      <c r="V23" s="65">
        <f>995259400</f>
        <v>995259400</v>
      </c>
      <c r="W23" s="65" t="str">
        <f>"－"</f>
        <v>－</v>
      </c>
      <c r="X23" s="69">
        <f>21</f>
        <v>21</v>
      </c>
    </row>
    <row r="24" spans="1:24">
      <c r="A24" s="60" t="s">
        <v>839</v>
      </c>
      <c r="B24" s="60" t="s">
        <v>110</v>
      </c>
      <c r="C24" s="60" t="s">
        <v>111</v>
      </c>
      <c r="D24" s="60" t="s">
        <v>112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19280</f>
        <v>19280</v>
      </c>
      <c r="L24" s="67" t="s">
        <v>840</v>
      </c>
      <c r="M24" s="66">
        <f>21100</f>
        <v>21100</v>
      </c>
      <c r="N24" s="67" t="s">
        <v>50</v>
      </c>
      <c r="O24" s="66">
        <f>18280</f>
        <v>18280</v>
      </c>
      <c r="P24" s="67" t="s">
        <v>814</v>
      </c>
      <c r="Q24" s="66">
        <f>20930</f>
        <v>20930</v>
      </c>
      <c r="R24" s="67" t="s">
        <v>50</v>
      </c>
      <c r="S24" s="68">
        <f>19887.62</f>
        <v>19887.62</v>
      </c>
      <c r="T24" s="65">
        <f>1044626</f>
        <v>1044626</v>
      </c>
      <c r="U24" s="65">
        <f>460158</f>
        <v>460158</v>
      </c>
      <c r="V24" s="65">
        <f>20843689235</f>
        <v>20843689235</v>
      </c>
      <c r="W24" s="65">
        <f>9241506625</f>
        <v>9241506625</v>
      </c>
      <c r="X24" s="69">
        <f>21</f>
        <v>21</v>
      </c>
    </row>
    <row r="25" spans="1:24">
      <c r="A25" s="60" t="s">
        <v>839</v>
      </c>
      <c r="B25" s="60" t="s">
        <v>113</v>
      </c>
      <c r="C25" s="60" t="s">
        <v>114</v>
      </c>
      <c r="D25" s="60" t="s">
        <v>115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19380</f>
        <v>19380</v>
      </c>
      <c r="L25" s="67" t="s">
        <v>840</v>
      </c>
      <c r="M25" s="66">
        <f>21230</f>
        <v>21230</v>
      </c>
      <c r="N25" s="67" t="s">
        <v>50</v>
      </c>
      <c r="O25" s="66">
        <f>18400</f>
        <v>18400</v>
      </c>
      <c r="P25" s="67" t="s">
        <v>814</v>
      </c>
      <c r="Q25" s="66">
        <f>21040</f>
        <v>21040</v>
      </c>
      <c r="R25" s="67" t="s">
        <v>50</v>
      </c>
      <c r="S25" s="68">
        <f>20014.29</f>
        <v>20014.29</v>
      </c>
      <c r="T25" s="65">
        <f>2220950</f>
        <v>2220950</v>
      </c>
      <c r="U25" s="65">
        <f>133270</f>
        <v>133270</v>
      </c>
      <c r="V25" s="65">
        <f>44448298554</f>
        <v>44448298554</v>
      </c>
      <c r="W25" s="65">
        <f>2647408954</f>
        <v>2647408954</v>
      </c>
      <c r="X25" s="69">
        <f>21</f>
        <v>21</v>
      </c>
    </row>
    <row r="26" spans="1:24">
      <c r="A26" s="60" t="s">
        <v>839</v>
      </c>
      <c r="B26" s="60" t="s">
        <v>116</v>
      </c>
      <c r="C26" s="60" t="s">
        <v>117</v>
      </c>
      <c r="D26" s="60" t="s">
        <v>118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1697</f>
        <v>1697</v>
      </c>
      <c r="L26" s="67" t="s">
        <v>840</v>
      </c>
      <c r="M26" s="66">
        <f>1729</f>
        <v>1729</v>
      </c>
      <c r="N26" s="67" t="s">
        <v>119</v>
      </c>
      <c r="O26" s="66">
        <f>1515</f>
        <v>1515</v>
      </c>
      <c r="P26" s="67" t="s">
        <v>48</v>
      </c>
      <c r="Q26" s="66">
        <f>1699</f>
        <v>1699</v>
      </c>
      <c r="R26" s="67" t="s">
        <v>50</v>
      </c>
      <c r="S26" s="68">
        <f>1646.33</f>
        <v>1646.33</v>
      </c>
      <c r="T26" s="65">
        <f>11470590</f>
        <v>11470590</v>
      </c>
      <c r="U26" s="65">
        <f>347950</f>
        <v>347950</v>
      </c>
      <c r="V26" s="65">
        <f>18864129636</f>
        <v>18864129636</v>
      </c>
      <c r="W26" s="65">
        <f>572756706</f>
        <v>572756706</v>
      </c>
      <c r="X26" s="69">
        <f>21</f>
        <v>21</v>
      </c>
    </row>
    <row r="27" spans="1:24">
      <c r="A27" s="60" t="s">
        <v>839</v>
      </c>
      <c r="B27" s="60" t="s">
        <v>120</v>
      </c>
      <c r="C27" s="60" t="s">
        <v>121</v>
      </c>
      <c r="D27" s="60" t="s">
        <v>122</v>
      </c>
      <c r="E27" s="61" t="s">
        <v>46</v>
      </c>
      <c r="F27" s="62" t="s">
        <v>46</v>
      </c>
      <c r="G27" s="63" t="s">
        <v>46</v>
      </c>
      <c r="H27" s="64"/>
      <c r="I27" s="64" t="s">
        <v>47</v>
      </c>
      <c r="J27" s="65">
        <v>10</v>
      </c>
      <c r="K27" s="66">
        <f>641</f>
        <v>641</v>
      </c>
      <c r="L27" s="67" t="s">
        <v>840</v>
      </c>
      <c r="M27" s="66">
        <f>654</f>
        <v>654</v>
      </c>
      <c r="N27" s="67" t="s">
        <v>833</v>
      </c>
      <c r="O27" s="66">
        <f>608</f>
        <v>608</v>
      </c>
      <c r="P27" s="67" t="s">
        <v>48</v>
      </c>
      <c r="Q27" s="66">
        <f>644</f>
        <v>644</v>
      </c>
      <c r="R27" s="67" t="s">
        <v>50</v>
      </c>
      <c r="S27" s="68">
        <f>631.43</f>
        <v>631.42999999999995</v>
      </c>
      <c r="T27" s="65">
        <f>22140</f>
        <v>22140</v>
      </c>
      <c r="U27" s="65" t="str">
        <f>"－"</f>
        <v>－</v>
      </c>
      <c r="V27" s="65">
        <f>13830050</f>
        <v>13830050</v>
      </c>
      <c r="W27" s="65" t="str">
        <f>"－"</f>
        <v>－</v>
      </c>
      <c r="X27" s="69">
        <f>21</f>
        <v>21</v>
      </c>
    </row>
    <row r="28" spans="1:24">
      <c r="A28" s="60" t="s">
        <v>839</v>
      </c>
      <c r="B28" s="60" t="s">
        <v>123</v>
      </c>
      <c r="C28" s="60" t="s">
        <v>124</v>
      </c>
      <c r="D28" s="60" t="s">
        <v>125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1598</f>
        <v>1598</v>
      </c>
      <c r="L28" s="67" t="s">
        <v>840</v>
      </c>
      <c r="M28" s="66">
        <f>1625</f>
        <v>1625</v>
      </c>
      <c r="N28" s="67" t="s">
        <v>119</v>
      </c>
      <c r="O28" s="66">
        <f>1421</f>
        <v>1421</v>
      </c>
      <c r="P28" s="67" t="s">
        <v>48</v>
      </c>
      <c r="Q28" s="66">
        <f>1598</f>
        <v>1598</v>
      </c>
      <c r="R28" s="67" t="s">
        <v>50</v>
      </c>
      <c r="S28" s="68">
        <f>1548.19</f>
        <v>1548.19</v>
      </c>
      <c r="T28" s="65">
        <f>3493300</f>
        <v>3493300</v>
      </c>
      <c r="U28" s="65">
        <f>17600</f>
        <v>17600</v>
      </c>
      <c r="V28" s="65">
        <f>5391388310</f>
        <v>5391388310</v>
      </c>
      <c r="W28" s="65">
        <f>26751510</f>
        <v>26751510</v>
      </c>
      <c r="X28" s="69">
        <f>21</f>
        <v>21</v>
      </c>
    </row>
    <row r="29" spans="1:24">
      <c r="A29" s="60" t="s">
        <v>839</v>
      </c>
      <c r="B29" s="60" t="s">
        <v>126</v>
      </c>
      <c r="C29" s="60" t="s">
        <v>127</v>
      </c>
      <c r="D29" s="60" t="s">
        <v>128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19290</f>
        <v>19290</v>
      </c>
      <c r="L29" s="67" t="s">
        <v>840</v>
      </c>
      <c r="M29" s="66">
        <f>21110</f>
        <v>21110</v>
      </c>
      <c r="N29" s="67" t="s">
        <v>50</v>
      </c>
      <c r="O29" s="66">
        <f>18290</f>
        <v>18290</v>
      </c>
      <c r="P29" s="67" t="s">
        <v>814</v>
      </c>
      <c r="Q29" s="66">
        <f>20940</f>
        <v>20940</v>
      </c>
      <c r="R29" s="67" t="s">
        <v>50</v>
      </c>
      <c r="S29" s="68">
        <f>19902.86</f>
        <v>19902.86</v>
      </c>
      <c r="T29" s="65">
        <f>816106</f>
        <v>816106</v>
      </c>
      <c r="U29" s="65">
        <f>21679</f>
        <v>21679</v>
      </c>
      <c r="V29" s="65">
        <f>16395437699</f>
        <v>16395437699</v>
      </c>
      <c r="W29" s="65">
        <f>443567829</f>
        <v>443567829</v>
      </c>
      <c r="X29" s="69">
        <f>21</f>
        <v>21</v>
      </c>
    </row>
    <row r="30" spans="1:24">
      <c r="A30" s="60" t="s">
        <v>839</v>
      </c>
      <c r="B30" s="60" t="s">
        <v>129</v>
      </c>
      <c r="C30" s="60" t="s">
        <v>130</v>
      </c>
      <c r="D30" s="60" t="s">
        <v>131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1441</f>
        <v>1441</v>
      </c>
      <c r="L30" s="67" t="s">
        <v>840</v>
      </c>
      <c r="M30" s="66">
        <f>1541</f>
        <v>1541</v>
      </c>
      <c r="N30" s="67" t="s">
        <v>50</v>
      </c>
      <c r="O30" s="66">
        <f>1369</f>
        <v>1369</v>
      </c>
      <c r="P30" s="67" t="s">
        <v>814</v>
      </c>
      <c r="Q30" s="66">
        <f>1520</f>
        <v>1520</v>
      </c>
      <c r="R30" s="67" t="s">
        <v>50</v>
      </c>
      <c r="S30" s="68">
        <f>1469.14</f>
        <v>1469.14</v>
      </c>
      <c r="T30" s="65">
        <f>4834510</f>
        <v>4834510</v>
      </c>
      <c r="U30" s="65">
        <f>1848000</f>
        <v>1848000</v>
      </c>
      <c r="V30" s="65">
        <f>7138858290</f>
        <v>7138858290</v>
      </c>
      <c r="W30" s="65">
        <f>2734636600</f>
        <v>2734636600</v>
      </c>
      <c r="X30" s="69">
        <f>21</f>
        <v>21</v>
      </c>
    </row>
    <row r="31" spans="1:24">
      <c r="A31" s="60" t="s">
        <v>839</v>
      </c>
      <c r="B31" s="60" t="s">
        <v>132</v>
      </c>
      <c r="C31" s="60" t="s">
        <v>133</v>
      </c>
      <c r="D31" s="60" t="s">
        <v>134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12320</f>
        <v>12320</v>
      </c>
      <c r="L31" s="67" t="s">
        <v>840</v>
      </c>
      <c r="M31" s="66">
        <f>12580</f>
        <v>12580</v>
      </c>
      <c r="N31" s="67" t="s">
        <v>820</v>
      </c>
      <c r="O31" s="66">
        <f>12170</f>
        <v>12170</v>
      </c>
      <c r="P31" s="67" t="s">
        <v>814</v>
      </c>
      <c r="Q31" s="66">
        <f>12480</f>
        <v>12480</v>
      </c>
      <c r="R31" s="67" t="s">
        <v>50</v>
      </c>
      <c r="S31" s="68">
        <f>12419.52</f>
        <v>12419.52</v>
      </c>
      <c r="T31" s="65">
        <f>740</f>
        <v>740</v>
      </c>
      <c r="U31" s="65" t="str">
        <f>"－"</f>
        <v>－</v>
      </c>
      <c r="V31" s="65">
        <f>9175440</f>
        <v>9175440</v>
      </c>
      <c r="W31" s="65" t="str">
        <f>"－"</f>
        <v>－</v>
      </c>
      <c r="X31" s="69">
        <f>21</f>
        <v>21</v>
      </c>
    </row>
    <row r="32" spans="1:24">
      <c r="A32" s="60" t="s">
        <v>839</v>
      </c>
      <c r="B32" s="60" t="s">
        <v>135</v>
      </c>
      <c r="C32" s="60" t="s">
        <v>136</v>
      </c>
      <c r="D32" s="60" t="s">
        <v>137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2726</f>
        <v>2726</v>
      </c>
      <c r="L32" s="67" t="s">
        <v>840</v>
      </c>
      <c r="M32" s="66">
        <f>3010</f>
        <v>3010</v>
      </c>
      <c r="N32" s="67" t="s">
        <v>814</v>
      </c>
      <c r="O32" s="66">
        <f>2328</f>
        <v>2328</v>
      </c>
      <c r="P32" s="67" t="s">
        <v>50</v>
      </c>
      <c r="Q32" s="66">
        <f>2395</f>
        <v>2395</v>
      </c>
      <c r="R32" s="67" t="s">
        <v>50</v>
      </c>
      <c r="S32" s="68">
        <f>2588</f>
        <v>2588</v>
      </c>
      <c r="T32" s="65">
        <f>13000580</f>
        <v>13000580</v>
      </c>
      <c r="U32" s="65">
        <f>38110</f>
        <v>38110</v>
      </c>
      <c r="V32" s="65">
        <f>34437654431</f>
        <v>34437654431</v>
      </c>
      <c r="W32" s="65">
        <f>98446301</f>
        <v>98446301</v>
      </c>
      <c r="X32" s="69">
        <f>21</f>
        <v>21</v>
      </c>
    </row>
    <row r="33" spans="1:24">
      <c r="A33" s="60" t="s">
        <v>839</v>
      </c>
      <c r="B33" s="60" t="s">
        <v>138</v>
      </c>
      <c r="C33" s="60" t="s">
        <v>139</v>
      </c>
      <c r="D33" s="60" t="s">
        <v>140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1242</f>
        <v>1242</v>
      </c>
      <c r="L33" s="67" t="s">
        <v>840</v>
      </c>
      <c r="M33" s="66">
        <f>1370</f>
        <v>1370</v>
      </c>
      <c r="N33" s="67" t="s">
        <v>814</v>
      </c>
      <c r="O33" s="66">
        <f>995</f>
        <v>995</v>
      </c>
      <c r="P33" s="67" t="s">
        <v>50</v>
      </c>
      <c r="Q33" s="66">
        <f>1013</f>
        <v>1013</v>
      </c>
      <c r="R33" s="67" t="s">
        <v>50</v>
      </c>
      <c r="S33" s="68">
        <f>1141.14</f>
        <v>1141.1400000000001</v>
      </c>
      <c r="T33" s="65">
        <f>1921198494</f>
        <v>1921198494</v>
      </c>
      <c r="U33" s="65">
        <f>2885948</f>
        <v>2885948</v>
      </c>
      <c r="V33" s="65">
        <f>2254402348339</f>
        <v>2254402348339</v>
      </c>
      <c r="W33" s="65">
        <f>3466095750</f>
        <v>3466095750</v>
      </c>
      <c r="X33" s="69">
        <f>21</f>
        <v>21</v>
      </c>
    </row>
    <row r="34" spans="1:24">
      <c r="A34" s="60" t="s">
        <v>839</v>
      </c>
      <c r="B34" s="60" t="s">
        <v>141</v>
      </c>
      <c r="C34" s="60" t="s">
        <v>142</v>
      </c>
      <c r="D34" s="60" t="s">
        <v>143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12660</f>
        <v>12660</v>
      </c>
      <c r="L34" s="67" t="s">
        <v>840</v>
      </c>
      <c r="M34" s="66">
        <f>15020</f>
        <v>15020</v>
      </c>
      <c r="N34" s="67" t="s">
        <v>50</v>
      </c>
      <c r="O34" s="66">
        <f>11330</f>
        <v>11330</v>
      </c>
      <c r="P34" s="67" t="s">
        <v>814</v>
      </c>
      <c r="Q34" s="66">
        <f>14770</f>
        <v>14770</v>
      </c>
      <c r="R34" s="67" t="s">
        <v>50</v>
      </c>
      <c r="S34" s="68">
        <f>13399.05</f>
        <v>13399.05</v>
      </c>
      <c r="T34" s="65">
        <f>1056163</f>
        <v>1056163</v>
      </c>
      <c r="U34" s="65">
        <f>38600</f>
        <v>38600</v>
      </c>
      <c r="V34" s="65">
        <f>14007603109</f>
        <v>14007603109</v>
      </c>
      <c r="W34" s="65">
        <f>503520309</f>
        <v>503520309</v>
      </c>
      <c r="X34" s="69">
        <f>21</f>
        <v>21</v>
      </c>
    </row>
    <row r="35" spans="1:24">
      <c r="A35" s="60" t="s">
        <v>839</v>
      </c>
      <c r="B35" s="60" t="s">
        <v>144</v>
      </c>
      <c r="C35" s="60" t="s">
        <v>145</v>
      </c>
      <c r="D35" s="60" t="s">
        <v>146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3000</f>
        <v>3000</v>
      </c>
      <c r="L35" s="67" t="s">
        <v>840</v>
      </c>
      <c r="M35" s="66">
        <f>3310</f>
        <v>3310</v>
      </c>
      <c r="N35" s="67" t="s">
        <v>814</v>
      </c>
      <c r="O35" s="66">
        <f>2417</f>
        <v>2417</v>
      </c>
      <c r="P35" s="67" t="s">
        <v>50</v>
      </c>
      <c r="Q35" s="66">
        <f>2456</f>
        <v>2456</v>
      </c>
      <c r="R35" s="67" t="s">
        <v>50</v>
      </c>
      <c r="S35" s="68">
        <f>2763.38</f>
        <v>2763.38</v>
      </c>
      <c r="T35" s="65">
        <f>111825720</f>
        <v>111825720</v>
      </c>
      <c r="U35" s="65">
        <f>28770</f>
        <v>28770</v>
      </c>
      <c r="V35" s="65">
        <f>311626796169</f>
        <v>311626796169</v>
      </c>
      <c r="W35" s="65">
        <f>89665529</f>
        <v>89665529</v>
      </c>
      <c r="X35" s="69">
        <f>21</f>
        <v>21</v>
      </c>
    </row>
    <row r="36" spans="1:24">
      <c r="A36" s="60" t="s">
        <v>839</v>
      </c>
      <c r="B36" s="60" t="s">
        <v>147</v>
      </c>
      <c r="C36" s="60" t="s">
        <v>148</v>
      </c>
      <c r="D36" s="60" t="s">
        <v>149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12900</f>
        <v>12900</v>
      </c>
      <c r="L36" s="67" t="s">
        <v>840</v>
      </c>
      <c r="M36" s="66">
        <f>13640</f>
        <v>13640</v>
      </c>
      <c r="N36" s="67" t="s">
        <v>50</v>
      </c>
      <c r="O36" s="66">
        <f>12150</f>
        <v>12150</v>
      </c>
      <c r="P36" s="67" t="s">
        <v>814</v>
      </c>
      <c r="Q36" s="66">
        <f>13530</f>
        <v>13530</v>
      </c>
      <c r="R36" s="67" t="s">
        <v>50</v>
      </c>
      <c r="S36" s="68">
        <f>12998.1</f>
        <v>12998.1</v>
      </c>
      <c r="T36" s="65">
        <f>7650</f>
        <v>7650</v>
      </c>
      <c r="U36" s="65">
        <f>3862</f>
        <v>3862</v>
      </c>
      <c r="V36" s="65">
        <f>99288950</f>
        <v>99288950</v>
      </c>
      <c r="W36" s="65">
        <f>49993590</f>
        <v>49993590</v>
      </c>
      <c r="X36" s="69">
        <f>21</f>
        <v>21</v>
      </c>
    </row>
    <row r="37" spans="1:24">
      <c r="A37" s="60" t="s">
        <v>839</v>
      </c>
      <c r="B37" s="60" t="s">
        <v>151</v>
      </c>
      <c r="C37" s="60" t="s">
        <v>152</v>
      </c>
      <c r="D37" s="60" t="s">
        <v>153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10360</f>
        <v>10360</v>
      </c>
      <c r="L37" s="67" t="s">
        <v>840</v>
      </c>
      <c r="M37" s="66">
        <f>12280</f>
        <v>12280</v>
      </c>
      <c r="N37" s="67" t="s">
        <v>50</v>
      </c>
      <c r="O37" s="66">
        <f>9290</f>
        <v>9290</v>
      </c>
      <c r="P37" s="67" t="s">
        <v>814</v>
      </c>
      <c r="Q37" s="66">
        <f>12080</f>
        <v>12080</v>
      </c>
      <c r="R37" s="67" t="s">
        <v>50</v>
      </c>
      <c r="S37" s="68">
        <f>10970.48</f>
        <v>10970.48</v>
      </c>
      <c r="T37" s="65">
        <f>1887361</f>
        <v>1887361</v>
      </c>
      <c r="U37" s="65">
        <f>1422</f>
        <v>1422</v>
      </c>
      <c r="V37" s="65">
        <f>20714868545</f>
        <v>20714868545</v>
      </c>
      <c r="W37" s="65">
        <f>15021055</f>
        <v>15021055</v>
      </c>
      <c r="X37" s="69">
        <f>21</f>
        <v>21</v>
      </c>
    </row>
    <row r="38" spans="1:24">
      <c r="A38" s="60" t="s">
        <v>839</v>
      </c>
      <c r="B38" s="60" t="s">
        <v>154</v>
      </c>
      <c r="C38" s="60" t="s">
        <v>155</v>
      </c>
      <c r="D38" s="60" t="s">
        <v>156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3235</f>
        <v>3235</v>
      </c>
      <c r="L38" s="67" t="s">
        <v>840</v>
      </c>
      <c r="M38" s="66">
        <f>3565</f>
        <v>3565</v>
      </c>
      <c r="N38" s="67" t="s">
        <v>814</v>
      </c>
      <c r="O38" s="66">
        <f>2595</f>
        <v>2595</v>
      </c>
      <c r="P38" s="67" t="s">
        <v>50</v>
      </c>
      <c r="Q38" s="66">
        <f>2641</f>
        <v>2641</v>
      </c>
      <c r="R38" s="67" t="s">
        <v>50</v>
      </c>
      <c r="S38" s="68">
        <f>2973.95</f>
        <v>2973.95</v>
      </c>
      <c r="T38" s="65">
        <f>11455979</f>
        <v>11455979</v>
      </c>
      <c r="U38" s="65">
        <f>16514</f>
        <v>16514</v>
      </c>
      <c r="V38" s="65">
        <f>34616797282</f>
        <v>34616797282</v>
      </c>
      <c r="W38" s="65">
        <f>54713818</f>
        <v>54713818</v>
      </c>
      <c r="X38" s="69">
        <f>21</f>
        <v>21</v>
      </c>
    </row>
    <row r="39" spans="1:24">
      <c r="A39" s="60" t="s">
        <v>839</v>
      </c>
      <c r="B39" s="60" t="s">
        <v>157</v>
      </c>
      <c r="C39" s="60" t="s">
        <v>158</v>
      </c>
      <c r="D39" s="60" t="s">
        <v>159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9500</f>
        <v>9500</v>
      </c>
      <c r="L39" s="67" t="s">
        <v>840</v>
      </c>
      <c r="M39" s="66">
        <f>10740</f>
        <v>10740</v>
      </c>
      <c r="N39" s="67" t="s">
        <v>50</v>
      </c>
      <c r="O39" s="66">
        <f>8490</f>
        <v>8490</v>
      </c>
      <c r="P39" s="67" t="s">
        <v>814</v>
      </c>
      <c r="Q39" s="66">
        <f>10470</f>
        <v>10470</v>
      </c>
      <c r="R39" s="67" t="s">
        <v>50</v>
      </c>
      <c r="S39" s="68">
        <f>9790</f>
        <v>9790</v>
      </c>
      <c r="T39" s="65">
        <f>435350</f>
        <v>435350</v>
      </c>
      <c r="U39" s="65">
        <f>580</f>
        <v>580</v>
      </c>
      <c r="V39" s="65">
        <f>4216278110</f>
        <v>4216278110</v>
      </c>
      <c r="W39" s="65">
        <f>5732000</f>
        <v>5732000</v>
      </c>
      <c r="X39" s="69">
        <f>21</f>
        <v>21</v>
      </c>
    </row>
    <row r="40" spans="1:24">
      <c r="A40" s="60" t="s">
        <v>839</v>
      </c>
      <c r="B40" s="60" t="s">
        <v>160</v>
      </c>
      <c r="C40" s="60" t="s">
        <v>161</v>
      </c>
      <c r="D40" s="60" t="s">
        <v>162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3960</f>
        <v>3960</v>
      </c>
      <c r="L40" s="67" t="s">
        <v>840</v>
      </c>
      <c r="M40" s="66">
        <f>4385</f>
        <v>4385</v>
      </c>
      <c r="N40" s="67" t="s">
        <v>814</v>
      </c>
      <c r="O40" s="66">
        <f>3390</f>
        <v>3390</v>
      </c>
      <c r="P40" s="67" t="s">
        <v>50</v>
      </c>
      <c r="Q40" s="66">
        <f>3480</f>
        <v>3480</v>
      </c>
      <c r="R40" s="67" t="s">
        <v>50</v>
      </c>
      <c r="S40" s="68">
        <f>3765.48</f>
        <v>3765.48</v>
      </c>
      <c r="T40" s="65">
        <f>1885751</f>
        <v>1885751</v>
      </c>
      <c r="U40" s="65">
        <f>2933</f>
        <v>2933</v>
      </c>
      <c r="V40" s="65">
        <f>7280183988</f>
        <v>7280183988</v>
      </c>
      <c r="W40" s="65">
        <f>11945473</f>
        <v>11945473</v>
      </c>
      <c r="X40" s="69">
        <f>21</f>
        <v>21</v>
      </c>
    </row>
    <row r="41" spans="1:24">
      <c r="A41" s="60" t="s">
        <v>839</v>
      </c>
      <c r="B41" s="60" t="s">
        <v>163</v>
      </c>
      <c r="C41" s="60" t="s">
        <v>164</v>
      </c>
      <c r="D41" s="60" t="s">
        <v>165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18740</f>
        <v>18740</v>
      </c>
      <c r="L41" s="67" t="s">
        <v>840</v>
      </c>
      <c r="M41" s="66">
        <f>20530</f>
        <v>20530</v>
      </c>
      <c r="N41" s="67" t="s">
        <v>50</v>
      </c>
      <c r="O41" s="66">
        <f>17810</f>
        <v>17810</v>
      </c>
      <c r="P41" s="67" t="s">
        <v>814</v>
      </c>
      <c r="Q41" s="66">
        <f>20360</f>
        <v>20360</v>
      </c>
      <c r="R41" s="67" t="s">
        <v>50</v>
      </c>
      <c r="S41" s="68">
        <f>19368.1</f>
        <v>19368.099999999999</v>
      </c>
      <c r="T41" s="65">
        <f>52478</f>
        <v>52478</v>
      </c>
      <c r="U41" s="65">
        <f>5000</f>
        <v>5000</v>
      </c>
      <c r="V41" s="65">
        <f>1026816130</f>
        <v>1026816130</v>
      </c>
      <c r="W41" s="65">
        <f>95735000</f>
        <v>95735000</v>
      </c>
      <c r="X41" s="69">
        <f>21</f>
        <v>21</v>
      </c>
    </row>
    <row r="42" spans="1:24">
      <c r="A42" s="60" t="s">
        <v>839</v>
      </c>
      <c r="B42" s="60" t="s">
        <v>166</v>
      </c>
      <c r="C42" s="60" t="s">
        <v>167</v>
      </c>
      <c r="D42" s="60" t="s">
        <v>168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3570</f>
        <v>3570</v>
      </c>
      <c r="L42" s="67" t="s">
        <v>840</v>
      </c>
      <c r="M42" s="66">
        <f>3910</f>
        <v>3910</v>
      </c>
      <c r="N42" s="67" t="s">
        <v>50</v>
      </c>
      <c r="O42" s="66">
        <f>3315</f>
        <v>3315</v>
      </c>
      <c r="P42" s="67" t="s">
        <v>48</v>
      </c>
      <c r="Q42" s="66">
        <f>3650</f>
        <v>3650</v>
      </c>
      <c r="R42" s="67" t="s">
        <v>50</v>
      </c>
      <c r="S42" s="68">
        <f>3668.57</f>
        <v>3668.57</v>
      </c>
      <c r="T42" s="65">
        <f>10185</f>
        <v>10185</v>
      </c>
      <c r="U42" s="65" t="str">
        <f t="shared" ref="U42:U47" si="0">"－"</f>
        <v>－</v>
      </c>
      <c r="V42" s="65">
        <f>36196635</f>
        <v>36196635</v>
      </c>
      <c r="W42" s="65" t="str">
        <f t="shared" ref="W42:W47" si="1">"－"</f>
        <v>－</v>
      </c>
      <c r="X42" s="69">
        <f>21</f>
        <v>21</v>
      </c>
    </row>
    <row r="43" spans="1:24">
      <c r="A43" s="60" t="s">
        <v>839</v>
      </c>
      <c r="B43" s="60" t="s">
        <v>169</v>
      </c>
      <c r="C43" s="60" t="s">
        <v>170</v>
      </c>
      <c r="D43" s="60" t="s">
        <v>171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7370</f>
        <v>7370</v>
      </c>
      <c r="L43" s="67" t="s">
        <v>840</v>
      </c>
      <c r="M43" s="66">
        <f>7650</f>
        <v>7650</v>
      </c>
      <c r="N43" s="67" t="s">
        <v>61</v>
      </c>
      <c r="O43" s="66">
        <f>6790</f>
        <v>6790</v>
      </c>
      <c r="P43" s="67" t="s">
        <v>814</v>
      </c>
      <c r="Q43" s="66">
        <f>7320</f>
        <v>7320</v>
      </c>
      <c r="R43" s="67" t="s">
        <v>50</v>
      </c>
      <c r="S43" s="68">
        <f>7298.82</f>
        <v>7298.82</v>
      </c>
      <c r="T43" s="65">
        <f>708</f>
        <v>708</v>
      </c>
      <c r="U43" s="65" t="str">
        <f t="shared" si="0"/>
        <v>－</v>
      </c>
      <c r="V43" s="65">
        <f>5101870</f>
        <v>5101870</v>
      </c>
      <c r="W43" s="65" t="str">
        <f t="shared" si="1"/>
        <v>－</v>
      </c>
      <c r="X43" s="69">
        <f>17</f>
        <v>17</v>
      </c>
    </row>
    <row r="44" spans="1:24">
      <c r="A44" s="60" t="s">
        <v>839</v>
      </c>
      <c r="B44" s="60" t="s">
        <v>172</v>
      </c>
      <c r="C44" s="60" t="s">
        <v>173</v>
      </c>
      <c r="D44" s="60" t="s">
        <v>174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12790</f>
        <v>12790</v>
      </c>
      <c r="L44" s="67" t="s">
        <v>840</v>
      </c>
      <c r="M44" s="66">
        <f>14720</f>
        <v>14720</v>
      </c>
      <c r="N44" s="67" t="s">
        <v>119</v>
      </c>
      <c r="O44" s="66">
        <f>12100</f>
        <v>12100</v>
      </c>
      <c r="P44" s="67" t="s">
        <v>833</v>
      </c>
      <c r="Q44" s="66">
        <f>13820</f>
        <v>13820</v>
      </c>
      <c r="R44" s="67" t="s">
        <v>50</v>
      </c>
      <c r="S44" s="68">
        <f>13976.67</f>
        <v>13976.67</v>
      </c>
      <c r="T44" s="65">
        <f>286</f>
        <v>286</v>
      </c>
      <c r="U44" s="65" t="str">
        <f t="shared" si="0"/>
        <v>－</v>
      </c>
      <c r="V44" s="65">
        <f>4039760</f>
        <v>4039760</v>
      </c>
      <c r="W44" s="65" t="str">
        <f t="shared" si="1"/>
        <v>－</v>
      </c>
      <c r="X44" s="69">
        <f>18</f>
        <v>18</v>
      </c>
    </row>
    <row r="45" spans="1:24">
      <c r="A45" s="60" t="s">
        <v>839</v>
      </c>
      <c r="B45" s="60" t="s">
        <v>176</v>
      </c>
      <c r="C45" s="60" t="s">
        <v>177</v>
      </c>
      <c r="D45" s="60" t="s">
        <v>178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8700</f>
        <v>8700</v>
      </c>
      <c r="L45" s="67" t="s">
        <v>840</v>
      </c>
      <c r="M45" s="66">
        <f>10710</f>
        <v>10710</v>
      </c>
      <c r="N45" s="67" t="s">
        <v>61</v>
      </c>
      <c r="O45" s="66">
        <f>8700</f>
        <v>8700</v>
      </c>
      <c r="P45" s="67" t="s">
        <v>840</v>
      </c>
      <c r="Q45" s="66">
        <f>10510</f>
        <v>10510</v>
      </c>
      <c r="R45" s="67" t="s">
        <v>50</v>
      </c>
      <c r="S45" s="68">
        <f>10017.86</f>
        <v>10017.86</v>
      </c>
      <c r="T45" s="65">
        <f>469</f>
        <v>469</v>
      </c>
      <c r="U45" s="65" t="str">
        <f t="shared" si="0"/>
        <v>－</v>
      </c>
      <c r="V45" s="65">
        <f>4805950</f>
        <v>4805950</v>
      </c>
      <c r="W45" s="65" t="str">
        <f t="shared" si="1"/>
        <v>－</v>
      </c>
      <c r="X45" s="69">
        <f>14</f>
        <v>14</v>
      </c>
    </row>
    <row r="46" spans="1:24">
      <c r="A46" s="60" t="s">
        <v>839</v>
      </c>
      <c r="B46" s="60" t="s">
        <v>179</v>
      </c>
      <c r="C46" s="60" t="s">
        <v>180</v>
      </c>
      <c r="D46" s="60" t="s">
        <v>181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8010</f>
        <v>8010</v>
      </c>
      <c r="L46" s="67" t="s">
        <v>840</v>
      </c>
      <c r="M46" s="66">
        <f>8340</f>
        <v>8340</v>
      </c>
      <c r="N46" s="67" t="s">
        <v>833</v>
      </c>
      <c r="O46" s="66">
        <f>6850</f>
        <v>6850</v>
      </c>
      <c r="P46" s="67" t="s">
        <v>309</v>
      </c>
      <c r="Q46" s="66">
        <f>7550</f>
        <v>7550</v>
      </c>
      <c r="R46" s="67" t="s">
        <v>50</v>
      </c>
      <c r="S46" s="68">
        <f>7364.76</f>
        <v>7364.76</v>
      </c>
      <c r="T46" s="65">
        <f>3283</f>
        <v>3283</v>
      </c>
      <c r="U46" s="65" t="str">
        <f t="shared" si="0"/>
        <v>－</v>
      </c>
      <c r="V46" s="65">
        <f>23512730</f>
        <v>23512730</v>
      </c>
      <c r="W46" s="65" t="str">
        <f t="shared" si="1"/>
        <v>－</v>
      </c>
      <c r="X46" s="69">
        <f>21</f>
        <v>21</v>
      </c>
    </row>
    <row r="47" spans="1:24">
      <c r="A47" s="60" t="s">
        <v>839</v>
      </c>
      <c r="B47" s="60" t="s">
        <v>182</v>
      </c>
      <c r="C47" s="60" t="s">
        <v>183</v>
      </c>
      <c r="D47" s="60" t="s">
        <v>184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3790</f>
        <v>3790</v>
      </c>
      <c r="L47" s="67" t="s">
        <v>840</v>
      </c>
      <c r="M47" s="66">
        <f>4390</f>
        <v>4390</v>
      </c>
      <c r="N47" s="67" t="s">
        <v>86</v>
      </c>
      <c r="O47" s="66">
        <f>3720</f>
        <v>3720</v>
      </c>
      <c r="P47" s="67" t="s">
        <v>833</v>
      </c>
      <c r="Q47" s="66">
        <f>4050</f>
        <v>4050</v>
      </c>
      <c r="R47" s="67" t="s">
        <v>50</v>
      </c>
      <c r="S47" s="68">
        <f>3978.81</f>
        <v>3978.81</v>
      </c>
      <c r="T47" s="65">
        <f>1265</f>
        <v>1265</v>
      </c>
      <c r="U47" s="65" t="str">
        <f t="shared" si="0"/>
        <v>－</v>
      </c>
      <c r="V47" s="65">
        <f>5176700</f>
        <v>5176700</v>
      </c>
      <c r="W47" s="65" t="str">
        <f t="shared" si="1"/>
        <v>－</v>
      </c>
      <c r="X47" s="69">
        <f>21</f>
        <v>21</v>
      </c>
    </row>
    <row r="48" spans="1:24">
      <c r="A48" s="60" t="s">
        <v>839</v>
      </c>
      <c r="B48" s="60" t="s">
        <v>185</v>
      </c>
      <c r="C48" s="60" t="s">
        <v>186</v>
      </c>
      <c r="D48" s="60" t="s">
        <v>187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2000</f>
        <v>2000</v>
      </c>
      <c r="L48" s="67" t="s">
        <v>840</v>
      </c>
      <c r="M48" s="66">
        <f>2340</f>
        <v>2340</v>
      </c>
      <c r="N48" s="67" t="s">
        <v>49</v>
      </c>
      <c r="O48" s="66">
        <f>1959</f>
        <v>1959</v>
      </c>
      <c r="P48" s="67" t="s">
        <v>833</v>
      </c>
      <c r="Q48" s="66">
        <f>2153</f>
        <v>2153</v>
      </c>
      <c r="R48" s="67" t="s">
        <v>50</v>
      </c>
      <c r="S48" s="68">
        <f>2106.62</f>
        <v>2106.62</v>
      </c>
      <c r="T48" s="65">
        <f>4223</f>
        <v>4223</v>
      </c>
      <c r="U48" s="65">
        <f>6</f>
        <v>6</v>
      </c>
      <c r="V48" s="65">
        <f>9126401</f>
        <v>9126401</v>
      </c>
      <c r="W48" s="65">
        <f>12434</f>
        <v>12434</v>
      </c>
      <c r="X48" s="69">
        <f>21</f>
        <v>21</v>
      </c>
    </row>
    <row r="49" spans="1:24">
      <c r="A49" s="60" t="s">
        <v>839</v>
      </c>
      <c r="B49" s="60" t="s">
        <v>188</v>
      </c>
      <c r="C49" s="60" t="s">
        <v>189</v>
      </c>
      <c r="D49" s="60" t="s">
        <v>190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2250</f>
        <v>2250</v>
      </c>
      <c r="L49" s="67" t="s">
        <v>840</v>
      </c>
      <c r="M49" s="66">
        <f>2250</f>
        <v>2250</v>
      </c>
      <c r="N49" s="67" t="s">
        <v>840</v>
      </c>
      <c r="O49" s="66">
        <f>1987</f>
        <v>1987</v>
      </c>
      <c r="P49" s="67" t="s">
        <v>100</v>
      </c>
      <c r="Q49" s="66">
        <f>2147</f>
        <v>2147</v>
      </c>
      <c r="R49" s="67" t="s">
        <v>50</v>
      </c>
      <c r="S49" s="68">
        <f>2159.71</f>
        <v>2159.71</v>
      </c>
      <c r="T49" s="65">
        <f>2412</f>
        <v>2412</v>
      </c>
      <c r="U49" s="65" t="str">
        <f t="shared" ref="U49:U54" si="2">"－"</f>
        <v>－</v>
      </c>
      <c r="V49" s="65">
        <f>5132695</f>
        <v>5132695</v>
      </c>
      <c r="W49" s="65" t="str">
        <f t="shared" ref="W49:W54" si="3">"－"</f>
        <v>－</v>
      </c>
      <c r="X49" s="69">
        <f>21</f>
        <v>21</v>
      </c>
    </row>
    <row r="50" spans="1:24">
      <c r="A50" s="60" t="s">
        <v>839</v>
      </c>
      <c r="B50" s="60" t="s">
        <v>191</v>
      </c>
      <c r="C50" s="60" t="s">
        <v>192</v>
      </c>
      <c r="D50" s="60" t="s">
        <v>193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31400</f>
        <v>31400</v>
      </c>
      <c r="L50" s="67" t="s">
        <v>840</v>
      </c>
      <c r="M50" s="66">
        <f>34000</f>
        <v>34000</v>
      </c>
      <c r="N50" s="67" t="s">
        <v>65</v>
      </c>
      <c r="O50" s="66">
        <f>26200</f>
        <v>26200</v>
      </c>
      <c r="P50" s="67" t="s">
        <v>840</v>
      </c>
      <c r="Q50" s="66">
        <f>30000</f>
        <v>30000</v>
      </c>
      <c r="R50" s="67" t="s">
        <v>50</v>
      </c>
      <c r="S50" s="68">
        <f>29226.84</f>
        <v>29226.84</v>
      </c>
      <c r="T50" s="65">
        <f>1757</f>
        <v>1757</v>
      </c>
      <c r="U50" s="65" t="str">
        <f t="shared" si="2"/>
        <v>－</v>
      </c>
      <c r="V50" s="65">
        <f>52509970</f>
        <v>52509970</v>
      </c>
      <c r="W50" s="65" t="str">
        <f t="shared" si="3"/>
        <v>－</v>
      </c>
      <c r="X50" s="69">
        <f>19</f>
        <v>19</v>
      </c>
    </row>
    <row r="51" spans="1:24">
      <c r="A51" s="60" t="s">
        <v>839</v>
      </c>
      <c r="B51" s="60" t="s">
        <v>194</v>
      </c>
      <c r="C51" s="60" t="s">
        <v>195</v>
      </c>
      <c r="D51" s="60" t="s">
        <v>196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19500</f>
        <v>19500</v>
      </c>
      <c r="L51" s="67" t="s">
        <v>840</v>
      </c>
      <c r="M51" s="66">
        <f>22990</f>
        <v>22990</v>
      </c>
      <c r="N51" s="67" t="s">
        <v>49</v>
      </c>
      <c r="O51" s="66">
        <f>18140</f>
        <v>18140</v>
      </c>
      <c r="P51" s="67" t="s">
        <v>814</v>
      </c>
      <c r="Q51" s="66">
        <f>21860</f>
        <v>21860</v>
      </c>
      <c r="R51" s="67" t="s">
        <v>50</v>
      </c>
      <c r="S51" s="68">
        <f>20810</f>
        <v>20810</v>
      </c>
      <c r="T51" s="65">
        <f>231</f>
        <v>231</v>
      </c>
      <c r="U51" s="65" t="str">
        <f t="shared" si="2"/>
        <v>－</v>
      </c>
      <c r="V51" s="65">
        <f>4812860</f>
        <v>4812860</v>
      </c>
      <c r="W51" s="65" t="str">
        <f t="shared" si="3"/>
        <v>－</v>
      </c>
      <c r="X51" s="69">
        <f>17</f>
        <v>17</v>
      </c>
    </row>
    <row r="52" spans="1:24">
      <c r="A52" s="60" t="s">
        <v>839</v>
      </c>
      <c r="B52" s="60" t="s">
        <v>197</v>
      </c>
      <c r="C52" s="60" t="s">
        <v>198</v>
      </c>
      <c r="D52" s="60" t="s">
        <v>199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19060</f>
        <v>19060</v>
      </c>
      <c r="L52" s="67" t="s">
        <v>840</v>
      </c>
      <c r="M52" s="66">
        <f>20710</f>
        <v>20710</v>
      </c>
      <c r="N52" s="67" t="s">
        <v>95</v>
      </c>
      <c r="O52" s="66">
        <f>17970</f>
        <v>17970</v>
      </c>
      <c r="P52" s="67" t="s">
        <v>814</v>
      </c>
      <c r="Q52" s="66">
        <f>20590</f>
        <v>20590</v>
      </c>
      <c r="R52" s="67" t="s">
        <v>50</v>
      </c>
      <c r="S52" s="68">
        <f>19408.42</f>
        <v>19408.419999999998</v>
      </c>
      <c r="T52" s="65">
        <f>4314</f>
        <v>4314</v>
      </c>
      <c r="U52" s="65" t="str">
        <f t="shared" si="2"/>
        <v>－</v>
      </c>
      <c r="V52" s="65">
        <f>83416760</f>
        <v>83416760</v>
      </c>
      <c r="W52" s="65" t="str">
        <f t="shared" si="3"/>
        <v>－</v>
      </c>
      <c r="X52" s="69">
        <f>19</f>
        <v>19</v>
      </c>
    </row>
    <row r="53" spans="1:24">
      <c r="A53" s="60" t="s">
        <v>839</v>
      </c>
      <c r="B53" s="60" t="s">
        <v>200</v>
      </c>
      <c r="C53" s="60" t="s">
        <v>201</v>
      </c>
      <c r="D53" s="60" t="s">
        <v>202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1638</f>
        <v>1638</v>
      </c>
      <c r="L53" s="67" t="s">
        <v>840</v>
      </c>
      <c r="M53" s="66">
        <f>1638</f>
        <v>1638</v>
      </c>
      <c r="N53" s="67" t="s">
        <v>840</v>
      </c>
      <c r="O53" s="66">
        <f>1440</f>
        <v>1440</v>
      </c>
      <c r="P53" s="67" t="s">
        <v>833</v>
      </c>
      <c r="Q53" s="66">
        <f>1620</f>
        <v>1620</v>
      </c>
      <c r="R53" s="67" t="s">
        <v>50</v>
      </c>
      <c r="S53" s="68">
        <f>1557.14</f>
        <v>1557.14</v>
      </c>
      <c r="T53" s="65">
        <f>45170</f>
        <v>45170</v>
      </c>
      <c r="U53" s="65" t="str">
        <f t="shared" si="2"/>
        <v>－</v>
      </c>
      <c r="V53" s="65">
        <f>69905820</f>
        <v>69905820</v>
      </c>
      <c r="W53" s="65" t="str">
        <f t="shared" si="3"/>
        <v>－</v>
      </c>
      <c r="X53" s="69">
        <f>21</f>
        <v>21</v>
      </c>
    </row>
    <row r="54" spans="1:24">
      <c r="A54" s="60" t="s">
        <v>839</v>
      </c>
      <c r="B54" s="60" t="s">
        <v>203</v>
      </c>
      <c r="C54" s="60" t="s">
        <v>204</v>
      </c>
      <c r="D54" s="60" t="s">
        <v>205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1257</f>
        <v>1257</v>
      </c>
      <c r="L54" s="67" t="s">
        <v>840</v>
      </c>
      <c r="M54" s="66">
        <f>1290</f>
        <v>1290</v>
      </c>
      <c r="N54" s="67" t="s">
        <v>50</v>
      </c>
      <c r="O54" s="66">
        <f>1193</f>
        <v>1193</v>
      </c>
      <c r="P54" s="67" t="s">
        <v>814</v>
      </c>
      <c r="Q54" s="66">
        <f>1290</f>
        <v>1290</v>
      </c>
      <c r="R54" s="67" t="s">
        <v>50</v>
      </c>
      <c r="S54" s="68">
        <f>1236.18</f>
        <v>1236.18</v>
      </c>
      <c r="T54" s="65">
        <f>15240</f>
        <v>15240</v>
      </c>
      <c r="U54" s="65" t="str">
        <f t="shared" si="2"/>
        <v>－</v>
      </c>
      <c r="V54" s="65">
        <f>18785190</f>
        <v>18785190</v>
      </c>
      <c r="W54" s="65" t="str">
        <f t="shared" si="3"/>
        <v>－</v>
      </c>
      <c r="X54" s="69">
        <f>17</f>
        <v>17</v>
      </c>
    </row>
    <row r="55" spans="1:24">
      <c r="A55" s="60" t="s">
        <v>839</v>
      </c>
      <c r="B55" s="60" t="s">
        <v>206</v>
      </c>
      <c r="C55" s="60" t="s">
        <v>207</v>
      </c>
      <c r="D55" s="60" t="s">
        <v>208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7350</f>
        <v>7350</v>
      </c>
      <c r="L55" s="67" t="s">
        <v>840</v>
      </c>
      <c r="M55" s="66">
        <f>7740</f>
        <v>7740</v>
      </c>
      <c r="N55" s="67" t="s">
        <v>814</v>
      </c>
      <c r="O55" s="66">
        <f>6630</f>
        <v>6630</v>
      </c>
      <c r="P55" s="67" t="s">
        <v>50</v>
      </c>
      <c r="Q55" s="66">
        <f>6700</f>
        <v>6700</v>
      </c>
      <c r="R55" s="67" t="s">
        <v>50</v>
      </c>
      <c r="S55" s="68">
        <f>7083.33</f>
        <v>7083.33</v>
      </c>
      <c r="T55" s="65">
        <f>731442</f>
        <v>731442</v>
      </c>
      <c r="U55" s="65">
        <f>163202</f>
        <v>163202</v>
      </c>
      <c r="V55" s="65">
        <f>5198536056</f>
        <v>5198536056</v>
      </c>
      <c r="W55" s="65">
        <f>1144161136</f>
        <v>1144161136</v>
      </c>
      <c r="X55" s="69">
        <f>21</f>
        <v>21</v>
      </c>
    </row>
    <row r="56" spans="1:24">
      <c r="A56" s="60" t="s">
        <v>839</v>
      </c>
      <c r="B56" s="60" t="s">
        <v>209</v>
      </c>
      <c r="C56" s="60" t="s">
        <v>210</v>
      </c>
      <c r="D56" s="60" t="s">
        <v>211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8090</f>
        <v>8090</v>
      </c>
      <c r="L56" s="67" t="s">
        <v>840</v>
      </c>
      <c r="M56" s="66">
        <f>8500</f>
        <v>8500</v>
      </c>
      <c r="N56" s="67" t="s">
        <v>814</v>
      </c>
      <c r="O56" s="66">
        <f>7500</f>
        <v>7500</v>
      </c>
      <c r="P56" s="67" t="s">
        <v>50</v>
      </c>
      <c r="Q56" s="66">
        <f>7590</f>
        <v>7590</v>
      </c>
      <c r="R56" s="67" t="s">
        <v>50</v>
      </c>
      <c r="S56" s="68">
        <f>7885.24</f>
        <v>7885.24</v>
      </c>
      <c r="T56" s="65">
        <f>182941</f>
        <v>182941</v>
      </c>
      <c r="U56" s="65">
        <f>41000</f>
        <v>41000</v>
      </c>
      <c r="V56" s="65">
        <f>1432940570</f>
        <v>1432940570</v>
      </c>
      <c r="W56" s="65">
        <f>321063530</f>
        <v>321063530</v>
      </c>
      <c r="X56" s="69">
        <f>21</f>
        <v>21</v>
      </c>
    </row>
    <row r="57" spans="1:24">
      <c r="A57" s="60" t="s">
        <v>839</v>
      </c>
      <c r="B57" s="60" t="s">
        <v>212</v>
      </c>
      <c r="C57" s="60" t="s">
        <v>213</v>
      </c>
      <c r="D57" s="60" t="s">
        <v>214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7850</f>
        <v>7850</v>
      </c>
      <c r="L57" s="67" t="s">
        <v>840</v>
      </c>
      <c r="M57" s="66">
        <f>9290</f>
        <v>9290</v>
      </c>
      <c r="N57" s="67" t="s">
        <v>50</v>
      </c>
      <c r="O57" s="66">
        <f>7020</f>
        <v>7020</v>
      </c>
      <c r="P57" s="67" t="s">
        <v>814</v>
      </c>
      <c r="Q57" s="66">
        <f>9140</f>
        <v>9140</v>
      </c>
      <c r="R57" s="67" t="s">
        <v>50</v>
      </c>
      <c r="S57" s="68">
        <f>8290.48</f>
        <v>8290.48</v>
      </c>
      <c r="T57" s="65">
        <f>12477051</f>
        <v>12477051</v>
      </c>
      <c r="U57" s="65">
        <f>5321</f>
        <v>5321</v>
      </c>
      <c r="V57" s="65">
        <f>103002541299</f>
        <v>103002541299</v>
      </c>
      <c r="W57" s="65">
        <f>43213139</f>
        <v>43213139</v>
      </c>
      <c r="X57" s="69">
        <f>21</f>
        <v>21</v>
      </c>
    </row>
    <row r="58" spans="1:24">
      <c r="A58" s="60" t="s">
        <v>839</v>
      </c>
      <c r="B58" s="60" t="s">
        <v>215</v>
      </c>
      <c r="C58" s="60" t="s">
        <v>216</v>
      </c>
      <c r="D58" s="60" t="s">
        <v>217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4905</f>
        <v>4905</v>
      </c>
      <c r="L58" s="67" t="s">
        <v>840</v>
      </c>
      <c r="M58" s="66">
        <f>5420</f>
        <v>5420</v>
      </c>
      <c r="N58" s="67" t="s">
        <v>814</v>
      </c>
      <c r="O58" s="66">
        <f>3940</f>
        <v>3940</v>
      </c>
      <c r="P58" s="67" t="s">
        <v>50</v>
      </c>
      <c r="Q58" s="66">
        <f>4015</f>
        <v>4015</v>
      </c>
      <c r="R58" s="67" t="s">
        <v>50</v>
      </c>
      <c r="S58" s="68">
        <f>4511.19</f>
        <v>4511.1899999999996</v>
      </c>
      <c r="T58" s="65">
        <f>24827543</f>
        <v>24827543</v>
      </c>
      <c r="U58" s="65">
        <f>126859</f>
        <v>126859</v>
      </c>
      <c r="V58" s="65">
        <f>113158374394</f>
        <v>113158374394</v>
      </c>
      <c r="W58" s="65">
        <f>539236529</f>
        <v>539236529</v>
      </c>
      <c r="X58" s="69">
        <f>21</f>
        <v>21</v>
      </c>
    </row>
    <row r="59" spans="1:24">
      <c r="A59" s="60" t="s">
        <v>839</v>
      </c>
      <c r="B59" s="60" t="s">
        <v>218</v>
      </c>
      <c r="C59" s="60" t="s">
        <v>219</v>
      </c>
      <c r="D59" s="60" t="s">
        <v>220</v>
      </c>
      <c r="E59" s="61" t="s">
        <v>46</v>
      </c>
      <c r="F59" s="62" t="s">
        <v>46</v>
      </c>
      <c r="G59" s="63" t="s">
        <v>46</v>
      </c>
      <c r="H59" s="64"/>
      <c r="I59" s="64" t="s">
        <v>47</v>
      </c>
      <c r="J59" s="65">
        <v>1</v>
      </c>
      <c r="K59" s="66">
        <f>16500</f>
        <v>16500</v>
      </c>
      <c r="L59" s="67" t="s">
        <v>100</v>
      </c>
      <c r="M59" s="66">
        <f>17330</f>
        <v>17330</v>
      </c>
      <c r="N59" s="67" t="s">
        <v>79</v>
      </c>
      <c r="O59" s="66">
        <f>16500</f>
        <v>16500</v>
      </c>
      <c r="P59" s="67" t="s">
        <v>100</v>
      </c>
      <c r="Q59" s="66">
        <f>16810</f>
        <v>16810</v>
      </c>
      <c r="R59" s="67" t="s">
        <v>50</v>
      </c>
      <c r="S59" s="68">
        <f>16863.64</f>
        <v>16863.64</v>
      </c>
      <c r="T59" s="65">
        <f>62</f>
        <v>62</v>
      </c>
      <c r="U59" s="65" t="str">
        <f>"－"</f>
        <v>－</v>
      </c>
      <c r="V59" s="65">
        <f>1050880</f>
        <v>1050880</v>
      </c>
      <c r="W59" s="65" t="str">
        <f>"－"</f>
        <v>－</v>
      </c>
      <c r="X59" s="69">
        <f>11</f>
        <v>11</v>
      </c>
    </row>
    <row r="60" spans="1:24">
      <c r="A60" s="60" t="s">
        <v>839</v>
      </c>
      <c r="B60" s="60" t="s">
        <v>221</v>
      </c>
      <c r="C60" s="60" t="s">
        <v>222</v>
      </c>
      <c r="D60" s="60" t="s">
        <v>223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7430</f>
        <v>7430</v>
      </c>
      <c r="L60" s="67" t="s">
        <v>840</v>
      </c>
      <c r="M60" s="66">
        <f>8300</f>
        <v>8300</v>
      </c>
      <c r="N60" s="67" t="s">
        <v>50</v>
      </c>
      <c r="O60" s="66">
        <f>6600</f>
        <v>6600</v>
      </c>
      <c r="P60" s="67" t="s">
        <v>833</v>
      </c>
      <c r="Q60" s="66">
        <f>8100</f>
        <v>8100</v>
      </c>
      <c r="R60" s="67" t="s">
        <v>50</v>
      </c>
      <c r="S60" s="68">
        <f>7575.24</f>
        <v>7575.24</v>
      </c>
      <c r="T60" s="65">
        <f>9708</f>
        <v>9708</v>
      </c>
      <c r="U60" s="65">
        <f>1</f>
        <v>1</v>
      </c>
      <c r="V60" s="65">
        <f>71912690</f>
        <v>71912690</v>
      </c>
      <c r="W60" s="65">
        <f>7600</f>
        <v>7600</v>
      </c>
      <c r="X60" s="69">
        <f>21</f>
        <v>21</v>
      </c>
    </row>
    <row r="61" spans="1:24">
      <c r="A61" s="60" t="s">
        <v>839</v>
      </c>
      <c r="B61" s="60" t="s">
        <v>224</v>
      </c>
      <c r="C61" s="60" t="s">
        <v>225</v>
      </c>
      <c r="D61" s="60" t="s">
        <v>226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7910</f>
        <v>7910</v>
      </c>
      <c r="L61" s="67" t="s">
        <v>840</v>
      </c>
      <c r="M61" s="66">
        <f>8340</f>
        <v>8340</v>
      </c>
      <c r="N61" s="67" t="s">
        <v>814</v>
      </c>
      <c r="O61" s="66">
        <f>7420</f>
        <v>7420</v>
      </c>
      <c r="P61" s="67" t="s">
        <v>50</v>
      </c>
      <c r="Q61" s="66">
        <f>7420</f>
        <v>7420</v>
      </c>
      <c r="R61" s="67" t="s">
        <v>50</v>
      </c>
      <c r="S61" s="68">
        <f>7747.14</f>
        <v>7747.14</v>
      </c>
      <c r="T61" s="65">
        <f>3643</f>
        <v>3643</v>
      </c>
      <c r="U61" s="65" t="str">
        <f>"－"</f>
        <v>－</v>
      </c>
      <c r="V61" s="65">
        <f>28524070</f>
        <v>28524070</v>
      </c>
      <c r="W61" s="65" t="str">
        <f>"－"</f>
        <v>－</v>
      </c>
      <c r="X61" s="69">
        <f>21</f>
        <v>21</v>
      </c>
    </row>
    <row r="62" spans="1:24">
      <c r="A62" s="60" t="s">
        <v>839</v>
      </c>
      <c r="B62" s="60" t="s">
        <v>227</v>
      </c>
      <c r="C62" s="60" t="s">
        <v>228</v>
      </c>
      <c r="D62" s="60" t="s">
        <v>229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5300</f>
        <v>5300</v>
      </c>
      <c r="L62" s="67" t="s">
        <v>840</v>
      </c>
      <c r="M62" s="66">
        <f>5830</f>
        <v>5830</v>
      </c>
      <c r="N62" s="67" t="s">
        <v>48</v>
      </c>
      <c r="O62" s="66">
        <f>4425</f>
        <v>4425</v>
      </c>
      <c r="P62" s="67" t="s">
        <v>50</v>
      </c>
      <c r="Q62" s="66">
        <f>4545</f>
        <v>4545</v>
      </c>
      <c r="R62" s="67" t="s">
        <v>50</v>
      </c>
      <c r="S62" s="68">
        <f>4966.9</f>
        <v>4966.8999999999996</v>
      </c>
      <c r="T62" s="65">
        <f>35098</f>
        <v>35098</v>
      </c>
      <c r="U62" s="65" t="str">
        <f>"－"</f>
        <v>－</v>
      </c>
      <c r="V62" s="65">
        <f>179373435</f>
        <v>179373435</v>
      </c>
      <c r="W62" s="65" t="str">
        <f>"－"</f>
        <v>－</v>
      </c>
      <c r="X62" s="69">
        <f>21</f>
        <v>21</v>
      </c>
    </row>
    <row r="63" spans="1:24">
      <c r="A63" s="60" t="s">
        <v>839</v>
      </c>
      <c r="B63" s="60" t="s">
        <v>230</v>
      </c>
      <c r="C63" s="60" t="s">
        <v>231</v>
      </c>
      <c r="D63" s="60" t="s">
        <v>232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7350</f>
        <v>7350</v>
      </c>
      <c r="L63" s="67" t="s">
        <v>840</v>
      </c>
      <c r="M63" s="66">
        <f>8200</f>
        <v>8200</v>
      </c>
      <c r="N63" s="67" t="s">
        <v>50</v>
      </c>
      <c r="O63" s="66">
        <f>6360</f>
        <v>6360</v>
      </c>
      <c r="P63" s="67" t="s">
        <v>833</v>
      </c>
      <c r="Q63" s="66">
        <f>8180</f>
        <v>8180</v>
      </c>
      <c r="R63" s="67" t="s">
        <v>50</v>
      </c>
      <c r="S63" s="68">
        <f>7380</f>
        <v>7380</v>
      </c>
      <c r="T63" s="65">
        <f>28380</f>
        <v>28380</v>
      </c>
      <c r="U63" s="65" t="str">
        <f>"－"</f>
        <v>－</v>
      </c>
      <c r="V63" s="65">
        <f>205482900</f>
        <v>205482900</v>
      </c>
      <c r="W63" s="65" t="str">
        <f>"－"</f>
        <v>－</v>
      </c>
      <c r="X63" s="69">
        <f>21</f>
        <v>21</v>
      </c>
    </row>
    <row r="64" spans="1:24">
      <c r="A64" s="60" t="s">
        <v>839</v>
      </c>
      <c r="B64" s="60" t="s">
        <v>233</v>
      </c>
      <c r="C64" s="60" t="s">
        <v>234</v>
      </c>
      <c r="D64" s="60" t="s">
        <v>235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8200</f>
        <v>8200</v>
      </c>
      <c r="L64" s="67" t="s">
        <v>840</v>
      </c>
      <c r="M64" s="66">
        <f>8620</f>
        <v>8620</v>
      </c>
      <c r="N64" s="67" t="s">
        <v>814</v>
      </c>
      <c r="O64" s="66">
        <f>7220</f>
        <v>7220</v>
      </c>
      <c r="P64" s="67" t="s">
        <v>50</v>
      </c>
      <c r="Q64" s="66">
        <f>7220</f>
        <v>7220</v>
      </c>
      <c r="R64" s="67" t="s">
        <v>50</v>
      </c>
      <c r="S64" s="68">
        <f>7613.5</f>
        <v>7613.5</v>
      </c>
      <c r="T64" s="65">
        <f>7330</f>
        <v>7330</v>
      </c>
      <c r="U64" s="65" t="str">
        <f>"－"</f>
        <v>－</v>
      </c>
      <c r="V64" s="65">
        <f>56470300</f>
        <v>56470300</v>
      </c>
      <c r="W64" s="65" t="str">
        <f>"－"</f>
        <v>－</v>
      </c>
      <c r="X64" s="69">
        <f>20</f>
        <v>20</v>
      </c>
    </row>
    <row r="65" spans="1:24">
      <c r="A65" s="60" t="s">
        <v>839</v>
      </c>
      <c r="B65" s="60" t="s">
        <v>236</v>
      </c>
      <c r="C65" s="60" t="s">
        <v>237</v>
      </c>
      <c r="D65" s="60" t="s">
        <v>238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5150</f>
        <v>5150</v>
      </c>
      <c r="L65" s="67" t="s">
        <v>840</v>
      </c>
      <c r="M65" s="66">
        <f>5630</f>
        <v>5630</v>
      </c>
      <c r="N65" s="67" t="s">
        <v>48</v>
      </c>
      <c r="O65" s="66">
        <f>4435</f>
        <v>4435</v>
      </c>
      <c r="P65" s="67" t="s">
        <v>50</v>
      </c>
      <c r="Q65" s="66">
        <f>4530</f>
        <v>4530</v>
      </c>
      <c r="R65" s="67" t="s">
        <v>50</v>
      </c>
      <c r="S65" s="68">
        <f>4922.14</f>
        <v>4922.1400000000003</v>
      </c>
      <c r="T65" s="65">
        <f>94490</f>
        <v>94490</v>
      </c>
      <c r="U65" s="65">
        <f>30</f>
        <v>30</v>
      </c>
      <c r="V65" s="65">
        <f>477387300</f>
        <v>477387300</v>
      </c>
      <c r="W65" s="65">
        <f>163800</f>
        <v>163800</v>
      </c>
      <c r="X65" s="69">
        <f>21</f>
        <v>21</v>
      </c>
    </row>
    <row r="66" spans="1:24">
      <c r="A66" s="60" t="s">
        <v>839</v>
      </c>
      <c r="B66" s="60" t="s">
        <v>239</v>
      </c>
      <c r="C66" s="60" t="s">
        <v>240</v>
      </c>
      <c r="D66" s="60" t="s">
        <v>241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f>14770</f>
        <v>14770</v>
      </c>
      <c r="L66" s="67" t="s">
        <v>840</v>
      </c>
      <c r="M66" s="66">
        <f>17340</f>
        <v>17340</v>
      </c>
      <c r="N66" s="67" t="s">
        <v>50</v>
      </c>
      <c r="O66" s="66">
        <f>13580</f>
        <v>13580</v>
      </c>
      <c r="P66" s="67" t="s">
        <v>814</v>
      </c>
      <c r="Q66" s="66">
        <f>16200</f>
        <v>16200</v>
      </c>
      <c r="R66" s="67" t="s">
        <v>50</v>
      </c>
      <c r="S66" s="68">
        <f>15321.9</f>
        <v>15321.9</v>
      </c>
      <c r="T66" s="65">
        <f>7931</f>
        <v>7931</v>
      </c>
      <c r="U66" s="65">
        <f>1</f>
        <v>1</v>
      </c>
      <c r="V66" s="65">
        <f>121987770</f>
        <v>121987770</v>
      </c>
      <c r="W66" s="65">
        <f>14400</f>
        <v>14400</v>
      </c>
      <c r="X66" s="69">
        <f>21</f>
        <v>21</v>
      </c>
    </row>
    <row r="67" spans="1:24">
      <c r="A67" s="60" t="s">
        <v>839</v>
      </c>
      <c r="B67" s="60" t="s">
        <v>242</v>
      </c>
      <c r="C67" s="60" t="s">
        <v>243</v>
      </c>
      <c r="D67" s="60" t="s">
        <v>244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5210</f>
        <v>5210</v>
      </c>
      <c r="L67" s="67" t="s">
        <v>840</v>
      </c>
      <c r="M67" s="66">
        <f>5460</f>
        <v>5460</v>
      </c>
      <c r="N67" s="67" t="s">
        <v>65</v>
      </c>
      <c r="O67" s="66">
        <f>4855</f>
        <v>4855</v>
      </c>
      <c r="P67" s="67" t="s">
        <v>79</v>
      </c>
      <c r="Q67" s="66">
        <f>5120</f>
        <v>5120</v>
      </c>
      <c r="R67" s="67" t="s">
        <v>50</v>
      </c>
      <c r="S67" s="68">
        <f>5078.61</f>
        <v>5078.6099999999997</v>
      </c>
      <c r="T67" s="65">
        <f>21447</f>
        <v>21447</v>
      </c>
      <c r="U67" s="65">
        <f>20000</f>
        <v>20000</v>
      </c>
      <c r="V67" s="65">
        <f>106934080</f>
        <v>106934080</v>
      </c>
      <c r="W67" s="65">
        <f>99640000</f>
        <v>99640000</v>
      </c>
      <c r="X67" s="69">
        <f>18</f>
        <v>18</v>
      </c>
    </row>
    <row r="68" spans="1:24">
      <c r="A68" s="60" t="s">
        <v>839</v>
      </c>
      <c r="B68" s="60" t="s">
        <v>246</v>
      </c>
      <c r="C68" s="60" t="s">
        <v>247</v>
      </c>
      <c r="D68" s="60" t="s">
        <v>248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f>2050</f>
        <v>2050</v>
      </c>
      <c r="L68" s="67" t="s">
        <v>840</v>
      </c>
      <c r="M68" s="66">
        <f>2280</f>
        <v>2280</v>
      </c>
      <c r="N68" s="67" t="s">
        <v>833</v>
      </c>
      <c r="O68" s="66">
        <f>1725</f>
        <v>1725</v>
      </c>
      <c r="P68" s="67" t="s">
        <v>50</v>
      </c>
      <c r="Q68" s="66">
        <f>1764</f>
        <v>1764</v>
      </c>
      <c r="R68" s="67" t="s">
        <v>50</v>
      </c>
      <c r="S68" s="68">
        <f>1964.43</f>
        <v>1964.43</v>
      </c>
      <c r="T68" s="65">
        <f>116785</f>
        <v>116785</v>
      </c>
      <c r="U68" s="65">
        <f>55</f>
        <v>55</v>
      </c>
      <c r="V68" s="65">
        <f>234644756</f>
        <v>234644756</v>
      </c>
      <c r="W68" s="65">
        <f>104390</f>
        <v>104390</v>
      </c>
      <c r="X68" s="69">
        <f>21</f>
        <v>21</v>
      </c>
    </row>
    <row r="69" spans="1:24">
      <c r="A69" s="60" t="s">
        <v>839</v>
      </c>
      <c r="B69" s="60" t="s">
        <v>249</v>
      </c>
      <c r="C69" s="60" t="s">
        <v>250</v>
      </c>
      <c r="D69" s="60" t="s">
        <v>251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10</v>
      </c>
      <c r="K69" s="66">
        <f>1411</f>
        <v>1411</v>
      </c>
      <c r="L69" s="67" t="s">
        <v>840</v>
      </c>
      <c r="M69" s="66">
        <f>1628</f>
        <v>1628</v>
      </c>
      <c r="N69" s="67" t="s">
        <v>50</v>
      </c>
      <c r="O69" s="66">
        <f>1346</f>
        <v>1346</v>
      </c>
      <c r="P69" s="67" t="s">
        <v>814</v>
      </c>
      <c r="Q69" s="66">
        <f>1492</f>
        <v>1492</v>
      </c>
      <c r="R69" s="67" t="s">
        <v>50</v>
      </c>
      <c r="S69" s="68">
        <f>1438.95</f>
        <v>1438.95</v>
      </c>
      <c r="T69" s="65">
        <f>731140</f>
        <v>731140</v>
      </c>
      <c r="U69" s="65">
        <f>634400</f>
        <v>634400</v>
      </c>
      <c r="V69" s="65">
        <f>1024677925</f>
        <v>1024677925</v>
      </c>
      <c r="W69" s="65">
        <f>884513595</f>
        <v>884513595</v>
      </c>
      <c r="X69" s="69">
        <f>21</f>
        <v>21</v>
      </c>
    </row>
    <row r="70" spans="1:24">
      <c r="A70" s="60" t="s">
        <v>839</v>
      </c>
      <c r="B70" s="60" t="s">
        <v>252</v>
      </c>
      <c r="C70" s="60" t="s">
        <v>253</v>
      </c>
      <c r="D70" s="60" t="s">
        <v>254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12860</f>
        <v>12860</v>
      </c>
      <c r="L70" s="67" t="s">
        <v>840</v>
      </c>
      <c r="M70" s="66">
        <f>13470</f>
        <v>13470</v>
      </c>
      <c r="N70" s="67" t="s">
        <v>50</v>
      </c>
      <c r="O70" s="66">
        <f>12050</f>
        <v>12050</v>
      </c>
      <c r="P70" s="67" t="s">
        <v>814</v>
      </c>
      <c r="Q70" s="66">
        <f>13310</f>
        <v>13310</v>
      </c>
      <c r="R70" s="67" t="s">
        <v>50</v>
      </c>
      <c r="S70" s="68">
        <f>12866.5</f>
        <v>12866.5</v>
      </c>
      <c r="T70" s="65">
        <f>6094</f>
        <v>6094</v>
      </c>
      <c r="U70" s="65" t="str">
        <f>"－"</f>
        <v>－</v>
      </c>
      <c r="V70" s="65">
        <f>77865680</f>
        <v>77865680</v>
      </c>
      <c r="W70" s="65" t="str">
        <f>"－"</f>
        <v>－</v>
      </c>
      <c r="X70" s="69">
        <f>20</f>
        <v>20</v>
      </c>
    </row>
    <row r="71" spans="1:24">
      <c r="A71" s="60" t="s">
        <v>839</v>
      </c>
      <c r="B71" s="60" t="s">
        <v>255</v>
      </c>
      <c r="C71" s="60" t="s">
        <v>256</v>
      </c>
      <c r="D71" s="60" t="s">
        <v>257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1421</f>
        <v>1421</v>
      </c>
      <c r="L71" s="67" t="s">
        <v>840</v>
      </c>
      <c r="M71" s="66">
        <f>1517</f>
        <v>1517</v>
      </c>
      <c r="N71" s="67" t="s">
        <v>50</v>
      </c>
      <c r="O71" s="66">
        <f>1347</f>
        <v>1347</v>
      </c>
      <c r="P71" s="67" t="s">
        <v>814</v>
      </c>
      <c r="Q71" s="66">
        <f>1496</f>
        <v>1496</v>
      </c>
      <c r="R71" s="67" t="s">
        <v>50</v>
      </c>
      <c r="S71" s="68">
        <f>1446.67</f>
        <v>1446.67</v>
      </c>
      <c r="T71" s="65">
        <f>14109628</f>
        <v>14109628</v>
      </c>
      <c r="U71" s="65">
        <f>10803244</f>
        <v>10803244</v>
      </c>
      <c r="V71" s="65">
        <f>20751109639</f>
        <v>20751109639</v>
      </c>
      <c r="W71" s="65">
        <f>15954103325</f>
        <v>15954103325</v>
      </c>
      <c r="X71" s="69">
        <f>21</f>
        <v>21</v>
      </c>
    </row>
    <row r="72" spans="1:24">
      <c r="A72" s="60" t="s">
        <v>839</v>
      </c>
      <c r="B72" s="60" t="s">
        <v>258</v>
      </c>
      <c r="C72" s="60" t="s">
        <v>259</v>
      </c>
      <c r="D72" s="60" t="s">
        <v>260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1659</f>
        <v>1659</v>
      </c>
      <c r="L72" s="67" t="s">
        <v>840</v>
      </c>
      <c r="M72" s="66">
        <f>1660</f>
        <v>1660</v>
      </c>
      <c r="N72" s="67" t="s">
        <v>119</v>
      </c>
      <c r="O72" s="66">
        <f>1456</f>
        <v>1456</v>
      </c>
      <c r="P72" s="67" t="s">
        <v>48</v>
      </c>
      <c r="Q72" s="66">
        <f>1637</f>
        <v>1637</v>
      </c>
      <c r="R72" s="67" t="s">
        <v>50</v>
      </c>
      <c r="S72" s="68">
        <f>1580.67</f>
        <v>1580.67</v>
      </c>
      <c r="T72" s="65">
        <f>2461859</f>
        <v>2461859</v>
      </c>
      <c r="U72" s="65">
        <f>191244</f>
        <v>191244</v>
      </c>
      <c r="V72" s="65">
        <f>3940946025</f>
        <v>3940946025</v>
      </c>
      <c r="W72" s="65">
        <f>303959756</f>
        <v>303959756</v>
      </c>
      <c r="X72" s="69">
        <f>21</f>
        <v>21</v>
      </c>
    </row>
    <row r="73" spans="1:24">
      <c r="A73" s="60" t="s">
        <v>839</v>
      </c>
      <c r="B73" s="60" t="s">
        <v>261</v>
      </c>
      <c r="C73" s="60" t="s">
        <v>262</v>
      </c>
      <c r="D73" s="60" t="s">
        <v>263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1619</f>
        <v>1619</v>
      </c>
      <c r="L73" s="67" t="s">
        <v>840</v>
      </c>
      <c r="M73" s="66">
        <f>1695</f>
        <v>1695</v>
      </c>
      <c r="N73" s="67" t="s">
        <v>50</v>
      </c>
      <c r="O73" s="66">
        <f>1548</f>
        <v>1548</v>
      </c>
      <c r="P73" s="67" t="s">
        <v>814</v>
      </c>
      <c r="Q73" s="66">
        <f>1648</f>
        <v>1648</v>
      </c>
      <c r="R73" s="67" t="s">
        <v>50</v>
      </c>
      <c r="S73" s="68">
        <f>1634.33</f>
        <v>1634.33</v>
      </c>
      <c r="T73" s="65">
        <f>131198</f>
        <v>131198</v>
      </c>
      <c r="U73" s="65" t="str">
        <f>"－"</f>
        <v>－</v>
      </c>
      <c r="V73" s="65">
        <f>213931524</f>
        <v>213931524</v>
      </c>
      <c r="W73" s="65" t="str">
        <f>"－"</f>
        <v>－</v>
      </c>
      <c r="X73" s="69">
        <f>21</f>
        <v>21</v>
      </c>
    </row>
    <row r="74" spans="1:24">
      <c r="A74" s="60" t="s">
        <v>839</v>
      </c>
      <c r="B74" s="60" t="s">
        <v>264</v>
      </c>
      <c r="C74" s="60" t="s">
        <v>265</v>
      </c>
      <c r="D74" s="60" t="s">
        <v>266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1668</f>
        <v>1668</v>
      </c>
      <c r="L74" s="67" t="s">
        <v>840</v>
      </c>
      <c r="M74" s="66">
        <f>1692</f>
        <v>1692</v>
      </c>
      <c r="N74" s="67" t="s">
        <v>840</v>
      </c>
      <c r="O74" s="66">
        <f>1544</f>
        <v>1544</v>
      </c>
      <c r="P74" s="67" t="s">
        <v>833</v>
      </c>
      <c r="Q74" s="66">
        <f>1682</f>
        <v>1682</v>
      </c>
      <c r="R74" s="67" t="s">
        <v>50</v>
      </c>
      <c r="S74" s="68">
        <f>1627</f>
        <v>1627</v>
      </c>
      <c r="T74" s="65">
        <f>139282</f>
        <v>139282</v>
      </c>
      <c r="U74" s="65">
        <f>19107</f>
        <v>19107</v>
      </c>
      <c r="V74" s="65">
        <f>226232972</f>
        <v>226232972</v>
      </c>
      <c r="W74" s="65">
        <f>31237109</f>
        <v>31237109</v>
      </c>
      <c r="X74" s="69">
        <f>21</f>
        <v>21</v>
      </c>
    </row>
    <row r="75" spans="1:24">
      <c r="A75" s="60" t="s">
        <v>839</v>
      </c>
      <c r="B75" s="60" t="s">
        <v>267</v>
      </c>
      <c r="C75" s="60" t="s">
        <v>268</v>
      </c>
      <c r="D75" s="60" t="s">
        <v>269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17360</f>
        <v>17360</v>
      </c>
      <c r="L75" s="67" t="s">
        <v>840</v>
      </c>
      <c r="M75" s="66">
        <f>18290</f>
        <v>18290</v>
      </c>
      <c r="N75" s="67" t="s">
        <v>50</v>
      </c>
      <c r="O75" s="66">
        <f>16780</f>
        <v>16780</v>
      </c>
      <c r="P75" s="67" t="s">
        <v>814</v>
      </c>
      <c r="Q75" s="66">
        <f>18290</f>
        <v>18290</v>
      </c>
      <c r="R75" s="67" t="s">
        <v>50</v>
      </c>
      <c r="S75" s="68">
        <f>17684</f>
        <v>17684</v>
      </c>
      <c r="T75" s="65">
        <f>131</f>
        <v>131</v>
      </c>
      <c r="U75" s="65" t="str">
        <f>"－"</f>
        <v>－</v>
      </c>
      <c r="V75" s="65">
        <f>2332820</f>
        <v>2332820</v>
      </c>
      <c r="W75" s="65" t="str">
        <f>"－"</f>
        <v>－</v>
      </c>
      <c r="X75" s="69">
        <f>10</f>
        <v>10</v>
      </c>
    </row>
    <row r="76" spans="1:24">
      <c r="A76" s="60" t="s">
        <v>839</v>
      </c>
      <c r="B76" s="60" t="s">
        <v>270</v>
      </c>
      <c r="C76" s="60" t="s">
        <v>271</v>
      </c>
      <c r="D76" s="60" t="s">
        <v>272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13650</f>
        <v>13650</v>
      </c>
      <c r="L76" s="67" t="s">
        <v>833</v>
      </c>
      <c r="M76" s="66">
        <f>14480</f>
        <v>14480</v>
      </c>
      <c r="N76" s="67" t="s">
        <v>50</v>
      </c>
      <c r="O76" s="66">
        <f>12790</f>
        <v>12790</v>
      </c>
      <c r="P76" s="67" t="s">
        <v>814</v>
      </c>
      <c r="Q76" s="66">
        <f>14480</f>
        <v>14480</v>
      </c>
      <c r="R76" s="67" t="s">
        <v>50</v>
      </c>
      <c r="S76" s="68">
        <f>13991.33</f>
        <v>13991.33</v>
      </c>
      <c r="T76" s="65">
        <f>728</f>
        <v>728</v>
      </c>
      <c r="U76" s="65" t="str">
        <f>"－"</f>
        <v>－</v>
      </c>
      <c r="V76" s="65">
        <f>10219720</f>
        <v>10219720</v>
      </c>
      <c r="W76" s="65" t="str">
        <f>"－"</f>
        <v>－</v>
      </c>
      <c r="X76" s="69">
        <f>15</f>
        <v>15</v>
      </c>
    </row>
    <row r="77" spans="1:24">
      <c r="A77" s="60" t="s">
        <v>839</v>
      </c>
      <c r="B77" s="60" t="s">
        <v>273</v>
      </c>
      <c r="C77" s="60" t="s">
        <v>274</v>
      </c>
      <c r="D77" s="60" t="s">
        <v>275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1420</f>
        <v>1420</v>
      </c>
      <c r="L77" s="67" t="s">
        <v>840</v>
      </c>
      <c r="M77" s="66">
        <f>1498</f>
        <v>1498</v>
      </c>
      <c r="N77" s="67" t="s">
        <v>50</v>
      </c>
      <c r="O77" s="66">
        <f>1332</f>
        <v>1332</v>
      </c>
      <c r="P77" s="67" t="s">
        <v>814</v>
      </c>
      <c r="Q77" s="66">
        <f>1462</f>
        <v>1462</v>
      </c>
      <c r="R77" s="67" t="s">
        <v>50</v>
      </c>
      <c r="S77" s="68">
        <f>1422.9</f>
        <v>1422.9</v>
      </c>
      <c r="T77" s="65">
        <f>397991</f>
        <v>397991</v>
      </c>
      <c r="U77" s="65" t="str">
        <f>"－"</f>
        <v>－</v>
      </c>
      <c r="V77" s="65">
        <f>576882175</f>
        <v>576882175</v>
      </c>
      <c r="W77" s="65" t="str">
        <f>"－"</f>
        <v>－</v>
      </c>
      <c r="X77" s="69">
        <f>21</f>
        <v>21</v>
      </c>
    </row>
    <row r="78" spans="1:24">
      <c r="A78" s="60" t="s">
        <v>839</v>
      </c>
      <c r="B78" s="60" t="s">
        <v>276</v>
      </c>
      <c r="C78" s="60" t="s">
        <v>277</v>
      </c>
      <c r="D78" s="60" t="s">
        <v>278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2553</f>
        <v>2553</v>
      </c>
      <c r="L78" s="67" t="s">
        <v>840</v>
      </c>
      <c r="M78" s="66">
        <f>2554</f>
        <v>2554</v>
      </c>
      <c r="N78" s="67" t="s">
        <v>48</v>
      </c>
      <c r="O78" s="66">
        <f>2485</f>
        <v>2485</v>
      </c>
      <c r="P78" s="67" t="s">
        <v>61</v>
      </c>
      <c r="Q78" s="66">
        <f>2515</f>
        <v>2515</v>
      </c>
      <c r="R78" s="67" t="s">
        <v>50</v>
      </c>
      <c r="S78" s="68">
        <f>2519.05</f>
        <v>2519.0500000000002</v>
      </c>
      <c r="T78" s="65">
        <f>1105405</f>
        <v>1105405</v>
      </c>
      <c r="U78" s="65">
        <f>846013</f>
        <v>846013</v>
      </c>
      <c r="V78" s="65">
        <f>2772383462</f>
        <v>2772383462</v>
      </c>
      <c r="W78" s="65">
        <f>2121240906</f>
        <v>2121240906</v>
      </c>
      <c r="X78" s="69">
        <f>21</f>
        <v>21</v>
      </c>
    </row>
    <row r="79" spans="1:24">
      <c r="A79" s="60" t="s">
        <v>839</v>
      </c>
      <c r="B79" s="60" t="s">
        <v>279</v>
      </c>
      <c r="C79" s="60" t="s">
        <v>280</v>
      </c>
      <c r="D79" s="60" t="s">
        <v>281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f>1350</f>
        <v>1350</v>
      </c>
      <c r="L79" s="67" t="s">
        <v>840</v>
      </c>
      <c r="M79" s="66">
        <f>1402</f>
        <v>1402</v>
      </c>
      <c r="N79" s="67" t="s">
        <v>309</v>
      </c>
      <c r="O79" s="66">
        <f>1296</f>
        <v>1296</v>
      </c>
      <c r="P79" s="67" t="s">
        <v>119</v>
      </c>
      <c r="Q79" s="66">
        <f>1345</f>
        <v>1345</v>
      </c>
      <c r="R79" s="67" t="s">
        <v>50</v>
      </c>
      <c r="S79" s="68">
        <f>1335.5</f>
        <v>1335.5</v>
      </c>
      <c r="T79" s="65">
        <f>2953</f>
        <v>2953</v>
      </c>
      <c r="U79" s="65" t="str">
        <f>"－"</f>
        <v>－</v>
      </c>
      <c r="V79" s="65">
        <f>3916136</f>
        <v>3916136</v>
      </c>
      <c r="W79" s="65" t="str">
        <f>"－"</f>
        <v>－</v>
      </c>
      <c r="X79" s="69">
        <f>20</f>
        <v>20</v>
      </c>
    </row>
    <row r="80" spans="1:24">
      <c r="A80" s="60" t="s">
        <v>839</v>
      </c>
      <c r="B80" s="60" t="s">
        <v>282</v>
      </c>
      <c r="C80" s="60" t="s">
        <v>283</v>
      </c>
      <c r="D80" s="60" t="s">
        <v>284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10</v>
      </c>
      <c r="K80" s="66">
        <f>1374</f>
        <v>1374</v>
      </c>
      <c r="L80" s="67" t="s">
        <v>840</v>
      </c>
      <c r="M80" s="66">
        <f>1455</f>
        <v>1455</v>
      </c>
      <c r="N80" s="67" t="s">
        <v>50</v>
      </c>
      <c r="O80" s="66">
        <f>1316</f>
        <v>1316</v>
      </c>
      <c r="P80" s="67" t="s">
        <v>814</v>
      </c>
      <c r="Q80" s="66">
        <f>1448</f>
        <v>1448</v>
      </c>
      <c r="R80" s="67" t="s">
        <v>50</v>
      </c>
      <c r="S80" s="68">
        <f>1406.1</f>
        <v>1406.1</v>
      </c>
      <c r="T80" s="65">
        <f>3300</f>
        <v>3300</v>
      </c>
      <c r="U80" s="65" t="str">
        <f>"－"</f>
        <v>－</v>
      </c>
      <c r="V80" s="65">
        <f>4616290</f>
        <v>4616290</v>
      </c>
      <c r="W80" s="65" t="str">
        <f>"－"</f>
        <v>－</v>
      </c>
      <c r="X80" s="69">
        <f>21</f>
        <v>21</v>
      </c>
    </row>
    <row r="81" spans="1:24">
      <c r="A81" s="60" t="s">
        <v>839</v>
      </c>
      <c r="B81" s="60" t="s">
        <v>285</v>
      </c>
      <c r="C81" s="60" t="s">
        <v>286</v>
      </c>
      <c r="D81" s="60" t="s">
        <v>287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25000</f>
        <v>25000</v>
      </c>
      <c r="L81" s="67" t="s">
        <v>65</v>
      </c>
      <c r="M81" s="66">
        <f>25480</f>
        <v>25480</v>
      </c>
      <c r="N81" s="67" t="s">
        <v>119</v>
      </c>
      <c r="O81" s="66">
        <f>22700</f>
        <v>22700</v>
      </c>
      <c r="P81" s="67" t="s">
        <v>90</v>
      </c>
      <c r="Q81" s="66">
        <f>24650</f>
        <v>24650</v>
      </c>
      <c r="R81" s="67" t="s">
        <v>79</v>
      </c>
      <c r="S81" s="68">
        <f>24455</f>
        <v>24455</v>
      </c>
      <c r="T81" s="65">
        <f>13</f>
        <v>13</v>
      </c>
      <c r="U81" s="65" t="str">
        <f>"－"</f>
        <v>－</v>
      </c>
      <c r="V81" s="65">
        <f>320260</f>
        <v>320260</v>
      </c>
      <c r="W81" s="65" t="str">
        <f>"－"</f>
        <v>－</v>
      </c>
      <c r="X81" s="69">
        <f>4</f>
        <v>4</v>
      </c>
    </row>
    <row r="82" spans="1:24">
      <c r="A82" s="60" t="s">
        <v>839</v>
      </c>
      <c r="B82" s="60" t="s">
        <v>288</v>
      </c>
      <c r="C82" s="60" t="s">
        <v>289</v>
      </c>
      <c r="D82" s="60" t="s">
        <v>290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22370</f>
        <v>22370</v>
      </c>
      <c r="L82" s="67" t="s">
        <v>840</v>
      </c>
      <c r="M82" s="66">
        <f>22810</f>
        <v>22810</v>
      </c>
      <c r="N82" s="67" t="s">
        <v>65</v>
      </c>
      <c r="O82" s="66">
        <f>22190</f>
        <v>22190</v>
      </c>
      <c r="P82" s="67" t="s">
        <v>61</v>
      </c>
      <c r="Q82" s="66">
        <f>22340</f>
        <v>22340</v>
      </c>
      <c r="R82" s="67" t="s">
        <v>50</v>
      </c>
      <c r="S82" s="68">
        <f>22587.5</f>
        <v>22587.5</v>
      </c>
      <c r="T82" s="65">
        <f>93180</f>
        <v>93180</v>
      </c>
      <c r="U82" s="65">
        <f>92400</f>
        <v>92400</v>
      </c>
      <c r="V82" s="65">
        <f>2096801750</f>
        <v>2096801750</v>
      </c>
      <c r="W82" s="65">
        <f>2079235800</f>
        <v>2079235800</v>
      </c>
      <c r="X82" s="69">
        <f>20</f>
        <v>20</v>
      </c>
    </row>
    <row r="83" spans="1:24">
      <c r="A83" s="60" t="s">
        <v>839</v>
      </c>
      <c r="B83" s="60" t="s">
        <v>291</v>
      </c>
      <c r="C83" s="60" t="s">
        <v>292</v>
      </c>
      <c r="D83" s="60" t="s">
        <v>293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</v>
      </c>
      <c r="K83" s="66">
        <f>19800</f>
        <v>19800</v>
      </c>
      <c r="L83" s="67" t="s">
        <v>840</v>
      </c>
      <c r="M83" s="66">
        <f>20200</f>
        <v>20200</v>
      </c>
      <c r="N83" s="67" t="s">
        <v>833</v>
      </c>
      <c r="O83" s="66">
        <f>19630</f>
        <v>19630</v>
      </c>
      <c r="P83" s="67" t="s">
        <v>100</v>
      </c>
      <c r="Q83" s="66">
        <f>19800</f>
        <v>19800</v>
      </c>
      <c r="R83" s="67" t="s">
        <v>50</v>
      </c>
      <c r="S83" s="68">
        <f>19924</f>
        <v>19924</v>
      </c>
      <c r="T83" s="65">
        <f>504</f>
        <v>504</v>
      </c>
      <c r="U83" s="65" t="str">
        <f>"－"</f>
        <v>－</v>
      </c>
      <c r="V83" s="65">
        <f>10041000</f>
        <v>10041000</v>
      </c>
      <c r="W83" s="65" t="str">
        <f>"－"</f>
        <v>－</v>
      </c>
      <c r="X83" s="69">
        <f>20</f>
        <v>20</v>
      </c>
    </row>
    <row r="84" spans="1:24">
      <c r="A84" s="60" t="s">
        <v>839</v>
      </c>
      <c r="B84" s="60" t="s">
        <v>294</v>
      </c>
      <c r="C84" s="60" t="s">
        <v>295</v>
      </c>
      <c r="D84" s="60" t="s">
        <v>296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10</v>
      </c>
      <c r="K84" s="66">
        <f>1620</f>
        <v>1620</v>
      </c>
      <c r="L84" s="67" t="s">
        <v>840</v>
      </c>
      <c r="M84" s="66">
        <f>1654</f>
        <v>1654</v>
      </c>
      <c r="N84" s="67" t="s">
        <v>95</v>
      </c>
      <c r="O84" s="66">
        <f>1447</f>
        <v>1447</v>
      </c>
      <c r="P84" s="67" t="s">
        <v>833</v>
      </c>
      <c r="Q84" s="66">
        <f>1632</f>
        <v>1632</v>
      </c>
      <c r="R84" s="67" t="s">
        <v>50</v>
      </c>
      <c r="S84" s="68">
        <f>1575.9</f>
        <v>1575.9</v>
      </c>
      <c r="T84" s="65">
        <f>1344410</f>
        <v>1344410</v>
      </c>
      <c r="U84" s="65" t="str">
        <f>"－"</f>
        <v>－</v>
      </c>
      <c r="V84" s="65">
        <f>2136114970</f>
        <v>2136114970</v>
      </c>
      <c r="W84" s="65" t="str">
        <f>"－"</f>
        <v>－</v>
      </c>
      <c r="X84" s="69">
        <f>21</f>
        <v>21</v>
      </c>
    </row>
    <row r="85" spans="1:24">
      <c r="A85" s="60" t="s">
        <v>839</v>
      </c>
      <c r="B85" s="60" t="s">
        <v>297</v>
      </c>
      <c r="C85" s="60" t="s">
        <v>298</v>
      </c>
      <c r="D85" s="60" t="s">
        <v>299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f>26650</f>
        <v>26650</v>
      </c>
      <c r="L85" s="67" t="s">
        <v>840</v>
      </c>
      <c r="M85" s="66">
        <f>27150</f>
        <v>27150</v>
      </c>
      <c r="N85" s="67" t="s">
        <v>50</v>
      </c>
      <c r="O85" s="66">
        <f>24640</f>
        <v>24640</v>
      </c>
      <c r="P85" s="67" t="s">
        <v>48</v>
      </c>
      <c r="Q85" s="66">
        <f>26990</f>
        <v>26990</v>
      </c>
      <c r="R85" s="67" t="s">
        <v>50</v>
      </c>
      <c r="S85" s="68">
        <f>26055.24</f>
        <v>26055.24</v>
      </c>
      <c r="T85" s="65">
        <f>40417</f>
        <v>40417</v>
      </c>
      <c r="U85" s="65" t="str">
        <f>"－"</f>
        <v>－</v>
      </c>
      <c r="V85" s="65">
        <f>1049725730</f>
        <v>1049725730</v>
      </c>
      <c r="W85" s="65" t="str">
        <f>"－"</f>
        <v>－</v>
      </c>
      <c r="X85" s="69">
        <f>21</f>
        <v>21</v>
      </c>
    </row>
    <row r="86" spans="1:24">
      <c r="A86" s="60" t="s">
        <v>839</v>
      </c>
      <c r="B86" s="60" t="s">
        <v>300</v>
      </c>
      <c r="C86" s="60" t="s">
        <v>301</v>
      </c>
      <c r="D86" s="60" t="s">
        <v>302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10</v>
      </c>
      <c r="K86" s="66">
        <f>8680</f>
        <v>8680</v>
      </c>
      <c r="L86" s="67" t="s">
        <v>48</v>
      </c>
      <c r="M86" s="66">
        <f>8710</f>
        <v>8710</v>
      </c>
      <c r="N86" s="67" t="s">
        <v>48</v>
      </c>
      <c r="O86" s="66">
        <f>8470</f>
        <v>8470</v>
      </c>
      <c r="P86" s="67" t="s">
        <v>175</v>
      </c>
      <c r="Q86" s="66">
        <f>8480</f>
        <v>8480</v>
      </c>
      <c r="R86" s="67" t="s">
        <v>50</v>
      </c>
      <c r="S86" s="68">
        <f>8561.25</f>
        <v>8561.25</v>
      </c>
      <c r="T86" s="65">
        <f>140</f>
        <v>140</v>
      </c>
      <c r="U86" s="65" t="str">
        <f>"－"</f>
        <v>－</v>
      </c>
      <c r="V86" s="65">
        <f>1197800</f>
        <v>1197800</v>
      </c>
      <c r="W86" s="65" t="str">
        <f>"－"</f>
        <v>－</v>
      </c>
      <c r="X86" s="69">
        <f>8</f>
        <v>8</v>
      </c>
    </row>
    <row r="87" spans="1:24">
      <c r="A87" s="60" t="s">
        <v>839</v>
      </c>
      <c r="B87" s="60" t="s">
        <v>303</v>
      </c>
      <c r="C87" s="60" t="s">
        <v>304</v>
      </c>
      <c r="D87" s="60" t="s">
        <v>305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11480</f>
        <v>11480</v>
      </c>
      <c r="L87" s="67" t="s">
        <v>840</v>
      </c>
      <c r="M87" s="66">
        <f>12350</f>
        <v>12350</v>
      </c>
      <c r="N87" s="67" t="s">
        <v>91</v>
      </c>
      <c r="O87" s="66">
        <f>10200</f>
        <v>10200</v>
      </c>
      <c r="P87" s="67" t="s">
        <v>48</v>
      </c>
      <c r="Q87" s="66">
        <f>12250</f>
        <v>12250</v>
      </c>
      <c r="R87" s="67" t="s">
        <v>50</v>
      </c>
      <c r="S87" s="68">
        <f>11330.48</f>
        <v>11330.48</v>
      </c>
      <c r="T87" s="65">
        <f>1142</f>
        <v>1142</v>
      </c>
      <c r="U87" s="65">
        <f>1</f>
        <v>1</v>
      </c>
      <c r="V87" s="65">
        <f>12994360</f>
        <v>12994360</v>
      </c>
      <c r="W87" s="65">
        <f>11460</f>
        <v>11460</v>
      </c>
      <c r="X87" s="69">
        <f>21</f>
        <v>21</v>
      </c>
    </row>
    <row r="88" spans="1:24">
      <c r="A88" s="60" t="s">
        <v>839</v>
      </c>
      <c r="B88" s="60" t="s">
        <v>306</v>
      </c>
      <c r="C88" s="60" t="s">
        <v>307</v>
      </c>
      <c r="D88" s="60" t="s">
        <v>308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10540</f>
        <v>10540</v>
      </c>
      <c r="L88" s="67" t="s">
        <v>840</v>
      </c>
      <c r="M88" s="66">
        <f>12000</f>
        <v>12000</v>
      </c>
      <c r="N88" s="67" t="s">
        <v>50</v>
      </c>
      <c r="O88" s="66">
        <f>9990</f>
        <v>9990</v>
      </c>
      <c r="P88" s="67" t="s">
        <v>100</v>
      </c>
      <c r="Q88" s="66">
        <f>11970</f>
        <v>11970</v>
      </c>
      <c r="R88" s="67" t="s">
        <v>50</v>
      </c>
      <c r="S88" s="68">
        <f>11164</f>
        <v>11164</v>
      </c>
      <c r="T88" s="65">
        <f>5109</f>
        <v>5109</v>
      </c>
      <c r="U88" s="65" t="str">
        <f t="shared" ref="U88:U94" si="4">"－"</f>
        <v>－</v>
      </c>
      <c r="V88" s="65">
        <f>55444150</f>
        <v>55444150</v>
      </c>
      <c r="W88" s="65" t="str">
        <f t="shared" ref="W88:W94" si="5">"－"</f>
        <v>－</v>
      </c>
      <c r="X88" s="69">
        <f>20</f>
        <v>20</v>
      </c>
    </row>
    <row r="89" spans="1:24">
      <c r="A89" s="60" t="s">
        <v>839</v>
      </c>
      <c r="B89" s="60" t="s">
        <v>310</v>
      </c>
      <c r="C89" s="60" t="s">
        <v>311</v>
      </c>
      <c r="D89" s="60" t="s">
        <v>312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f>14900</f>
        <v>14900</v>
      </c>
      <c r="L89" s="67" t="s">
        <v>840</v>
      </c>
      <c r="M89" s="66">
        <f>16100</f>
        <v>16100</v>
      </c>
      <c r="N89" s="67" t="s">
        <v>50</v>
      </c>
      <c r="O89" s="66">
        <f>13930</f>
        <v>13930</v>
      </c>
      <c r="P89" s="67" t="s">
        <v>814</v>
      </c>
      <c r="Q89" s="66">
        <f>15260</f>
        <v>15260</v>
      </c>
      <c r="R89" s="67" t="s">
        <v>50</v>
      </c>
      <c r="S89" s="68">
        <f>14638.1</f>
        <v>14638.1</v>
      </c>
      <c r="T89" s="65">
        <f>2452</f>
        <v>2452</v>
      </c>
      <c r="U89" s="65" t="str">
        <f t="shared" si="4"/>
        <v>－</v>
      </c>
      <c r="V89" s="65">
        <f>35715470</f>
        <v>35715470</v>
      </c>
      <c r="W89" s="65" t="str">
        <f t="shared" si="5"/>
        <v>－</v>
      </c>
      <c r="X89" s="69">
        <f>21</f>
        <v>21</v>
      </c>
    </row>
    <row r="90" spans="1:24">
      <c r="A90" s="60" t="s">
        <v>839</v>
      </c>
      <c r="B90" s="60" t="s">
        <v>313</v>
      </c>
      <c r="C90" s="60" t="s">
        <v>314</v>
      </c>
      <c r="D90" s="60" t="s">
        <v>315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10</v>
      </c>
      <c r="K90" s="66">
        <f>9070</f>
        <v>9070</v>
      </c>
      <c r="L90" s="67" t="s">
        <v>840</v>
      </c>
      <c r="M90" s="66">
        <f>10120</f>
        <v>10120</v>
      </c>
      <c r="N90" s="67" t="s">
        <v>72</v>
      </c>
      <c r="O90" s="66">
        <f>8600</f>
        <v>8600</v>
      </c>
      <c r="P90" s="67" t="s">
        <v>840</v>
      </c>
      <c r="Q90" s="66">
        <f>9290</f>
        <v>9290</v>
      </c>
      <c r="R90" s="67" t="s">
        <v>50</v>
      </c>
      <c r="S90" s="68">
        <f>9501.43</f>
        <v>9501.43</v>
      </c>
      <c r="T90" s="65">
        <f>6160</f>
        <v>6160</v>
      </c>
      <c r="U90" s="65" t="str">
        <f t="shared" si="4"/>
        <v>－</v>
      </c>
      <c r="V90" s="65">
        <f>58065100</f>
        <v>58065100</v>
      </c>
      <c r="W90" s="65" t="str">
        <f t="shared" si="5"/>
        <v>－</v>
      </c>
      <c r="X90" s="69">
        <f>21</f>
        <v>21</v>
      </c>
    </row>
    <row r="91" spans="1:24">
      <c r="A91" s="60" t="s">
        <v>839</v>
      </c>
      <c r="B91" s="60" t="s">
        <v>316</v>
      </c>
      <c r="C91" s="60" t="s">
        <v>317</v>
      </c>
      <c r="D91" s="60" t="s">
        <v>318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2449</f>
        <v>2449</v>
      </c>
      <c r="L91" s="67" t="s">
        <v>840</v>
      </c>
      <c r="M91" s="66">
        <f>2543</f>
        <v>2543</v>
      </c>
      <c r="N91" s="67" t="s">
        <v>61</v>
      </c>
      <c r="O91" s="66">
        <f>2356</f>
        <v>2356</v>
      </c>
      <c r="P91" s="67" t="s">
        <v>833</v>
      </c>
      <c r="Q91" s="66">
        <f>2524</f>
        <v>2524</v>
      </c>
      <c r="R91" s="67" t="s">
        <v>50</v>
      </c>
      <c r="S91" s="68">
        <f>2489.43</f>
        <v>2489.4299999999998</v>
      </c>
      <c r="T91" s="65">
        <f>36028</f>
        <v>36028</v>
      </c>
      <c r="U91" s="65" t="str">
        <f t="shared" si="4"/>
        <v>－</v>
      </c>
      <c r="V91" s="65">
        <f>88988959</f>
        <v>88988959</v>
      </c>
      <c r="W91" s="65" t="str">
        <f t="shared" si="5"/>
        <v>－</v>
      </c>
      <c r="X91" s="69">
        <f>21</f>
        <v>21</v>
      </c>
    </row>
    <row r="92" spans="1:24">
      <c r="A92" s="60" t="s">
        <v>839</v>
      </c>
      <c r="B92" s="60" t="s">
        <v>319</v>
      </c>
      <c r="C92" s="60" t="s">
        <v>320</v>
      </c>
      <c r="D92" s="60" t="s">
        <v>321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2120</f>
        <v>2120</v>
      </c>
      <c r="L92" s="67" t="s">
        <v>840</v>
      </c>
      <c r="M92" s="66">
        <f>2275</f>
        <v>2275</v>
      </c>
      <c r="N92" s="67" t="s">
        <v>820</v>
      </c>
      <c r="O92" s="66">
        <f>1970</f>
        <v>1970</v>
      </c>
      <c r="P92" s="67" t="s">
        <v>48</v>
      </c>
      <c r="Q92" s="66">
        <f>2167</f>
        <v>2167</v>
      </c>
      <c r="R92" s="67" t="s">
        <v>50</v>
      </c>
      <c r="S92" s="68">
        <f>2136.48</f>
        <v>2136.48</v>
      </c>
      <c r="T92" s="65">
        <f>40139</f>
        <v>40139</v>
      </c>
      <c r="U92" s="65" t="str">
        <f t="shared" si="4"/>
        <v>－</v>
      </c>
      <c r="V92" s="65">
        <f>85325178</f>
        <v>85325178</v>
      </c>
      <c r="W92" s="65" t="str">
        <f t="shared" si="5"/>
        <v>－</v>
      </c>
      <c r="X92" s="69">
        <f>21</f>
        <v>21</v>
      </c>
    </row>
    <row r="93" spans="1:24">
      <c r="A93" s="60" t="s">
        <v>839</v>
      </c>
      <c r="B93" s="60" t="s">
        <v>322</v>
      </c>
      <c r="C93" s="60" t="s">
        <v>323</v>
      </c>
      <c r="D93" s="60" t="s">
        <v>324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10610</f>
        <v>10610</v>
      </c>
      <c r="L93" s="67" t="s">
        <v>840</v>
      </c>
      <c r="M93" s="66">
        <f>11540</f>
        <v>11540</v>
      </c>
      <c r="N93" s="67" t="s">
        <v>50</v>
      </c>
      <c r="O93" s="66">
        <f>10130</f>
        <v>10130</v>
      </c>
      <c r="P93" s="67" t="s">
        <v>814</v>
      </c>
      <c r="Q93" s="66">
        <f>11240</f>
        <v>11240</v>
      </c>
      <c r="R93" s="67" t="s">
        <v>50</v>
      </c>
      <c r="S93" s="68">
        <f>10811.9</f>
        <v>10811.9</v>
      </c>
      <c r="T93" s="65">
        <f>629</f>
        <v>629</v>
      </c>
      <c r="U93" s="65" t="str">
        <f t="shared" si="4"/>
        <v>－</v>
      </c>
      <c r="V93" s="65">
        <f>6835100</f>
        <v>6835100</v>
      </c>
      <c r="W93" s="65" t="str">
        <f t="shared" si="5"/>
        <v>－</v>
      </c>
      <c r="X93" s="69">
        <f>21</f>
        <v>21</v>
      </c>
    </row>
    <row r="94" spans="1:24">
      <c r="A94" s="60" t="s">
        <v>839</v>
      </c>
      <c r="B94" s="60" t="s">
        <v>325</v>
      </c>
      <c r="C94" s="60" t="s">
        <v>326</v>
      </c>
      <c r="D94" s="60" t="s">
        <v>327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8800</f>
        <v>8800</v>
      </c>
      <c r="L94" s="67" t="s">
        <v>840</v>
      </c>
      <c r="M94" s="66">
        <f>8990</f>
        <v>8990</v>
      </c>
      <c r="N94" s="67" t="s">
        <v>90</v>
      </c>
      <c r="O94" s="66">
        <f>8390</f>
        <v>8390</v>
      </c>
      <c r="P94" s="67" t="s">
        <v>95</v>
      </c>
      <c r="Q94" s="66">
        <f>8530</f>
        <v>8530</v>
      </c>
      <c r="R94" s="67" t="s">
        <v>50</v>
      </c>
      <c r="S94" s="68">
        <f>8682.5</f>
        <v>8682.5</v>
      </c>
      <c r="T94" s="65">
        <f>125</f>
        <v>125</v>
      </c>
      <c r="U94" s="65" t="str">
        <f t="shared" si="4"/>
        <v>－</v>
      </c>
      <c r="V94" s="65">
        <f>1081450</f>
        <v>1081450</v>
      </c>
      <c r="W94" s="65" t="str">
        <f t="shared" si="5"/>
        <v>－</v>
      </c>
      <c r="X94" s="69">
        <f>16</f>
        <v>16</v>
      </c>
    </row>
    <row r="95" spans="1:24">
      <c r="A95" s="60" t="s">
        <v>839</v>
      </c>
      <c r="B95" s="60" t="s">
        <v>328</v>
      </c>
      <c r="C95" s="60" t="s">
        <v>329</v>
      </c>
      <c r="D95" s="60" t="s">
        <v>330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5200</f>
        <v>5200</v>
      </c>
      <c r="L95" s="67" t="s">
        <v>840</v>
      </c>
      <c r="M95" s="66">
        <f>5870</f>
        <v>5870</v>
      </c>
      <c r="N95" s="67" t="s">
        <v>90</v>
      </c>
      <c r="O95" s="66">
        <f>5200</f>
        <v>5200</v>
      </c>
      <c r="P95" s="67" t="s">
        <v>840</v>
      </c>
      <c r="Q95" s="66">
        <f>5630</f>
        <v>5630</v>
      </c>
      <c r="R95" s="67" t="s">
        <v>50</v>
      </c>
      <c r="S95" s="68">
        <f>5607.14</f>
        <v>5607.14</v>
      </c>
      <c r="T95" s="65">
        <f>3009454</f>
        <v>3009454</v>
      </c>
      <c r="U95" s="65">
        <f>132227</f>
        <v>132227</v>
      </c>
      <c r="V95" s="65">
        <f>16946019529</f>
        <v>16946019529</v>
      </c>
      <c r="W95" s="65">
        <f>735963729</f>
        <v>735963729</v>
      </c>
      <c r="X95" s="69">
        <f>21</f>
        <v>21</v>
      </c>
    </row>
    <row r="96" spans="1:24">
      <c r="A96" s="60" t="s">
        <v>839</v>
      </c>
      <c r="B96" s="60" t="s">
        <v>331</v>
      </c>
      <c r="C96" s="60" t="s">
        <v>332</v>
      </c>
      <c r="D96" s="60" t="s">
        <v>333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2475</f>
        <v>2475</v>
      </c>
      <c r="L96" s="67" t="s">
        <v>840</v>
      </c>
      <c r="M96" s="66">
        <f>2818</f>
        <v>2818</v>
      </c>
      <c r="N96" s="67" t="s">
        <v>86</v>
      </c>
      <c r="O96" s="66">
        <f>2400</f>
        <v>2400</v>
      </c>
      <c r="P96" s="67" t="s">
        <v>833</v>
      </c>
      <c r="Q96" s="66">
        <f>2557</f>
        <v>2557</v>
      </c>
      <c r="R96" s="67" t="s">
        <v>50</v>
      </c>
      <c r="S96" s="68">
        <f>2585.48</f>
        <v>2585.48</v>
      </c>
      <c r="T96" s="65">
        <f>427625</f>
        <v>427625</v>
      </c>
      <c r="U96" s="65" t="str">
        <f>"－"</f>
        <v>－</v>
      </c>
      <c r="V96" s="65">
        <f>1122516515</f>
        <v>1122516515</v>
      </c>
      <c r="W96" s="65" t="str">
        <f>"－"</f>
        <v>－</v>
      </c>
      <c r="X96" s="69">
        <f>21</f>
        <v>21</v>
      </c>
    </row>
    <row r="97" spans="1:24">
      <c r="A97" s="60" t="s">
        <v>839</v>
      </c>
      <c r="B97" s="60" t="s">
        <v>334</v>
      </c>
      <c r="C97" s="60" t="s">
        <v>335</v>
      </c>
      <c r="D97" s="60" t="s">
        <v>336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4765</f>
        <v>4765</v>
      </c>
      <c r="L97" s="67" t="s">
        <v>840</v>
      </c>
      <c r="M97" s="66">
        <f>5620</f>
        <v>5620</v>
      </c>
      <c r="N97" s="67" t="s">
        <v>61</v>
      </c>
      <c r="O97" s="66">
        <f>4550</f>
        <v>4550</v>
      </c>
      <c r="P97" s="67" t="s">
        <v>833</v>
      </c>
      <c r="Q97" s="66">
        <f>5000</f>
        <v>5000</v>
      </c>
      <c r="R97" s="67" t="s">
        <v>50</v>
      </c>
      <c r="S97" s="68">
        <f>5087.14</f>
        <v>5087.1400000000003</v>
      </c>
      <c r="T97" s="65">
        <f>106927</f>
        <v>106927</v>
      </c>
      <c r="U97" s="65">
        <f>9</f>
        <v>9</v>
      </c>
      <c r="V97" s="65">
        <f>556051965</f>
        <v>556051965</v>
      </c>
      <c r="W97" s="65">
        <f>49410</f>
        <v>49410</v>
      </c>
      <c r="X97" s="69">
        <f>21</f>
        <v>21</v>
      </c>
    </row>
    <row r="98" spans="1:24">
      <c r="A98" s="60" t="s">
        <v>839</v>
      </c>
      <c r="B98" s="60" t="s">
        <v>337</v>
      </c>
      <c r="C98" s="60" t="s">
        <v>338</v>
      </c>
      <c r="D98" s="60" t="s">
        <v>339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75000</f>
        <v>75000</v>
      </c>
      <c r="L98" s="67" t="s">
        <v>840</v>
      </c>
      <c r="M98" s="66">
        <f>75000</f>
        <v>75000</v>
      </c>
      <c r="N98" s="67" t="s">
        <v>840</v>
      </c>
      <c r="O98" s="66">
        <f>61300</f>
        <v>61300</v>
      </c>
      <c r="P98" s="67" t="s">
        <v>309</v>
      </c>
      <c r="Q98" s="66">
        <f>64200</f>
        <v>64200</v>
      </c>
      <c r="R98" s="67" t="s">
        <v>50</v>
      </c>
      <c r="S98" s="68">
        <f>69442.86</f>
        <v>69442.86</v>
      </c>
      <c r="T98" s="65">
        <f>4104</f>
        <v>4104</v>
      </c>
      <c r="U98" s="65">
        <f>5</f>
        <v>5</v>
      </c>
      <c r="V98" s="65">
        <f>280668400</f>
        <v>280668400</v>
      </c>
      <c r="W98" s="65">
        <f>365000</f>
        <v>365000</v>
      </c>
      <c r="X98" s="69">
        <f>21</f>
        <v>21</v>
      </c>
    </row>
    <row r="99" spans="1:24">
      <c r="A99" s="60" t="s">
        <v>839</v>
      </c>
      <c r="B99" s="60" t="s">
        <v>340</v>
      </c>
      <c r="C99" s="60" t="s">
        <v>341</v>
      </c>
      <c r="D99" s="60" t="s">
        <v>342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10</v>
      </c>
      <c r="K99" s="66">
        <f>8420</f>
        <v>8420</v>
      </c>
      <c r="L99" s="67" t="s">
        <v>840</v>
      </c>
      <c r="M99" s="66">
        <f>9890</f>
        <v>9890</v>
      </c>
      <c r="N99" s="67" t="s">
        <v>50</v>
      </c>
      <c r="O99" s="66">
        <f>8140</f>
        <v>8140</v>
      </c>
      <c r="P99" s="67" t="s">
        <v>833</v>
      </c>
      <c r="Q99" s="66">
        <f>9860</f>
        <v>9860</v>
      </c>
      <c r="R99" s="67" t="s">
        <v>50</v>
      </c>
      <c r="S99" s="68">
        <f>9164.76</f>
        <v>9164.76</v>
      </c>
      <c r="T99" s="65">
        <f>946490</f>
        <v>946490</v>
      </c>
      <c r="U99" s="65">
        <f>460</f>
        <v>460</v>
      </c>
      <c r="V99" s="65">
        <f>8800731231</f>
        <v>8800731231</v>
      </c>
      <c r="W99" s="65">
        <f>4191931</f>
        <v>4191931</v>
      </c>
      <c r="X99" s="69">
        <f>21</f>
        <v>21</v>
      </c>
    </row>
    <row r="100" spans="1:24">
      <c r="A100" s="60" t="s">
        <v>839</v>
      </c>
      <c r="B100" s="60" t="s">
        <v>343</v>
      </c>
      <c r="C100" s="60" t="s">
        <v>344</v>
      </c>
      <c r="D100" s="60" t="s">
        <v>345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</v>
      </c>
      <c r="K100" s="66">
        <f>22660</f>
        <v>22660</v>
      </c>
      <c r="L100" s="67" t="s">
        <v>840</v>
      </c>
      <c r="M100" s="66">
        <f>25840</f>
        <v>25840</v>
      </c>
      <c r="N100" s="67" t="s">
        <v>50</v>
      </c>
      <c r="O100" s="66">
        <f>21930</f>
        <v>21930</v>
      </c>
      <c r="P100" s="67" t="s">
        <v>833</v>
      </c>
      <c r="Q100" s="66">
        <f>25750</f>
        <v>25750</v>
      </c>
      <c r="R100" s="67" t="s">
        <v>50</v>
      </c>
      <c r="S100" s="68">
        <f>24417.62</f>
        <v>24417.62</v>
      </c>
      <c r="T100" s="65">
        <f>333669</f>
        <v>333669</v>
      </c>
      <c r="U100" s="65">
        <f>77</f>
        <v>77</v>
      </c>
      <c r="V100" s="65">
        <f>8140226974</f>
        <v>8140226974</v>
      </c>
      <c r="W100" s="65">
        <f>1891084</f>
        <v>1891084</v>
      </c>
      <c r="X100" s="69">
        <f>21</f>
        <v>21</v>
      </c>
    </row>
    <row r="101" spans="1:24">
      <c r="A101" s="60" t="s">
        <v>839</v>
      </c>
      <c r="B101" s="60" t="s">
        <v>346</v>
      </c>
      <c r="C101" s="60" t="s">
        <v>347</v>
      </c>
      <c r="D101" s="60" t="s">
        <v>348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2968</f>
        <v>2968</v>
      </c>
      <c r="L101" s="67" t="s">
        <v>840</v>
      </c>
      <c r="M101" s="66">
        <f>3425</f>
        <v>3425</v>
      </c>
      <c r="N101" s="67" t="s">
        <v>50</v>
      </c>
      <c r="O101" s="66">
        <f>2875</f>
        <v>2875</v>
      </c>
      <c r="P101" s="67" t="s">
        <v>833</v>
      </c>
      <c r="Q101" s="66">
        <f>3415</f>
        <v>3415</v>
      </c>
      <c r="R101" s="67" t="s">
        <v>50</v>
      </c>
      <c r="S101" s="68">
        <f>3210.52</f>
        <v>3210.52</v>
      </c>
      <c r="T101" s="65">
        <f>1200670</f>
        <v>1200670</v>
      </c>
      <c r="U101" s="65">
        <f>350</f>
        <v>350</v>
      </c>
      <c r="V101" s="65">
        <f>3898825085</f>
        <v>3898825085</v>
      </c>
      <c r="W101" s="65">
        <f>1167005</f>
        <v>1167005</v>
      </c>
      <c r="X101" s="69">
        <f>21</f>
        <v>21</v>
      </c>
    </row>
    <row r="102" spans="1:24">
      <c r="A102" s="60" t="s">
        <v>839</v>
      </c>
      <c r="B102" s="60" t="s">
        <v>349</v>
      </c>
      <c r="C102" s="60" t="s">
        <v>350</v>
      </c>
      <c r="D102" s="60" t="s">
        <v>351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2004</f>
        <v>2004</v>
      </c>
      <c r="L102" s="67" t="s">
        <v>840</v>
      </c>
      <c r="M102" s="66">
        <f>2274</f>
        <v>2274</v>
      </c>
      <c r="N102" s="67" t="s">
        <v>50</v>
      </c>
      <c r="O102" s="66">
        <f>1937</f>
        <v>1937</v>
      </c>
      <c r="P102" s="67" t="s">
        <v>833</v>
      </c>
      <c r="Q102" s="66">
        <f>2268</f>
        <v>2268</v>
      </c>
      <c r="R102" s="67" t="s">
        <v>50</v>
      </c>
      <c r="S102" s="68">
        <f>2125.29</f>
        <v>2125.29</v>
      </c>
      <c r="T102" s="65">
        <f>261690</f>
        <v>261690</v>
      </c>
      <c r="U102" s="65">
        <f>23020</f>
        <v>23020</v>
      </c>
      <c r="V102" s="65">
        <f>559530491</f>
        <v>559530491</v>
      </c>
      <c r="W102" s="65">
        <f>49872441</f>
        <v>49872441</v>
      </c>
      <c r="X102" s="69">
        <f>21</f>
        <v>21</v>
      </c>
    </row>
    <row r="103" spans="1:24">
      <c r="A103" s="60" t="s">
        <v>839</v>
      </c>
      <c r="B103" s="60" t="s">
        <v>352</v>
      </c>
      <c r="C103" s="60" t="s">
        <v>353</v>
      </c>
      <c r="D103" s="60" t="s">
        <v>354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10</v>
      </c>
      <c r="K103" s="66">
        <f>3270</f>
        <v>3270</v>
      </c>
      <c r="L103" s="67" t="s">
        <v>840</v>
      </c>
      <c r="M103" s="66">
        <f>3700</f>
        <v>3700</v>
      </c>
      <c r="N103" s="67" t="s">
        <v>50</v>
      </c>
      <c r="O103" s="66">
        <f>3080</f>
        <v>3080</v>
      </c>
      <c r="P103" s="67" t="s">
        <v>48</v>
      </c>
      <c r="Q103" s="66">
        <f>3665</f>
        <v>3665</v>
      </c>
      <c r="R103" s="67" t="s">
        <v>50</v>
      </c>
      <c r="S103" s="68">
        <f>3433.57</f>
        <v>3433.57</v>
      </c>
      <c r="T103" s="65">
        <f>36170</f>
        <v>36170</v>
      </c>
      <c r="U103" s="65" t="str">
        <f>"－"</f>
        <v>－</v>
      </c>
      <c r="V103" s="65">
        <f>124310300</f>
        <v>124310300</v>
      </c>
      <c r="W103" s="65" t="str">
        <f>"－"</f>
        <v>－</v>
      </c>
      <c r="X103" s="69">
        <f>21</f>
        <v>21</v>
      </c>
    </row>
    <row r="104" spans="1:24">
      <c r="A104" s="60" t="s">
        <v>839</v>
      </c>
      <c r="B104" s="60" t="s">
        <v>355</v>
      </c>
      <c r="C104" s="60" t="s">
        <v>356</v>
      </c>
      <c r="D104" s="60" t="s">
        <v>357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f>16340</f>
        <v>16340</v>
      </c>
      <c r="L104" s="67" t="s">
        <v>840</v>
      </c>
      <c r="M104" s="66">
        <f>16940</f>
        <v>16940</v>
      </c>
      <c r="N104" s="67" t="s">
        <v>833</v>
      </c>
      <c r="O104" s="66">
        <f>12120</f>
        <v>12120</v>
      </c>
      <c r="P104" s="67" t="s">
        <v>50</v>
      </c>
      <c r="Q104" s="66">
        <f>12220</f>
        <v>12220</v>
      </c>
      <c r="R104" s="67" t="s">
        <v>50</v>
      </c>
      <c r="S104" s="68">
        <f>14497.62</f>
        <v>14497.62</v>
      </c>
      <c r="T104" s="65">
        <f>5554853</f>
        <v>5554853</v>
      </c>
      <c r="U104" s="65">
        <f>6001</f>
        <v>6001</v>
      </c>
      <c r="V104" s="65">
        <f>83032591684</f>
        <v>83032591684</v>
      </c>
      <c r="W104" s="65">
        <f>85661604</f>
        <v>85661604</v>
      </c>
      <c r="X104" s="69">
        <f>21</f>
        <v>21</v>
      </c>
    </row>
    <row r="105" spans="1:24">
      <c r="A105" s="60" t="s">
        <v>839</v>
      </c>
      <c r="B105" s="60" t="s">
        <v>358</v>
      </c>
      <c r="C105" s="60" t="s">
        <v>359</v>
      </c>
      <c r="D105" s="60" t="s">
        <v>360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1728</f>
        <v>1728</v>
      </c>
      <c r="L105" s="67" t="s">
        <v>840</v>
      </c>
      <c r="M105" s="66">
        <f>1967</f>
        <v>1967</v>
      </c>
      <c r="N105" s="67" t="s">
        <v>50</v>
      </c>
      <c r="O105" s="66">
        <f>1650</f>
        <v>1650</v>
      </c>
      <c r="P105" s="67" t="s">
        <v>833</v>
      </c>
      <c r="Q105" s="66">
        <f>1964</f>
        <v>1964</v>
      </c>
      <c r="R105" s="67" t="s">
        <v>50</v>
      </c>
      <c r="S105" s="68">
        <f>1838</f>
        <v>1838</v>
      </c>
      <c r="T105" s="65">
        <f>124730</f>
        <v>124730</v>
      </c>
      <c r="U105" s="65">
        <f>380</f>
        <v>380</v>
      </c>
      <c r="V105" s="65">
        <f>229142950</f>
        <v>229142950</v>
      </c>
      <c r="W105" s="65">
        <f>674120</f>
        <v>674120</v>
      </c>
      <c r="X105" s="69">
        <f>21</f>
        <v>21</v>
      </c>
    </row>
    <row r="106" spans="1:24">
      <c r="A106" s="60" t="s">
        <v>839</v>
      </c>
      <c r="B106" s="60" t="s">
        <v>361</v>
      </c>
      <c r="C106" s="60" t="s">
        <v>362</v>
      </c>
      <c r="D106" s="60" t="s">
        <v>363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10</v>
      </c>
      <c r="K106" s="66">
        <f>980</f>
        <v>980</v>
      </c>
      <c r="L106" s="67" t="s">
        <v>840</v>
      </c>
      <c r="M106" s="66">
        <f>1157</f>
        <v>1157</v>
      </c>
      <c r="N106" s="67" t="s">
        <v>61</v>
      </c>
      <c r="O106" s="66">
        <f>900</f>
        <v>900</v>
      </c>
      <c r="P106" s="67" t="s">
        <v>833</v>
      </c>
      <c r="Q106" s="66">
        <f>1094</f>
        <v>1094</v>
      </c>
      <c r="R106" s="67" t="s">
        <v>50</v>
      </c>
      <c r="S106" s="68">
        <f>1041.52</f>
        <v>1041.52</v>
      </c>
      <c r="T106" s="65">
        <f>690470</f>
        <v>690470</v>
      </c>
      <c r="U106" s="65" t="str">
        <f>"－"</f>
        <v>－</v>
      </c>
      <c r="V106" s="65">
        <f>717786420</f>
        <v>717786420</v>
      </c>
      <c r="W106" s="65" t="str">
        <f>"－"</f>
        <v>－</v>
      </c>
      <c r="X106" s="69">
        <f>21</f>
        <v>21</v>
      </c>
    </row>
    <row r="107" spans="1:24">
      <c r="A107" s="60" t="s">
        <v>839</v>
      </c>
      <c r="B107" s="60" t="s">
        <v>364</v>
      </c>
      <c r="C107" s="60" t="s">
        <v>365</v>
      </c>
      <c r="D107" s="60" t="s">
        <v>366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27340</f>
        <v>27340</v>
      </c>
      <c r="L107" s="67" t="s">
        <v>840</v>
      </c>
      <c r="M107" s="66">
        <f>31600</f>
        <v>31600</v>
      </c>
      <c r="N107" s="67" t="s">
        <v>50</v>
      </c>
      <c r="O107" s="66">
        <f>26400</f>
        <v>26400</v>
      </c>
      <c r="P107" s="67" t="s">
        <v>833</v>
      </c>
      <c r="Q107" s="66">
        <f>31500</f>
        <v>31500</v>
      </c>
      <c r="R107" s="67" t="s">
        <v>50</v>
      </c>
      <c r="S107" s="68">
        <f>29585.71</f>
        <v>29585.71</v>
      </c>
      <c r="T107" s="65">
        <f>233969</f>
        <v>233969</v>
      </c>
      <c r="U107" s="65">
        <f>29</f>
        <v>29</v>
      </c>
      <c r="V107" s="65">
        <f>6923851430</f>
        <v>6923851430</v>
      </c>
      <c r="W107" s="65">
        <f>774880</f>
        <v>774880</v>
      </c>
      <c r="X107" s="69">
        <f>21</f>
        <v>21</v>
      </c>
    </row>
    <row r="108" spans="1:24">
      <c r="A108" s="60" t="s">
        <v>839</v>
      </c>
      <c r="B108" s="60" t="s">
        <v>367</v>
      </c>
      <c r="C108" s="60" t="s">
        <v>368</v>
      </c>
      <c r="D108" s="60" t="s">
        <v>369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2488</f>
        <v>2488</v>
      </c>
      <c r="L108" s="67" t="s">
        <v>840</v>
      </c>
      <c r="M108" s="66">
        <f>2675</f>
        <v>2675</v>
      </c>
      <c r="N108" s="67" t="s">
        <v>49</v>
      </c>
      <c r="O108" s="66">
        <f>2250</f>
        <v>2250</v>
      </c>
      <c r="P108" s="67" t="s">
        <v>833</v>
      </c>
      <c r="Q108" s="66">
        <f>2643</f>
        <v>2643</v>
      </c>
      <c r="R108" s="67" t="s">
        <v>50</v>
      </c>
      <c r="S108" s="68">
        <f>2545.48</f>
        <v>2545.48</v>
      </c>
      <c r="T108" s="65">
        <f>10405</f>
        <v>10405</v>
      </c>
      <c r="U108" s="65">
        <f>6</f>
        <v>6</v>
      </c>
      <c r="V108" s="65">
        <f>25993489</f>
        <v>25993489</v>
      </c>
      <c r="W108" s="65">
        <f>15109</f>
        <v>15109</v>
      </c>
      <c r="X108" s="69">
        <f>21</f>
        <v>21</v>
      </c>
    </row>
    <row r="109" spans="1:24">
      <c r="A109" s="60" t="s">
        <v>839</v>
      </c>
      <c r="B109" s="60" t="s">
        <v>370</v>
      </c>
      <c r="C109" s="60" t="s">
        <v>371</v>
      </c>
      <c r="D109" s="60" t="s">
        <v>372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3250</f>
        <v>3250</v>
      </c>
      <c r="L109" s="67" t="s">
        <v>840</v>
      </c>
      <c r="M109" s="66">
        <f>3490</f>
        <v>3490</v>
      </c>
      <c r="N109" s="67" t="s">
        <v>61</v>
      </c>
      <c r="O109" s="66">
        <f>3110</f>
        <v>3110</v>
      </c>
      <c r="P109" s="67" t="s">
        <v>833</v>
      </c>
      <c r="Q109" s="66">
        <f>3380</f>
        <v>3380</v>
      </c>
      <c r="R109" s="67" t="s">
        <v>50</v>
      </c>
      <c r="S109" s="68">
        <f>3304.52</f>
        <v>3304.52</v>
      </c>
      <c r="T109" s="65">
        <f>3893</f>
        <v>3893</v>
      </c>
      <c r="U109" s="65" t="str">
        <f>"－"</f>
        <v>－</v>
      </c>
      <c r="V109" s="65">
        <f>12879195</f>
        <v>12879195</v>
      </c>
      <c r="W109" s="65" t="str">
        <f>"－"</f>
        <v>－</v>
      </c>
      <c r="X109" s="69">
        <f>21</f>
        <v>21</v>
      </c>
    </row>
    <row r="110" spans="1:24">
      <c r="A110" s="60" t="s">
        <v>839</v>
      </c>
      <c r="B110" s="60" t="s">
        <v>373</v>
      </c>
      <c r="C110" s="60" t="s">
        <v>374</v>
      </c>
      <c r="D110" s="60" t="s">
        <v>375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1963</f>
        <v>1963</v>
      </c>
      <c r="L110" s="67" t="s">
        <v>840</v>
      </c>
      <c r="M110" s="66">
        <f>2280</f>
        <v>2280</v>
      </c>
      <c r="N110" s="67" t="s">
        <v>150</v>
      </c>
      <c r="O110" s="66">
        <f>1830</f>
        <v>1830</v>
      </c>
      <c r="P110" s="67" t="s">
        <v>48</v>
      </c>
      <c r="Q110" s="66">
        <f>2237</f>
        <v>2237</v>
      </c>
      <c r="R110" s="67" t="s">
        <v>50</v>
      </c>
      <c r="S110" s="68">
        <f>2069.24</f>
        <v>2069.2399999999998</v>
      </c>
      <c r="T110" s="65">
        <f>141473</f>
        <v>141473</v>
      </c>
      <c r="U110" s="65">
        <f>10</f>
        <v>10</v>
      </c>
      <c r="V110" s="65">
        <f>298384916</f>
        <v>298384916</v>
      </c>
      <c r="W110" s="65">
        <f>20300</f>
        <v>20300</v>
      </c>
      <c r="X110" s="69">
        <f>21</f>
        <v>21</v>
      </c>
    </row>
    <row r="111" spans="1:24">
      <c r="A111" s="60" t="s">
        <v>839</v>
      </c>
      <c r="B111" s="60" t="s">
        <v>376</v>
      </c>
      <c r="C111" s="60" t="s">
        <v>377</v>
      </c>
      <c r="D111" s="60" t="s">
        <v>378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f>41000</f>
        <v>41000</v>
      </c>
      <c r="L111" s="67" t="s">
        <v>840</v>
      </c>
      <c r="M111" s="66">
        <f>42300</f>
        <v>42300</v>
      </c>
      <c r="N111" s="67" t="s">
        <v>820</v>
      </c>
      <c r="O111" s="66">
        <f>41000</f>
        <v>41000</v>
      </c>
      <c r="P111" s="67" t="s">
        <v>840</v>
      </c>
      <c r="Q111" s="66">
        <f>42100</f>
        <v>42100</v>
      </c>
      <c r="R111" s="67" t="s">
        <v>50</v>
      </c>
      <c r="S111" s="68">
        <f>41857.14</f>
        <v>41857.14</v>
      </c>
      <c r="T111" s="65">
        <f>21233</f>
        <v>21233</v>
      </c>
      <c r="U111" s="65">
        <f>6113</f>
        <v>6113</v>
      </c>
      <c r="V111" s="65">
        <f>886604994</f>
        <v>886604994</v>
      </c>
      <c r="W111" s="65">
        <f>256031544</f>
        <v>256031544</v>
      </c>
      <c r="X111" s="69">
        <f>21</f>
        <v>21</v>
      </c>
    </row>
    <row r="112" spans="1:24">
      <c r="A112" s="60" t="s">
        <v>839</v>
      </c>
      <c r="B112" s="60" t="s">
        <v>379</v>
      </c>
      <c r="C112" s="60" t="s">
        <v>380</v>
      </c>
      <c r="D112" s="60" t="s">
        <v>381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f>984</f>
        <v>984</v>
      </c>
      <c r="L112" s="67" t="s">
        <v>833</v>
      </c>
      <c r="M112" s="66">
        <f>1116</f>
        <v>1116</v>
      </c>
      <c r="N112" s="67" t="s">
        <v>119</v>
      </c>
      <c r="O112" s="66">
        <f>984</f>
        <v>984</v>
      </c>
      <c r="P112" s="67" t="s">
        <v>833</v>
      </c>
      <c r="Q112" s="66">
        <f>1092</f>
        <v>1092</v>
      </c>
      <c r="R112" s="67" t="s">
        <v>50</v>
      </c>
      <c r="S112" s="68">
        <f>1083.25</f>
        <v>1083.25</v>
      </c>
      <c r="T112" s="65">
        <f>620</f>
        <v>620</v>
      </c>
      <c r="U112" s="65" t="str">
        <f>"－"</f>
        <v>－</v>
      </c>
      <c r="V112" s="65">
        <f>647960</f>
        <v>647960</v>
      </c>
      <c r="W112" s="65" t="str">
        <f>"－"</f>
        <v>－</v>
      </c>
      <c r="X112" s="69">
        <f>8</f>
        <v>8</v>
      </c>
    </row>
    <row r="113" spans="1:24">
      <c r="A113" s="60" t="s">
        <v>839</v>
      </c>
      <c r="B113" s="60" t="s">
        <v>382</v>
      </c>
      <c r="C113" s="60" t="s">
        <v>383</v>
      </c>
      <c r="D113" s="60" t="s">
        <v>384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12230</f>
        <v>12230</v>
      </c>
      <c r="L113" s="67" t="s">
        <v>840</v>
      </c>
      <c r="M113" s="66">
        <f>13790</f>
        <v>13790</v>
      </c>
      <c r="N113" s="67" t="s">
        <v>50</v>
      </c>
      <c r="O113" s="66">
        <f>10900</f>
        <v>10900</v>
      </c>
      <c r="P113" s="67" t="s">
        <v>814</v>
      </c>
      <c r="Q113" s="66">
        <f>13470</f>
        <v>13470</v>
      </c>
      <c r="R113" s="67" t="s">
        <v>50</v>
      </c>
      <c r="S113" s="68">
        <f>12564.76</f>
        <v>12564.76</v>
      </c>
      <c r="T113" s="65">
        <f>5114840</f>
        <v>5114840</v>
      </c>
      <c r="U113" s="65">
        <f>14010</f>
        <v>14010</v>
      </c>
      <c r="V113" s="65">
        <f>64115359723</f>
        <v>64115359723</v>
      </c>
      <c r="W113" s="65">
        <f>174053923</f>
        <v>174053923</v>
      </c>
      <c r="X113" s="69">
        <f>21</f>
        <v>21</v>
      </c>
    </row>
    <row r="114" spans="1:24">
      <c r="A114" s="60" t="s">
        <v>839</v>
      </c>
      <c r="B114" s="60" t="s">
        <v>385</v>
      </c>
      <c r="C114" s="60" t="s">
        <v>386</v>
      </c>
      <c r="D114" s="60" t="s">
        <v>387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f>3395</f>
        <v>3395</v>
      </c>
      <c r="L114" s="67" t="s">
        <v>840</v>
      </c>
      <c r="M114" s="66">
        <f>3565</f>
        <v>3565</v>
      </c>
      <c r="N114" s="67" t="s">
        <v>814</v>
      </c>
      <c r="O114" s="66">
        <f>3140</f>
        <v>3140</v>
      </c>
      <c r="P114" s="67" t="s">
        <v>50</v>
      </c>
      <c r="Q114" s="66">
        <f>3190</f>
        <v>3190</v>
      </c>
      <c r="R114" s="67" t="s">
        <v>50</v>
      </c>
      <c r="S114" s="68">
        <f>3306.9</f>
        <v>3306.9</v>
      </c>
      <c r="T114" s="65">
        <f>462280</f>
        <v>462280</v>
      </c>
      <c r="U114" s="65">
        <f>2690</f>
        <v>2690</v>
      </c>
      <c r="V114" s="65">
        <f>1545219543</f>
        <v>1545219543</v>
      </c>
      <c r="W114" s="65">
        <f>8918193</f>
        <v>8918193</v>
      </c>
      <c r="X114" s="69">
        <f>21</f>
        <v>21</v>
      </c>
    </row>
    <row r="115" spans="1:24">
      <c r="A115" s="60" t="s">
        <v>839</v>
      </c>
      <c r="B115" s="60" t="s">
        <v>388</v>
      </c>
      <c r="C115" s="60" t="s">
        <v>389</v>
      </c>
      <c r="D115" s="60" t="s">
        <v>390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13500</f>
        <v>13500</v>
      </c>
      <c r="L115" s="67" t="s">
        <v>840</v>
      </c>
      <c r="M115" s="66">
        <f>15990</f>
        <v>15990</v>
      </c>
      <c r="N115" s="67" t="s">
        <v>50</v>
      </c>
      <c r="O115" s="66">
        <f>12090</f>
        <v>12090</v>
      </c>
      <c r="P115" s="67" t="s">
        <v>814</v>
      </c>
      <c r="Q115" s="66">
        <f>15730</f>
        <v>15730</v>
      </c>
      <c r="R115" s="67" t="s">
        <v>50</v>
      </c>
      <c r="S115" s="68">
        <f>14288.1</f>
        <v>14288.1</v>
      </c>
      <c r="T115" s="65">
        <f>300762754</f>
        <v>300762754</v>
      </c>
      <c r="U115" s="65">
        <f>273186</f>
        <v>273186</v>
      </c>
      <c r="V115" s="65">
        <f>4248312460954</f>
        <v>4248312460954</v>
      </c>
      <c r="W115" s="65">
        <f>3805417594</f>
        <v>3805417594</v>
      </c>
      <c r="X115" s="69">
        <f>21</f>
        <v>21</v>
      </c>
    </row>
    <row r="116" spans="1:24">
      <c r="A116" s="60" t="s">
        <v>839</v>
      </c>
      <c r="B116" s="60" t="s">
        <v>391</v>
      </c>
      <c r="C116" s="60" t="s">
        <v>392</v>
      </c>
      <c r="D116" s="60" t="s">
        <v>393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</v>
      </c>
      <c r="K116" s="66">
        <f>1709</f>
        <v>1709</v>
      </c>
      <c r="L116" s="67" t="s">
        <v>840</v>
      </c>
      <c r="M116" s="66">
        <f>1799</f>
        <v>1799</v>
      </c>
      <c r="N116" s="67" t="s">
        <v>814</v>
      </c>
      <c r="O116" s="66">
        <f>1540</f>
        <v>1540</v>
      </c>
      <c r="P116" s="67" t="s">
        <v>50</v>
      </c>
      <c r="Q116" s="66">
        <f>1552</f>
        <v>1552</v>
      </c>
      <c r="R116" s="67" t="s">
        <v>50</v>
      </c>
      <c r="S116" s="68">
        <f>1643.62</f>
        <v>1643.62</v>
      </c>
      <c r="T116" s="65">
        <f>23608263</f>
        <v>23608263</v>
      </c>
      <c r="U116" s="65">
        <f>124694</f>
        <v>124694</v>
      </c>
      <c r="V116" s="65">
        <f>39018379291</f>
        <v>39018379291</v>
      </c>
      <c r="W116" s="65">
        <f>207439944</f>
        <v>207439944</v>
      </c>
      <c r="X116" s="69">
        <f>21</f>
        <v>21</v>
      </c>
    </row>
    <row r="117" spans="1:24">
      <c r="A117" s="60" t="s">
        <v>839</v>
      </c>
      <c r="B117" s="60" t="s">
        <v>394</v>
      </c>
      <c r="C117" s="60" t="s">
        <v>395</v>
      </c>
      <c r="D117" s="60" t="s">
        <v>396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9760</f>
        <v>9760</v>
      </c>
      <c r="L117" s="67" t="s">
        <v>840</v>
      </c>
      <c r="M117" s="66">
        <f>9920</f>
        <v>9920</v>
      </c>
      <c r="N117" s="67" t="s">
        <v>119</v>
      </c>
      <c r="O117" s="66">
        <f>8800</f>
        <v>8800</v>
      </c>
      <c r="P117" s="67" t="s">
        <v>309</v>
      </c>
      <c r="Q117" s="66">
        <f>9670</f>
        <v>9670</v>
      </c>
      <c r="R117" s="67" t="s">
        <v>50</v>
      </c>
      <c r="S117" s="68">
        <f>9390</f>
        <v>9390</v>
      </c>
      <c r="T117" s="65">
        <f>13340</f>
        <v>13340</v>
      </c>
      <c r="U117" s="65" t="str">
        <f>"－"</f>
        <v>－</v>
      </c>
      <c r="V117" s="65">
        <f>125520200</f>
        <v>125520200</v>
      </c>
      <c r="W117" s="65" t="str">
        <f>"－"</f>
        <v>－</v>
      </c>
      <c r="X117" s="69">
        <f>21</f>
        <v>21</v>
      </c>
    </row>
    <row r="118" spans="1:24">
      <c r="A118" s="60" t="s">
        <v>839</v>
      </c>
      <c r="B118" s="60" t="s">
        <v>397</v>
      </c>
      <c r="C118" s="60" t="s">
        <v>398</v>
      </c>
      <c r="D118" s="60" t="s">
        <v>399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f>8170</f>
        <v>8170</v>
      </c>
      <c r="L118" s="67" t="s">
        <v>840</v>
      </c>
      <c r="M118" s="66">
        <f>8350</f>
        <v>8350</v>
      </c>
      <c r="N118" s="67" t="s">
        <v>833</v>
      </c>
      <c r="O118" s="66">
        <f>7550</f>
        <v>7550</v>
      </c>
      <c r="P118" s="67" t="s">
        <v>50</v>
      </c>
      <c r="Q118" s="66">
        <f>7550</f>
        <v>7550</v>
      </c>
      <c r="R118" s="67" t="s">
        <v>50</v>
      </c>
      <c r="S118" s="68">
        <f>7952.86</f>
        <v>7952.86</v>
      </c>
      <c r="T118" s="65">
        <f>12480</f>
        <v>12480</v>
      </c>
      <c r="U118" s="65" t="str">
        <f>"－"</f>
        <v>－</v>
      </c>
      <c r="V118" s="65">
        <f>99681000</f>
        <v>99681000</v>
      </c>
      <c r="W118" s="65" t="str">
        <f>"－"</f>
        <v>－</v>
      </c>
      <c r="X118" s="69">
        <f>21</f>
        <v>21</v>
      </c>
    </row>
    <row r="119" spans="1:24">
      <c r="A119" s="60" t="s">
        <v>839</v>
      </c>
      <c r="B119" s="60" t="s">
        <v>400</v>
      </c>
      <c r="C119" s="60" t="s">
        <v>401</v>
      </c>
      <c r="D119" s="60" t="s">
        <v>402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1421</f>
        <v>1421</v>
      </c>
      <c r="L119" s="67" t="s">
        <v>86</v>
      </c>
      <c r="M119" s="66">
        <f>1448</f>
        <v>1448</v>
      </c>
      <c r="N119" s="67" t="s">
        <v>86</v>
      </c>
      <c r="O119" s="66">
        <f>1418</f>
        <v>1418</v>
      </c>
      <c r="P119" s="67" t="s">
        <v>79</v>
      </c>
      <c r="Q119" s="66">
        <f>1418</f>
        <v>1418</v>
      </c>
      <c r="R119" s="67" t="s">
        <v>150</v>
      </c>
      <c r="S119" s="68">
        <f>1428</f>
        <v>1428</v>
      </c>
      <c r="T119" s="65">
        <f>48570</f>
        <v>48570</v>
      </c>
      <c r="U119" s="65">
        <f>48300</f>
        <v>48300</v>
      </c>
      <c r="V119" s="65">
        <f>71744765</f>
        <v>71744765</v>
      </c>
      <c r="W119" s="65">
        <f>71360835</f>
        <v>71360835</v>
      </c>
      <c r="X119" s="69">
        <f>3</f>
        <v>3</v>
      </c>
    </row>
    <row r="120" spans="1:24">
      <c r="A120" s="60" t="s">
        <v>839</v>
      </c>
      <c r="B120" s="60" t="s">
        <v>403</v>
      </c>
      <c r="C120" s="60" t="s">
        <v>404</v>
      </c>
      <c r="D120" s="60" t="s">
        <v>405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f>571</f>
        <v>571</v>
      </c>
      <c r="L120" s="67" t="s">
        <v>840</v>
      </c>
      <c r="M120" s="66">
        <f>645</f>
        <v>645</v>
      </c>
      <c r="N120" s="67" t="s">
        <v>49</v>
      </c>
      <c r="O120" s="66">
        <f>566</f>
        <v>566</v>
      </c>
      <c r="P120" s="67" t="s">
        <v>150</v>
      </c>
      <c r="Q120" s="66">
        <f>593</f>
        <v>593</v>
      </c>
      <c r="R120" s="67" t="s">
        <v>50</v>
      </c>
      <c r="S120" s="68">
        <f>587.33</f>
        <v>587.33000000000004</v>
      </c>
      <c r="T120" s="65">
        <f>15800</f>
        <v>15800</v>
      </c>
      <c r="U120" s="65" t="str">
        <f>"－"</f>
        <v>－</v>
      </c>
      <c r="V120" s="65">
        <f>9328150</f>
        <v>9328150</v>
      </c>
      <c r="W120" s="65" t="str">
        <f>"－"</f>
        <v>－</v>
      </c>
      <c r="X120" s="69">
        <f>21</f>
        <v>21</v>
      </c>
    </row>
    <row r="121" spans="1:24">
      <c r="A121" s="60" t="s">
        <v>839</v>
      </c>
      <c r="B121" s="60" t="s">
        <v>406</v>
      </c>
      <c r="C121" s="60" t="s">
        <v>407</v>
      </c>
      <c r="D121" s="60" t="s">
        <v>408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10</v>
      </c>
      <c r="K121" s="66">
        <f>560</f>
        <v>560</v>
      </c>
      <c r="L121" s="67" t="s">
        <v>840</v>
      </c>
      <c r="M121" s="66">
        <f>577</f>
        <v>577</v>
      </c>
      <c r="N121" s="67" t="s">
        <v>49</v>
      </c>
      <c r="O121" s="66">
        <f>527</f>
        <v>527</v>
      </c>
      <c r="P121" s="67" t="s">
        <v>833</v>
      </c>
      <c r="Q121" s="66">
        <f>577</f>
        <v>577</v>
      </c>
      <c r="R121" s="67" t="s">
        <v>50</v>
      </c>
      <c r="S121" s="68">
        <f>561.12</f>
        <v>561.12</v>
      </c>
      <c r="T121" s="65">
        <f>1260</f>
        <v>1260</v>
      </c>
      <c r="U121" s="65" t="str">
        <f>"－"</f>
        <v>－</v>
      </c>
      <c r="V121" s="65">
        <f>706050</f>
        <v>706050</v>
      </c>
      <c r="W121" s="65" t="str">
        <f>"－"</f>
        <v>－</v>
      </c>
      <c r="X121" s="69">
        <f>17</f>
        <v>17</v>
      </c>
    </row>
    <row r="122" spans="1:24">
      <c r="A122" s="60" t="s">
        <v>839</v>
      </c>
      <c r="B122" s="60" t="s">
        <v>409</v>
      </c>
      <c r="C122" s="60" t="s">
        <v>410</v>
      </c>
      <c r="D122" s="60" t="s">
        <v>411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</v>
      </c>
      <c r="K122" s="66">
        <f>17820</f>
        <v>17820</v>
      </c>
      <c r="L122" s="67" t="s">
        <v>840</v>
      </c>
      <c r="M122" s="66">
        <f>18100</f>
        <v>18100</v>
      </c>
      <c r="N122" s="67" t="s">
        <v>50</v>
      </c>
      <c r="O122" s="66">
        <f>16390</f>
        <v>16390</v>
      </c>
      <c r="P122" s="67" t="s">
        <v>48</v>
      </c>
      <c r="Q122" s="66">
        <f>17970</f>
        <v>17970</v>
      </c>
      <c r="R122" s="67" t="s">
        <v>50</v>
      </c>
      <c r="S122" s="68">
        <f>17341.43</f>
        <v>17341.43</v>
      </c>
      <c r="T122" s="65">
        <f>44444</f>
        <v>44444</v>
      </c>
      <c r="U122" s="65">
        <f>49</f>
        <v>49</v>
      </c>
      <c r="V122" s="65">
        <f>764512874</f>
        <v>764512874</v>
      </c>
      <c r="W122" s="65">
        <f>847544</f>
        <v>847544</v>
      </c>
      <c r="X122" s="69">
        <f>21</f>
        <v>21</v>
      </c>
    </row>
    <row r="123" spans="1:24">
      <c r="A123" s="60" t="s">
        <v>839</v>
      </c>
      <c r="B123" s="60" t="s">
        <v>412</v>
      </c>
      <c r="C123" s="60" t="s">
        <v>413</v>
      </c>
      <c r="D123" s="60" t="s">
        <v>414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f>1500</f>
        <v>1500</v>
      </c>
      <c r="L123" s="67" t="s">
        <v>840</v>
      </c>
      <c r="M123" s="66">
        <f>1640</f>
        <v>1640</v>
      </c>
      <c r="N123" s="67" t="s">
        <v>50</v>
      </c>
      <c r="O123" s="66">
        <f>1421</f>
        <v>1421</v>
      </c>
      <c r="P123" s="67" t="s">
        <v>814</v>
      </c>
      <c r="Q123" s="66">
        <f>1625</f>
        <v>1625</v>
      </c>
      <c r="R123" s="67" t="s">
        <v>50</v>
      </c>
      <c r="S123" s="68">
        <f>1546.33</f>
        <v>1546.33</v>
      </c>
      <c r="T123" s="65">
        <f>275885</f>
        <v>275885</v>
      </c>
      <c r="U123" s="65" t="str">
        <f>"－"</f>
        <v>－</v>
      </c>
      <c r="V123" s="65">
        <f>424547397</f>
        <v>424547397</v>
      </c>
      <c r="W123" s="65" t="str">
        <f>"－"</f>
        <v>－</v>
      </c>
      <c r="X123" s="69">
        <f>21</f>
        <v>21</v>
      </c>
    </row>
    <row r="124" spans="1:24">
      <c r="A124" s="60" t="s">
        <v>839</v>
      </c>
      <c r="B124" s="60" t="s">
        <v>415</v>
      </c>
      <c r="C124" s="60" t="s">
        <v>416</v>
      </c>
      <c r="D124" s="60" t="s">
        <v>417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f>14430</f>
        <v>14430</v>
      </c>
      <c r="L124" s="67" t="s">
        <v>840</v>
      </c>
      <c r="M124" s="66">
        <f>17020</f>
        <v>17020</v>
      </c>
      <c r="N124" s="67" t="s">
        <v>50</v>
      </c>
      <c r="O124" s="66">
        <f>12870</f>
        <v>12870</v>
      </c>
      <c r="P124" s="67" t="s">
        <v>814</v>
      </c>
      <c r="Q124" s="66">
        <f>16740</f>
        <v>16740</v>
      </c>
      <c r="R124" s="67" t="s">
        <v>50</v>
      </c>
      <c r="S124" s="68">
        <f>15189.05</f>
        <v>15189.05</v>
      </c>
      <c r="T124" s="65">
        <f>19143740</f>
        <v>19143740</v>
      </c>
      <c r="U124" s="65">
        <f>5320</f>
        <v>5320</v>
      </c>
      <c r="V124" s="65">
        <f>287808033734</f>
        <v>287808033734</v>
      </c>
      <c r="W124" s="65">
        <f>78684534</f>
        <v>78684534</v>
      </c>
      <c r="X124" s="69">
        <f>21</f>
        <v>21</v>
      </c>
    </row>
    <row r="125" spans="1:24">
      <c r="A125" s="60" t="s">
        <v>839</v>
      </c>
      <c r="B125" s="60" t="s">
        <v>418</v>
      </c>
      <c r="C125" s="60" t="s">
        <v>419</v>
      </c>
      <c r="D125" s="60" t="s">
        <v>420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4560</f>
        <v>4560</v>
      </c>
      <c r="L125" s="67" t="s">
        <v>840</v>
      </c>
      <c r="M125" s="66">
        <f>4785</f>
        <v>4785</v>
      </c>
      <c r="N125" s="67" t="s">
        <v>814</v>
      </c>
      <c r="O125" s="66">
        <f>4100</f>
        <v>4100</v>
      </c>
      <c r="P125" s="67" t="s">
        <v>50</v>
      </c>
      <c r="Q125" s="66">
        <f>4135</f>
        <v>4135</v>
      </c>
      <c r="R125" s="67" t="s">
        <v>50</v>
      </c>
      <c r="S125" s="68">
        <f>4377.14</f>
        <v>4377.1400000000003</v>
      </c>
      <c r="T125" s="65">
        <f>1321780</f>
        <v>1321780</v>
      </c>
      <c r="U125" s="65">
        <f>250</f>
        <v>250</v>
      </c>
      <c r="V125" s="65">
        <f>5853095491</f>
        <v>5853095491</v>
      </c>
      <c r="W125" s="65">
        <f>1120641</f>
        <v>1120641</v>
      </c>
      <c r="X125" s="69">
        <f>21</f>
        <v>21</v>
      </c>
    </row>
    <row r="126" spans="1:24">
      <c r="A126" s="60" t="s">
        <v>839</v>
      </c>
      <c r="B126" s="60" t="s">
        <v>421</v>
      </c>
      <c r="C126" s="60" t="s">
        <v>422</v>
      </c>
      <c r="D126" s="60" t="s">
        <v>423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f>513</f>
        <v>513</v>
      </c>
      <c r="L126" s="67" t="s">
        <v>840</v>
      </c>
      <c r="M126" s="66">
        <f>590</f>
        <v>590</v>
      </c>
      <c r="N126" s="67" t="s">
        <v>49</v>
      </c>
      <c r="O126" s="66">
        <f>500</f>
        <v>500</v>
      </c>
      <c r="P126" s="67" t="s">
        <v>833</v>
      </c>
      <c r="Q126" s="66">
        <f>561</f>
        <v>561</v>
      </c>
      <c r="R126" s="67" t="s">
        <v>50</v>
      </c>
      <c r="S126" s="68">
        <f>537.31</f>
        <v>537.30999999999995</v>
      </c>
      <c r="T126" s="65">
        <f>1800</f>
        <v>1800</v>
      </c>
      <c r="U126" s="65" t="str">
        <f>"－"</f>
        <v>－</v>
      </c>
      <c r="V126" s="65">
        <f>961650</f>
        <v>961650</v>
      </c>
      <c r="W126" s="65" t="str">
        <f>"－"</f>
        <v>－</v>
      </c>
      <c r="X126" s="69">
        <f>13</f>
        <v>13</v>
      </c>
    </row>
    <row r="127" spans="1:24">
      <c r="A127" s="60" t="s">
        <v>839</v>
      </c>
      <c r="B127" s="60" t="s">
        <v>424</v>
      </c>
      <c r="C127" s="60" t="s">
        <v>425</v>
      </c>
      <c r="D127" s="60" t="s">
        <v>841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f>1064</f>
        <v>1064</v>
      </c>
      <c r="L127" s="67" t="s">
        <v>840</v>
      </c>
      <c r="M127" s="66">
        <f>1170</f>
        <v>1170</v>
      </c>
      <c r="N127" s="67" t="s">
        <v>50</v>
      </c>
      <c r="O127" s="66">
        <f>1046</f>
        <v>1046</v>
      </c>
      <c r="P127" s="67" t="s">
        <v>48</v>
      </c>
      <c r="Q127" s="66">
        <f>1153</f>
        <v>1153</v>
      </c>
      <c r="R127" s="67" t="s">
        <v>50</v>
      </c>
      <c r="S127" s="68">
        <f>1108.43</f>
        <v>1108.43</v>
      </c>
      <c r="T127" s="65">
        <f>159710</f>
        <v>159710</v>
      </c>
      <c r="U127" s="65" t="str">
        <f>"－"</f>
        <v>－</v>
      </c>
      <c r="V127" s="65">
        <f>176308310</f>
        <v>176308310</v>
      </c>
      <c r="W127" s="65" t="str">
        <f>"－"</f>
        <v>－</v>
      </c>
      <c r="X127" s="69">
        <f>14</f>
        <v>14</v>
      </c>
    </row>
    <row r="128" spans="1:24">
      <c r="A128" s="60" t="s">
        <v>839</v>
      </c>
      <c r="B128" s="60" t="s">
        <v>427</v>
      </c>
      <c r="C128" s="60" t="s">
        <v>428</v>
      </c>
      <c r="D128" s="60" t="s">
        <v>429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f>1268</f>
        <v>1268</v>
      </c>
      <c r="L128" s="67" t="s">
        <v>840</v>
      </c>
      <c r="M128" s="66">
        <f>1430</f>
        <v>1430</v>
      </c>
      <c r="N128" s="67" t="s">
        <v>100</v>
      </c>
      <c r="O128" s="66">
        <f>1210</f>
        <v>1210</v>
      </c>
      <c r="P128" s="67" t="s">
        <v>814</v>
      </c>
      <c r="Q128" s="66">
        <f>1348</f>
        <v>1348</v>
      </c>
      <c r="R128" s="67" t="s">
        <v>50</v>
      </c>
      <c r="S128" s="68">
        <f>1324.26</f>
        <v>1324.26</v>
      </c>
      <c r="T128" s="65">
        <f>2416</f>
        <v>2416</v>
      </c>
      <c r="U128" s="65" t="str">
        <f>"－"</f>
        <v>－</v>
      </c>
      <c r="V128" s="65">
        <f>3255232</f>
        <v>3255232</v>
      </c>
      <c r="W128" s="65" t="str">
        <f>"－"</f>
        <v>－</v>
      </c>
      <c r="X128" s="69">
        <f>19</f>
        <v>19</v>
      </c>
    </row>
    <row r="129" spans="1:24">
      <c r="A129" s="60" t="s">
        <v>839</v>
      </c>
      <c r="B129" s="60" t="s">
        <v>430</v>
      </c>
      <c r="C129" s="60" t="s">
        <v>431</v>
      </c>
      <c r="D129" s="60" t="s">
        <v>432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12650</f>
        <v>12650</v>
      </c>
      <c r="L129" s="67" t="s">
        <v>840</v>
      </c>
      <c r="M129" s="66">
        <f>13290</f>
        <v>13290</v>
      </c>
      <c r="N129" s="67" t="s">
        <v>50</v>
      </c>
      <c r="O129" s="66">
        <f>11940</f>
        <v>11940</v>
      </c>
      <c r="P129" s="67" t="s">
        <v>48</v>
      </c>
      <c r="Q129" s="66">
        <f>13110</f>
        <v>13110</v>
      </c>
      <c r="R129" s="67" t="s">
        <v>50</v>
      </c>
      <c r="S129" s="68">
        <f>12747.62</f>
        <v>12747.62</v>
      </c>
      <c r="T129" s="65">
        <f>481698</f>
        <v>481698</v>
      </c>
      <c r="U129" s="65">
        <f>431521</f>
        <v>431521</v>
      </c>
      <c r="V129" s="65">
        <f>6150927249</f>
        <v>6150927249</v>
      </c>
      <c r="W129" s="65">
        <f>5519475589</f>
        <v>5519475589</v>
      </c>
      <c r="X129" s="69">
        <f>21</f>
        <v>21</v>
      </c>
    </row>
    <row r="130" spans="1:24">
      <c r="A130" s="60" t="s">
        <v>839</v>
      </c>
      <c r="B130" s="60" t="s">
        <v>433</v>
      </c>
      <c r="C130" s="60" t="s">
        <v>434</v>
      </c>
      <c r="D130" s="60" t="s">
        <v>435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</v>
      </c>
      <c r="K130" s="66">
        <f>1152</f>
        <v>1152</v>
      </c>
      <c r="L130" s="67" t="s">
        <v>840</v>
      </c>
      <c r="M130" s="66">
        <f>1226</f>
        <v>1226</v>
      </c>
      <c r="N130" s="67" t="s">
        <v>50</v>
      </c>
      <c r="O130" s="66">
        <f>1093</f>
        <v>1093</v>
      </c>
      <c r="P130" s="67" t="s">
        <v>814</v>
      </c>
      <c r="Q130" s="66">
        <f>1211</f>
        <v>1211</v>
      </c>
      <c r="R130" s="67" t="s">
        <v>50</v>
      </c>
      <c r="S130" s="68">
        <f>1174.62</f>
        <v>1174.6199999999999</v>
      </c>
      <c r="T130" s="65">
        <f>540100</f>
        <v>540100</v>
      </c>
      <c r="U130" s="65">
        <f>132475</f>
        <v>132475</v>
      </c>
      <c r="V130" s="65">
        <f>638623873</f>
        <v>638623873</v>
      </c>
      <c r="W130" s="65">
        <f>157141845</f>
        <v>157141845</v>
      </c>
      <c r="X130" s="69">
        <f>21</f>
        <v>21</v>
      </c>
    </row>
    <row r="131" spans="1:24">
      <c r="A131" s="60" t="s">
        <v>839</v>
      </c>
      <c r="B131" s="60" t="s">
        <v>436</v>
      </c>
      <c r="C131" s="60" t="s">
        <v>437</v>
      </c>
      <c r="D131" s="60" t="s">
        <v>438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f>12910</f>
        <v>12910</v>
      </c>
      <c r="L131" s="67" t="s">
        <v>840</v>
      </c>
      <c r="M131" s="66">
        <f>13690</f>
        <v>13690</v>
      </c>
      <c r="N131" s="67" t="s">
        <v>50</v>
      </c>
      <c r="O131" s="66">
        <f>12250</f>
        <v>12250</v>
      </c>
      <c r="P131" s="67" t="s">
        <v>814</v>
      </c>
      <c r="Q131" s="66">
        <f>13550</f>
        <v>13550</v>
      </c>
      <c r="R131" s="67" t="s">
        <v>50</v>
      </c>
      <c r="S131" s="68">
        <f>13091.43</f>
        <v>13091.43</v>
      </c>
      <c r="T131" s="65">
        <f>20899</f>
        <v>20899</v>
      </c>
      <c r="U131" s="65">
        <f>22</f>
        <v>22</v>
      </c>
      <c r="V131" s="65">
        <f>274105160</f>
        <v>274105160</v>
      </c>
      <c r="W131" s="65">
        <f>288640</f>
        <v>288640</v>
      </c>
      <c r="X131" s="69">
        <f>21</f>
        <v>21</v>
      </c>
    </row>
    <row r="132" spans="1:24">
      <c r="A132" s="60" t="s">
        <v>839</v>
      </c>
      <c r="B132" s="60" t="s">
        <v>439</v>
      </c>
      <c r="C132" s="60" t="s">
        <v>440</v>
      </c>
      <c r="D132" s="60" t="s">
        <v>441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f>1614</f>
        <v>1614</v>
      </c>
      <c r="L132" s="67" t="s">
        <v>840</v>
      </c>
      <c r="M132" s="66">
        <f>1661</f>
        <v>1661</v>
      </c>
      <c r="N132" s="67" t="s">
        <v>65</v>
      </c>
      <c r="O132" s="66">
        <f>1447</f>
        <v>1447</v>
      </c>
      <c r="P132" s="67" t="s">
        <v>833</v>
      </c>
      <c r="Q132" s="66">
        <f>1598</f>
        <v>1598</v>
      </c>
      <c r="R132" s="67" t="s">
        <v>50</v>
      </c>
      <c r="S132" s="68">
        <f>1558.19</f>
        <v>1558.19</v>
      </c>
      <c r="T132" s="65">
        <f>462270</f>
        <v>462270</v>
      </c>
      <c r="U132" s="65">
        <f>40</f>
        <v>40</v>
      </c>
      <c r="V132" s="65">
        <f>730679320</f>
        <v>730679320</v>
      </c>
      <c r="W132" s="65">
        <f>63280</f>
        <v>63280</v>
      </c>
      <c r="X132" s="69">
        <f>21</f>
        <v>21</v>
      </c>
    </row>
    <row r="133" spans="1:24">
      <c r="A133" s="60" t="s">
        <v>839</v>
      </c>
      <c r="B133" s="60" t="s">
        <v>442</v>
      </c>
      <c r="C133" s="60" t="s">
        <v>443</v>
      </c>
      <c r="D133" s="60" t="s">
        <v>444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10</v>
      </c>
      <c r="K133" s="66">
        <f>1180</f>
        <v>1180</v>
      </c>
      <c r="L133" s="67" t="s">
        <v>833</v>
      </c>
      <c r="M133" s="66">
        <f>1291</f>
        <v>1291</v>
      </c>
      <c r="N133" s="67" t="s">
        <v>95</v>
      </c>
      <c r="O133" s="66">
        <f>1175</f>
        <v>1175</v>
      </c>
      <c r="P133" s="67" t="s">
        <v>814</v>
      </c>
      <c r="Q133" s="66">
        <f>1291</f>
        <v>1291</v>
      </c>
      <c r="R133" s="67" t="s">
        <v>95</v>
      </c>
      <c r="S133" s="68">
        <f>1228.4</f>
        <v>1228.4000000000001</v>
      </c>
      <c r="T133" s="65">
        <f>720</f>
        <v>720</v>
      </c>
      <c r="U133" s="65" t="str">
        <f>"－"</f>
        <v>－</v>
      </c>
      <c r="V133" s="65">
        <f>894740</f>
        <v>894740</v>
      </c>
      <c r="W133" s="65" t="str">
        <f>"－"</f>
        <v>－</v>
      </c>
      <c r="X133" s="69">
        <f>5</f>
        <v>5</v>
      </c>
    </row>
    <row r="134" spans="1:24">
      <c r="A134" s="60" t="s">
        <v>839</v>
      </c>
      <c r="B134" s="60" t="s">
        <v>445</v>
      </c>
      <c r="C134" s="60" t="s">
        <v>446</v>
      </c>
      <c r="D134" s="60" t="s">
        <v>447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10</v>
      </c>
      <c r="K134" s="66">
        <f>1628</f>
        <v>1628</v>
      </c>
      <c r="L134" s="67" t="s">
        <v>840</v>
      </c>
      <c r="M134" s="66">
        <f>1739</f>
        <v>1739</v>
      </c>
      <c r="N134" s="67" t="s">
        <v>95</v>
      </c>
      <c r="O134" s="66">
        <f>1437</f>
        <v>1437</v>
      </c>
      <c r="P134" s="67" t="s">
        <v>833</v>
      </c>
      <c r="Q134" s="66">
        <f>1625</f>
        <v>1625</v>
      </c>
      <c r="R134" s="67" t="s">
        <v>50</v>
      </c>
      <c r="S134" s="68">
        <f>1563.29</f>
        <v>1563.29</v>
      </c>
      <c r="T134" s="65">
        <f>793860</f>
        <v>793860</v>
      </c>
      <c r="U134" s="65">
        <f>133010</f>
        <v>133010</v>
      </c>
      <c r="V134" s="65">
        <f>1241163180</f>
        <v>1241163180</v>
      </c>
      <c r="W134" s="65">
        <f>200199710</f>
        <v>200199710</v>
      </c>
      <c r="X134" s="69">
        <f>21</f>
        <v>21</v>
      </c>
    </row>
    <row r="135" spans="1:24">
      <c r="A135" s="60" t="s">
        <v>839</v>
      </c>
      <c r="B135" s="60" t="s">
        <v>448</v>
      </c>
      <c r="C135" s="60" t="s">
        <v>449</v>
      </c>
      <c r="D135" s="60" t="s">
        <v>450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</v>
      </c>
      <c r="K135" s="66">
        <f>14490</f>
        <v>14490</v>
      </c>
      <c r="L135" s="67" t="s">
        <v>72</v>
      </c>
      <c r="M135" s="66">
        <f>14490</f>
        <v>14490</v>
      </c>
      <c r="N135" s="67" t="s">
        <v>72</v>
      </c>
      <c r="O135" s="66">
        <f>14390</f>
        <v>14390</v>
      </c>
      <c r="P135" s="67" t="s">
        <v>72</v>
      </c>
      <c r="Q135" s="66">
        <f>14390</f>
        <v>14390</v>
      </c>
      <c r="R135" s="67" t="s">
        <v>72</v>
      </c>
      <c r="S135" s="68">
        <f>14390</f>
        <v>14390</v>
      </c>
      <c r="T135" s="65">
        <f>12</f>
        <v>12</v>
      </c>
      <c r="U135" s="65" t="str">
        <f>"－"</f>
        <v>－</v>
      </c>
      <c r="V135" s="65">
        <f>173180</f>
        <v>173180</v>
      </c>
      <c r="W135" s="65" t="str">
        <f>"－"</f>
        <v>－</v>
      </c>
      <c r="X135" s="69">
        <f>1</f>
        <v>1</v>
      </c>
    </row>
    <row r="136" spans="1:24">
      <c r="A136" s="60" t="s">
        <v>839</v>
      </c>
      <c r="B136" s="60" t="s">
        <v>451</v>
      </c>
      <c r="C136" s="60" t="s">
        <v>452</v>
      </c>
      <c r="D136" s="60" t="s">
        <v>453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12480</f>
        <v>12480</v>
      </c>
      <c r="L136" s="67" t="s">
        <v>840</v>
      </c>
      <c r="M136" s="66">
        <f>13560</f>
        <v>13560</v>
      </c>
      <c r="N136" s="67" t="s">
        <v>50</v>
      </c>
      <c r="O136" s="66">
        <f>12190</f>
        <v>12190</v>
      </c>
      <c r="P136" s="67" t="s">
        <v>48</v>
      </c>
      <c r="Q136" s="66">
        <f>13530</f>
        <v>13530</v>
      </c>
      <c r="R136" s="67" t="s">
        <v>50</v>
      </c>
      <c r="S136" s="68">
        <f>12928.1</f>
        <v>12928.1</v>
      </c>
      <c r="T136" s="65">
        <f>3624</f>
        <v>3624</v>
      </c>
      <c r="U136" s="65" t="str">
        <f>"－"</f>
        <v>－</v>
      </c>
      <c r="V136" s="65">
        <f>46997700</f>
        <v>46997700</v>
      </c>
      <c r="W136" s="65" t="str">
        <f>"－"</f>
        <v>－</v>
      </c>
      <c r="X136" s="69">
        <f>21</f>
        <v>21</v>
      </c>
    </row>
    <row r="137" spans="1:24">
      <c r="A137" s="60" t="s">
        <v>839</v>
      </c>
      <c r="B137" s="60" t="s">
        <v>454</v>
      </c>
      <c r="C137" s="60" t="s">
        <v>455</v>
      </c>
      <c r="D137" s="60" t="s">
        <v>456</v>
      </c>
      <c r="E137" s="61" t="s">
        <v>46</v>
      </c>
      <c r="F137" s="62" t="s">
        <v>46</v>
      </c>
      <c r="G137" s="63" t="s">
        <v>46</v>
      </c>
      <c r="H137" s="64" t="s">
        <v>823</v>
      </c>
      <c r="I137" s="64" t="s">
        <v>47</v>
      </c>
      <c r="J137" s="65">
        <v>10</v>
      </c>
      <c r="K137" s="66">
        <f>2043</f>
        <v>2043</v>
      </c>
      <c r="L137" s="67" t="s">
        <v>840</v>
      </c>
      <c r="M137" s="66">
        <f>2233</f>
        <v>2233</v>
      </c>
      <c r="N137" s="67" t="s">
        <v>50</v>
      </c>
      <c r="O137" s="66">
        <f>1955</f>
        <v>1955</v>
      </c>
      <c r="P137" s="67" t="s">
        <v>48</v>
      </c>
      <c r="Q137" s="66">
        <f>2233</f>
        <v>2233</v>
      </c>
      <c r="R137" s="67" t="s">
        <v>50</v>
      </c>
      <c r="S137" s="68">
        <f>2106.39</f>
        <v>2106.39</v>
      </c>
      <c r="T137" s="65">
        <f>12660</f>
        <v>12660</v>
      </c>
      <c r="U137" s="65" t="str">
        <f>"－"</f>
        <v>－</v>
      </c>
      <c r="V137" s="65">
        <f>25988110</f>
        <v>25988110</v>
      </c>
      <c r="W137" s="65" t="str">
        <f>"－"</f>
        <v>－</v>
      </c>
      <c r="X137" s="69">
        <f>18</f>
        <v>18</v>
      </c>
    </row>
    <row r="138" spans="1:24">
      <c r="A138" s="60" t="s">
        <v>839</v>
      </c>
      <c r="B138" s="60" t="s">
        <v>457</v>
      </c>
      <c r="C138" s="60" t="s">
        <v>458</v>
      </c>
      <c r="D138" s="60" t="s">
        <v>459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100</v>
      </c>
      <c r="K138" s="66">
        <f>115</f>
        <v>115</v>
      </c>
      <c r="L138" s="67" t="s">
        <v>840</v>
      </c>
      <c r="M138" s="66">
        <f>124</f>
        <v>124</v>
      </c>
      <c r="N138" s="67" t="s">
        <v>50</v>
      </c>
      <c r="O138" s="66">
        <f>109</f>
        <v>109</v>
      </c>
      <c r="P138" s="67" t="s">
        <v>814</v>
      </c>
      <c r="Q138" s="66">
        <f>123</f>
        <v>123</v>
      </c>
      <c r="R138" s="67" t="s">
        <v>50</v>
      </c>
      <c r="S138" s="68">
        <f>116.76</f>
        <v>116.76</v>
      </c>
      <c r="T138" s="65">
        <f>12913800</f>
        <v>12913800</v>
      </c>
      <c r="U138" s="65">
        <f>100</f>
        <v>100</v>
      </c>
      <c r="V138" s="65">
        <f>1525315860</f>
        <v>1525315860</v>
      </c>
      <c r="W138" s="65">
        <f>11760</f>
        <v>11760</v>
      </c>
      <c r="X138" s="69">
        <f>21</f>
        <v>21</v>
      </c>
    </row>
    <row r="139" spans="1:24">
      <c r="A139" s="60" t="s">
        <v>839</v>
      </c>
      <c r="B139" s="60" t="s">
        <v>460</v>
      </c>
      <c r="C139" s="60" t="s">
        <v>461</v>
      </c>
      <c r="D139" s="60" t="s">
        <v>462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25810</f>
        <v>25810</v>
      </c>
      <c r="L139" s="67" t="s">
        <v>840</v>
      </c>
      <c r="M139" s="66">
        <f>26360</f>
        <v>26360</v>
      </c>
      <c r="N139" s="67" t="s">
        <v>50</v>
      </c>
      <c r="O139" s="66">
        <f>24720</f>
        <v>24720</v>
      </c>
      <c r="P139" s="67" t="s">
        <v>833</v>
      </c>
      <c r="Q139" s="66">
        <f>25600</f>
        <v>25600</v>
      </c>
      <c r="R139" s="67" t="s">
        <v>50</v>
      </c>
      <c r="S139" s="68">
        <f>25671.67</f>
        <v>25671.67</v>
      </c>
      <c r="T139" s="65">
        <f>629</f>
        <v>629</v>
      </c>
      <c r="U139" s="65" t="str">
        <f>"－"</f>
        <v>－</v>
      </c>
      <c r="V139" s="65">
        <f>16127590</f>
        <v>16127590</v>
      </c>
      <c r="W139" s="65" t="str">
        <f>"－"</f>
        <v>－</v>
      </c>
      <c r="X139" s="69">
        <f>18</f>
        <v>18</v>
      </c>
    </row>
    <row r="140" spans="1:24">
      <c r="A140" s="60" t="s">
        <v>839</v>
      </c>
      <c r="B140" s="60" t="s">
        <v>463</v>
      </c>
      <c r="C140" s="60" t="s">
        <v>464</v>
      </c>
      <c r="D140" s="60" t="s">
        <v>465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8200</f>
        <v>8200</v>
      </c>
      <c r="L140" s="67" t="s">
        <v>840</v>
      </c>
      <c r="M140" s="66">
        <f>8660</f>
        <v>8660</v>
      </c>
      <c r="N140" s="67" t="s">
        <v>100</v>
      </c>
      <c r="O140" s="66">
        <f>7830</f>
        <v>7830</v>
      </c>
      <c r="P140" s="67" t="s">
        <v>309</v>
      </c>
      <c r="Q140" s="66">
        <f>8630</f>
        <v>8630</v>
      </c>
      <c r="R140" s="67" t="s">
        <v>50</v>
      </c>
      <c r="S140" s="68">
        <f>8286.67</f>
        <v>8286.67</v>
      </c>
      <c r="T140" s="65">
        <f>4570</f>
        <v>4570</v>
      </c>
      <c r="U140" s="65" t="str">
        <f>"－"</f>
        <v>－</v>
      </c>
      <c r="V140" s="65">
        <f>37608490</f>
        <v>37608490</v>
      </c>
      <c r="W140" s="65" t="str">
        <f>"－"</f>
        <v>－</v>
      </c>
      <c r="X140" s="69">
        <f>21</f>
        <v>21</v>
      </c>
    </row>
    <row r="141" spans="1:24">
      <c r="A141" s="60" t="s">
        <v>839</v>
      </c>
      <c r="B141" s="60" t="s">
        <v>466</v>
      </c>
      <c r="C141" s="60" t="s">
        <v>467</v>
      </c>
      <c r="D141" s="60" t="s">
        <v>468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17600</f>
        <v>17600</v>
      </c>
      <c r="L141" s="67" t="s">
        <v>840</v>
      </c>
      <c r="M141" s="66">
        <f>18000</f>
        <v>18000</v>
      </c>
      <c r="N141" s="67" t="s">
        <v>50</v>
      </c>
      <c r="O141" s="66">
        <f>15990</f>
        <v>15990</v>
      </c>
      <c r="P141" s="67" t="s">
        <v>814</v>
      </c>
      <c r="Q141" s="66">
        <f>18000</f>
        <v>18000</v>
      </c>
      <c r="R141" s="67" t="s">
        <v>50</v>
      </c>
      <c r="S141" s="68">
        <f>17097.78</f>
        <v>17097.78</v>
      </c>
      <c r="T141" s="65">
        <f>767</f>
        <v>767</v>
      </c>
      <c r="U141" s="65" t="str">
        <f>"－"</f>
        <v>－</v>
      </c>
      <c r="V141" s="65">
        <f>13002320</f>
        <v>13002320</v>
      </c>
      <c r="W141" s="65" t="str">
        <f>"－"</f>
        <v>－</v>
      </c>
      <c r="X141" s="69">
        <f>18</f>
        <v>18</v>
      </c>
    </row>
    <row r="142" spans="1:24">
      <c r="A142" s="60" t="s">
        <v>839</v>
      </c>
      <c r="B142" s="60" t="s">
        <v>469</v>
      </c>
      <c r="C142" s="60" t="s">
        <v>470</v>
      </c>
      <c r="D142" s="60" t="s">
        <v>471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21070</f>
        <v>21070</v>
      </c>
      <c r="L142" s="67" t="s">
        <v>840</v>
      </c>
      <c r="M142" s="66">
        <f>22160</f>
        <v>22160</v>
      </c>
      <c r="N142" s="67" t="s">
        <v>49</v>
      </c>
      <c r="O142" s="66">
        <f>20180</f>
        <v>20180</v>
      </c>
      <c r="P142" s="67" t="s">
        <v>814</v>
      </c>
      <c r="Q142" s="66">
        <f>22140</f>
        <v>22140</v>
      </c>
      <c r="R142" s="67" t="s">
        <v>50</v>
      </c>
      <c r="S142" s="68">
        <f>21482.22</f>
        <v>21482.22</v>
      </c>
      <c r="T142" s="65">
        <f>159</f>
        <v>159</v>
      </c>
      <c r="U142" s="65" t="str">
        <f>"－"</f>
        <v>－</v>
      </c>
      <c r="V142" s="65">
        <f>3406130</f>
        <v>3406130</v>
      </c>
      <c r="W142" s="65" t="str">
        <f>"－"</f>
        <v>－</v>
      </c>
      <c r="X142" s="69">
        <f>18</f>
        <v>18</v>
      </c>
    </row>
    <row r="143" spans="1:24">
      <c r="A143" s="60" t="s">
        <v>839</v>
      </c>
      <c r="B143" s="60" t="s">
        <v>472</v>
      </c>
      <c r="C143" s="60" t="s">
        <v>473</v>
      </c>
      <c r="D143" s="60" t="s">
        <v>474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22690</f>
        <v>22690</v>
      </c>
      <c r="L143" s="67" t="s">
        <v>840</v>
      </c>
      <c r="M143" s="66">
        <f>24010</f>
        <v>24010</v>
      </c>
      <c r="N143" s="67" t="s">
        <v>50</v>
      </c>
      <c r="O143" s="66">
        <f>21130</f>
        <v>21130</v>
      </c>
      <c r="P143" s="67" t="s">
        <v>833</v>
      </c>
      <c r="Q143" s="66">
        <f>23700</f>
        <v>23700</v>
      </c>
      <c r="R143" s="67" t="s">
        <v>50</v>
      </c>
      <c r="S143" s="68">
        <f>22921.9</f>
        <v>22921.9</v>
      </c>
      <c r="T143" s="65">
        <f>6397</f>
        <v>6397</v>
      </c>
      <c r="U143" s="65">
        <f>1</f>
        <v>1</v>
      </c>
      <c r="V143" s="65">
        <f>147775130</f>
        <v>147775130</v>
      </c>
      <c r="W143" s="65">
        <f>21890</f>
        <v>21890</v>
      </c>
      <c r="X143" s="69">
        <f>21</f>
        <v>21</v>
      </c>
    </row>
    <row r="144" spans="1:24">
      <c r="A144" s="60" t="s">
        <v>839</v>
      </c>
      <c r="B144" s="60" t="s">
        <v>475</v>
      </c>
      <c r="C144" s="60" t="s">
        <v>476</v>
      </c>
      <c r="D144" s="60" t="s">
        <v>477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16170</f>
        <v>16170</v>
      </c>
      <c r="L144" s="67" t="s">
        <v>840</v>
      </c>
      <c r="M144" s="66">
        <f>17050</f>
        <v>17050</v>
      </c>
      <c r="N144" s="67" t="s">
        <v>50</v>
      </c>
      <c r="O144" s="66">
        <f>14870</f>
        <v>14870</v>
      </c>
      <c r="P144" s="67" t="s">
        <v>814</v>
      </c>
      <c r="Q144" s="66">
        <f>17050</f>
        <v>17050</v>
      </c>
      <c r="R144" s="67" t="s">
        <v>50</v>
      </c>
      <c r="S144" s="68">
        <f>16125.71</f>
        <v>16125.71</v>
      </c>
      <c r="T144" s="65">
        <f>1430</f>
        <v>1430</v>
      </c>
      <c r="U144" s="65" t="str">
        <f>"－"</f>
        <v>－</v>
      </c>
      <c r="V144" s="65">
        <f>22912220</f>
        <v>22912220</v>
      </c>
      <c r="W144" s="65" t="str">
        <f>"－"</f>
        <v>－</v>
      </c>
      <c r="X144" s="69">
        <f>21</f>
        <v>21</v>
      </c>
    </row>
    <row r="145" spans="1:24">
      <c r="A145" s="60" t="s">
        <v>839</v>
      </c>
      <c r="B145" s="60" t="s">
        <v>478</v>
      </c>
      <c r="C145" s="60" t="s">
        <v>479</v>
      </c>
      <c r="D145" s="60" t="s">
        <v>480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9660</f>
        <v>9660</v>
      </c>
      <c r="L145" s="67" t="s">
        <v>840</v>
      </c>
      <c r="M145" s="66">
        <f>9890</f>
        <v>9890</v>
      </c>
      <c r="N145" s="67" t="s">
        <v>50</v>
      </c>
      <c r="O145" s="66">
        <f>8760</f>
        <v>8760</v>
      </c>
      <c r="P145" s="67" t="s">
        <v>48</v>
      </c>
      <c r="Q145" s="66">
        <f>9840</f>
        <v>9840</v>
      </c>
      <c r="R145" s="67" t="s">
        <v>50</v>
      </c>
      <c r="S145" s="68">
        <f>9334.29</f>
        <v>9334.2900000000009</v>
      </c>
      <c r="T145" s="65">
        <f>2429</f>
        <v>2429</v>
      </c>
      <c r="U145" s="65">
        <f>3</f>
        <v>3</v>
      </c>
      <c r="V145" s="65">
        <f>22596290</f>
        <v>22596290</v>
      </c>
      <c r="W145" s="65">
        <f>29340</f>
        <v>29340</v>
      </c>
      <c r="X145" s="69">
        <f>21</f>
        <v>21</v>
      </c>
    </row>
    <row r="146" spans="1:24">
      <c r="A146" s="60" t="s">
        <v>839</v>
      </c>
      <c r="B146" s="60" t="s">
        <v>481</v>
      </c>
      <c r="C146" s="60" t="s">
        <v>482</v>
      </c>
      <c r="D146" s="60" t="s">
        <v>483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26450</f>
        <v>26450</v>
      </c>
      <c r="L146" s="67" t="s">
        <v>840</v>
      </c>
      <c r="M146" s="66">
        <f>28890</f>
        <v>28890</v>
      </c>
      <c r="N146" s="67" t="s">
        <v>50</v>
      </c>
      <c r="O146" s="66">
        <f>26000</f>
        <v>26000</v>
      </c>
      <c r="P146" s="67" t="s">
        <v>833</v>
      </c>
      <c r="Q146" s="66">
        <f>28890</f>
        <v>28890</v>
      </c>
      <c r="R146" s="67" t="s">
        <v>50</v>
      </c>
      <c r="S146" s="68">
        <f>27392.67</f>
        <v>27392.67</v>
      </c>
      <c r="T146" s="65">
        <f>198</f>
        <v>198</v>
      </c>
      <c r="U146" s="65" t="str">
        <f t="shared" ref="U146:U152" si="6">"－"</f>
        <v>－</v>
      </c>
      <c r="V146" s="65">
        <f>5385360</f>
        <v>5385360</v>
      </c>
      <c r="W146" s="65" t="str">
        <f t="shared" ref="W146:W152" si="7">"－"</f>
        <v>－</v>
      </c>
      <c r="X146" s="69">
        <f>15</f>
        <v>15</v>
      </c>
    </row>
    <row r="147" spans="1:24">
      <c r="A147" s="60" t="s">
        <v>839</v>
      </c>
      <c r="B147" s="60" t="s">
        <v>484</v>
      </c>
      <c r="C147" s="60" t="s">
        <v>485</v>
      </c>
      <c r="D147" s="60" t="s">
        <v>486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17560</f>
        <v>17560</v>
      </c>
      <c r="L147" s="67" t="s">
        <v>840</v>
      </c>
      <c r="M147" s="66">
        <f>18800</f>
        <v>18800</v>
      </c>
      <c r="N147" s="67" t="s">
        <v>50</v>
      </c>
      <c r="O147" s="66">
        <f>16610</f>
        <v>16610</v>
      </c>
      <c r="P147" s="67" t="s">
        <v>833</v>
      </c>
      <c r="Q147" s="66">
        <f>18800</f>
        <v>18800</v>
      </c>
      <c r="R147" s="67" t="s">
        <v>50</v>
      </c>
      <c r="S147" s="68">
        <f>17796.67</f>
        <v>17796.669999999998</v>
      </c>
      <c r="T147" s="65">
        <f>265</f>
        <v>265</v>
      </c>
      <c r="U147" s="65" t="str">
        <f t="shared" si="6"/>
        <v>－</v>
      </c>
      <c r="V147" s="65">
        <f>4725270</f>
        <v>4725270</v>
      </c>
      <c r="W147" s="65" t="str">
        <f t="shared" si="7"/>
        <v>－</v>
      </c>
      <c r="X147" s="69">
        <f>18</f>
        <v>18</v>
      </c>
    </row>
    <row r="148" spans="1:24">
      <c r="A148" s="60" t="s">
        <v>839</v>
      </c>
      <c r="B148" s="60" t="s">
        <v>487</v>
      </c>
      <c r="C148" s="60" t="s">
        <v>488</v>
      </c>
      <c r="D148" s="60" t="s">
        <v>489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20960</f>
        <v>20960</v>
      </c>
      <c r="L148" s="67" t="s">
        <v>840</v>
      </c>
      <c r="M148" s="66">
        <f>22560</f>
        <v>22560</v>
      </c>
      <c r="N148" s="67" t="s">
        <v>50</v>
      </c>
      <c r="O148" s="66">
        <f>19850</f>
        <v>19850</v>
      </c>
      <c r="P148" s="67" t="s">
        <v>48</v>
      </c>
      <c r="Q148" s="66">
        <f>22390</f>
        <v>22390</v>
      </c>
      <c r="R148" s="67" t="s">
        <v>50</v>
      </c>
      <c r="S148" s="68">
        <f>21529.05</f>
        <v>21529.05</v>
      </c>
      <c r="T148" s="65">
        <f>1666</f>
        <v>1666</v>
      </c>
      <c r="U148" s="65" t="str">
        <f t="shared" si="6"/>
        <v>－</v>
      </c>
      <c r="V148" s="65">
        <f>36493770</f>
        <v>36493770</v>
      </c>
      <c r="W148" s="65" t="str">
        <f t="shared" si="7"/>
        <v>－</v>
      </c>
      <c r="X148" s="69">
        <f>21</f>
        <v>21</v>
      </c>
    </row>
    <row r="149" spans="1:24">
      <c r="A149" s="60" t="s">
        <v>839</v>
      </c>
      <c r="B149" s="60" t="s">
        <v>490</v>
      </c>
      <c r="C149" s="60" t="s">
        <v>491</v>
      </c>
      <c r="D149" s="60" t="s">
        <v>492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6610</f>
        <v>6610</v>
      </c>
      <c r="L149" s="67" t="s">
        <v>840</v>
      </c>
      <c r="M149" s="66">
        <f>6890</f>
        <v>6890</v>
      </c>
      <c r="N149" s="67" t="s">
        <v>72</v>
      </c>
      <c r="O149" s="66">
        <f>6250</f>
        <v>6250</v>
      </c>
      <c r="P149" s="67" t="s">
        <v>814</v>
      </c>
      <c r="Q149" s="66">
        <f>6450</f>
        <v>6450</v>
      </c>
      <c r="R149" s="67" t="s">
        <v>50</v>
      </c>
      <c r="S149" s="68">
        <f>6609.47</f>
        <v>6609.47</v>
      </c>
      <c r="T149" s="65">
        <f>1818</f>
        <v>1818</v>
      </c>
      <c r="U149" s="65" t="str">
        <f t="shared" si="6"/>
        <v>－</v>
      </c>
      <c r="V149" s="65">
        <f>12136830</f>
        <v>12136830</v>
      </c>
      <c r="W149" s="65" t="str">
        <f t="shared" si="7"/>
        <v>－</v>
      </c>
      <c r="X149" s="69">
        <f>19</f>
        <v>19</v>
      </c>
    </row>
    <row r="150" spans="1:24">
      <c r="A150" s="60" t="s">
        <v>839</v>
      </c>
      <c r="B150" s="60" t="s">
        <v>493</v>
      </c>
      <c r="C150" s="60" t="s">
        <v>494</v>
      </c>
      <c r="D150" s="60" t="s">
        <v>495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14610</f>
        <v>14610</v>
      </c>
      <c r="L150" s="67" t="s">
        <v>840</v>
      </c>
      <c r="M150" s="66">
        <f>15700</f>
        <v>15700</v>
      </c>
      <c r="N150" s="67" t="s">
        <v>119</v>
      </c>
      <c r="O150" s="66">
        <f>14140</f>
        <v>14140</v>
      </c>
      <c r="P150" s="67" t="s">
        <v>48</v>
      </c>
      <c r="Q150" s="66">
        <f>14800</f>
        <v>14800</v>
      </c>
      <c r="R150" s="67" t="s">
        <v>50</v>
      </c>
      <c r="S150" s="68">
        <f>14910.5</f>
        <v>14910.5</v>
      </c>
      <c r="T150" s="65">
        <f>1051</f>
        <v>1051</v>
      </c>
      <c r="U150" s="65" t="str">
        <f t="shared" si="6"/>
        <v>－</v>
      </c>
      <c r="V150" s="65">
        <f>15832310</f>
        <v>15832310</v>
      </c>
      <c r="W150" s="65" t="str">
        <f t="shared" si="7"/>
        <v>－</v>
      </c>
      <c r="X150" s="69">
        <f>20</f>
        <v>20</v>
      </c>
    </row>
    <row r="151" spans="1:24">
      <c r="A151" s="60" t="s">
        <v>839</v>
      </c>
      <c r="B151" s="60" t="s">
        <v>496</v>
      </c>
      <c r="C151" s="60" t="s">
        <v>497</v>
      </c>
      <c r="D151" s="60" t="s">
        <v>498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29010</f>
        <v>29010</v>
      </c>
      <c r="L151" s="67" t="s">
        <v>840</v>
      </c>
      <c r="M151" s="66">
        <f>29010</f>
        <v>29010</v>
      </c>
      <c r="N151" s="67" t="s">
        <v>840</v>
      </c>
      <c r="O151" s="66">
        <f>26930</f>
        <v>26930</v>
      </c>
      <c r="P151" s="67" t="s">
        <v>814</v>
      </c>
      <c r="Q151" s="66">
        <f>28960</f>
        <v>28960</v>
      </c>
      <c r="R151" s="67" t="s">
        <v>50</v>
      </c>
      <c r="S151" s="68">
        <f>28062.5</f>
        <v>28062.5</v>
      </c>
      <c r="T151" s="65">
        <f>184</f>
        <v>184</v>
      </c>
      <c r="U151" s="65" t="str">
        <f t="shared" si="6"/>
        <v>－</v>
      </c>
      <c r="V151" s="65">
        <f>5147120</f>
        <v>5147120</v>
      </c>
      <c r="W151" s="65" t="str">
        <f t="shared" si="7"/>
        <v>－</v>
      </c>
      <c r="X151" s="69">
        <f>16</f>
        <v>16</v>
      </c>
    </row>
    <row r="152" spans="1:24">
      <c r="A152" s="60" t="s">
        <v>839</v>
      </c>
      <c r="B152" s="60" t="s">
        <v>499</v>
      </c>
      <c r="C152" s="60" t="s">
        <v>500</v>
      </c>
      <c r="D152" s="60" t="s">
        <v>501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16870</f>
        <v>16870</v>
      </c>
      <c r="L152" s="67" t="s">
        <v>48</v>
      </c>
      <c r="M152" s="66">
        <f>18700</f>
        <v>18700</v>
      </c>
      <c r="N152" s="67" t="s">
        <v>50</v>
      </c>
      <c r="O152" s="66">
        <f>16770</f>
        <v>16770</v>
      </c>
      <c r="P152" s="67" t="s">
        <v>48</v>
      </c>
      <c r="Q152" s="66">
        <f>18630</f>
        <v>18630</v>
      </c>
      <c r="R152" s="67" t="s">
        <v>50</v>
      </c>
      <c r="S152" s="68">
        <f>17691.67</f>
        <v>17691.669999999998</v>
      </c>
      <c r="T152" s="65">
        <f>154</f>
        <v>154</v>
      </c>
      <c r="U152" s="65" t="str">
        <f t="shared" si="6"/>
        <v>－</v>
      </c>
      <c r="V152" s="65">
        <f>2757820</f>
        <v>2757820</v>
      </c>
      <c r="W152" s="65" t="str">
        <f t="shared" si="7"/>
        <v>－</v>
      </c>
      <c r="X152" s="69">
        <f>12</f>
        <v>12</v>
      </c>
    </row>
    <row r="153" spans="1:24">
      <c r="A153" s="60" t="s">
        <v>839</v>
      </c>
      <c r="B153" s="60" t="s">
        <v>502</v>
      </c>
      <c r="C153" s="60" t="s">
        <v>503</v>
      </c>
      <c r="D153" s="60" t="s">
        <v>504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f>6580</f>
        <v>6580</v>
      </c>
      <c r="L153" s="67" t="s">
        <v>840</v>
      </c>
      <c r="M153" s="66">
        <f>7020</f>
        <v>7020</v>
      </c>
      <c r="N153" s="67" t="s">
        <v>50</v>
      </c>
      <c r="O153" s="66">
        <f>6170</f>
        <v>6170</v>
      </c>
      <c r="P153" s="67" t="s">
        <v>833</v>
      </c>
      <c r="Q153" s="66">
        <f>6960</f>
        <v>6960</v>
      </c>
      <c r="R153" s="67" t="s">
        <v>50</v>
      </c>
      <c r="S153" s="68">
        <f>6634.76</f>
        <v>6634.76</v>
      </c>
      <c r="T153" s="65">
        <f>4935</f>
        <v>4935</v>
      </c>
      <c r="U153" s="65">
        <f>2</f>
        <v>2</v>
      </c>
      <c r="V153" s="65">
        <f>32912100</f>
        <v>32912100</v>
      </c>
      <c r="W153" s="65">
        <f>13020</f>
        <v>13020</v>
      </c>
      <c r="X153" s="69">
        <f>21</f>
        <v>21</v>
      </c>
    </row>
    <row r="154" spans="1:24">
      <c r="A154" s="60" t="s">
        <v>839</v>
      </c>
      <c r="B154" s="60" t="s">
        <v>505</v>
      </c>
      <c r="C154" s="60" t="s">
        <v>506</v>
      </c>
      <c r="D154" s="60" t="s">
        <v>507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f>10240</f>
        <v>10240</v>
      </c>
      <c r="L154" s="67" t="s">
        <v>840</v>
      </c>
      <c r="M154" s="66">
        <f>10600</f>
        <v>10600</v>
      </c>
      <c r="N154" s="67" t="s">
        <v>50</v>
      </c>
      <c r="O154" s="66">
        <f>9520</f>
        <v>9520</v>
      </c>
      <c r="P154" s="67" t="s">
        <v>833</v>
      </c>
      <c r="Q154" s="66">
        <f>10600</f>
        <v>10600</v>
      </c>
      <c r="R154" s="67" t="s">
        <v>50</v>
      </c>
      <c r="S154" s="68">
        <f>10073.68</f>
        <v>10073.68</v>
      </c>
      <c r="T154" s="65">
        <f>665</f>
        <v>665</v>
      </c>
      <c r="U154" s="65" t="str">
        <f t="shared" ref="U154:U160" si="8">"－"</f>
        <v>－</v>
      </c>
      <c r="V154" s="65">
        <f>6691830</f>
        <v>6691830</v>
      </c>
      <c r="W154" s="65" t="str">
        <f t="shared" ref="W154:W160" si="9">"－"</f>
        <v>－</v>
      </c>
      <c r="X154" s="69">
        <f>19</f>
        <v>19</v>
      </c>
    </row>
    <row r="155" spans="1:24">
      <c r="A155" s="60" t="s">
        <v>839</v>
      </c>
      <c r="B155" s="60" t="s">
        <v>508</v>
      </c>
      <c r="C155" s="60" t="s">
        <v>509</v>
      </c>
      <c r="D155" s="60" t="s">
        <v>510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</v>
      </c>
      <c r="K155" s="66">
        <f>22400</f>
        <v>22400</v>
      </c>
      <c r="L155" s="67" t="s">
        <v>840</v>
      </c>
      <c r="M155" s="66">
        <f>24050</f>
        <v>24050</v>
      </c>
      <c r="N155" s="67" t="s">
        <v>50</v>
      </c>
      <c r="O155" s="66">
        <f>21150</f>
        <v>21150</v>
      </c>
      <c r="P155" s="67" t="s">
        <v>814</v>
      </c>
      <c r="Q155" s="66">
        <f>23980</f>
        <v>23980</v>
      </c>
      <c r="R155" s="67" t="s">
        <v>50</v>
      </c>
      <c r="S155" s="68">
        <f>22729.5</f>
        <v>22729.5</v>
      </c>
      <c r="T155" s="65">
        <f>802</f>
        <v>802</v>
      </c>
      <c r="U155" s="65" t="str">
        <f t="shared" si="8"/>
        <v>－</v>
      </c>
      <c r="V155" s="65">
        <f>18063140</f>
        <v>18063140</v>
      </c>
      <c r="W155" s="65" t="str">
        <f t="shared" si="9"/>
        <v>－</v>
      </c>
      <c r="X155" s="69">
        <f>20</f>
        <v>20</v>
      </c>
    </row>
    <row r="156" spans="1:24">
      <c r="A156" s="60" t="s">
        <v>839</v>
      </c>
      <c r="B156" s="60" t="s">
        <v>511</v>
      </c>
      <c r="C156" s="60" t="s">
        <v>512</v>
      </c>
      <c r="D156" s="60" t="s">
        <v>513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785</f>
        <v>785</v>
      </c>
      <c r="L156" s="67" t="s">
        <v>840</v>
      </c>
      <c r="M156" s="66">
        <f>838</f>
        <v>838</v>
      </c>
      <c r="N156" s="67" t="s">
        <v>50</v>
      </c>
      <c r="O156" s="66">
        <f>742</f>
        <v>742</v>
      </c>
      <c r="P156" s="67" t="s">
        <v>814</v>
      </c>
      <c r="Q156" s="66">
        <f>817</f>
        <v>817</v>
      </c>
      <c r="R156" s="67" t="s">
        <v>50</v>
      </c>
      <c r="S156" s="68">
        <f>787.67</f>
        <v>787.67</v>
      </c>
      <c r="T156" s="65">
        <f>125770</f>
        <v>125770</v>
      </c>
      <c r="U156" s="65" t="str">
        <f t="shared" si="8"/>
        <v>－</v>
      </c>
      <c r="V156" s="65">
        <f>99444220</f>
        <v>99444220</v>
      </c>
      <c r="W156" s="65" t="str">
        <f t="shared" si="9"/>
        <v>－</v>
      </c>
      <c r="X156" s="69">
        <f>21</f>
        <v>21</v>
      </c>
    </row>
    <row r="157" spans="1:24">
      <c r="A157" s="60" t="s">
        <v>839</v>
      </c>
      <c r="B157" s="60" t="s">
        <v>514</v>
      </c>
      <c r="C157" s="60" t="s">
        <v>515</v>
      </c>
      <c r="D157" s="60" t="s">
        <v>516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10</v>
      </c>
      <c r="K157" s="66">
        <f>1714</f>
        <v>1714</v>
      </c>
      <c r="L157" s="67" t="s">
        <v>833</v>
      </c>
      <c r="M157" s="66">
        <f>1835</f>
        <v>1835</v>
      </c>
      <c r="N157" s="67" t="s">
        <v>49</v>
      </c>
      <c r="O157" s="66">
        <f>1714</f>
        <v>1714</v>
      </c>
      <c r="P157" s="67" t="s">
        <v>833</v>
      </c>
      <c r="Q157" s="66">
        <f>1817</f>
        <v>1817</v>
      </c>
      <c r="R157" s="67" t="s">
        <v>99</v>
      </c>
      <c r="S157" s="68">
        <f>1804.17</f>
        <v>1804.17</v>
      </c>
      <c r="T157" s="65">
        <f>100</f>
        <v>100</v>
      </c>
      <c r="U157" s="65" t="str">
        <f t="shared" si="8"/>
        <v>－</v>
      </c>
      <c r="V157" s="65">
        <f>181530</f>
        <v>181530</v>
      </c>
      <c r="W157" s="65" t="str">
        <f t="shared" si="9"/>
        <v>－</v>
      </c>
      <c r="X157" s="69">
        <f>6</f>
        <v>6</v>
      </c>
    </row>
    <row r="158" spans="1:24">
      <c r="A158" s="60" t="s">
        <v>839</v>
      </c>
      <c r="B158" s="60" t="s">
        <v>517</v>
      </c>
      <c r="C158" s="60" t="s">
        <v>518</v>
      </c>
      <c r="D158" s="60" t="s">
        <v>519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10</v>
      </c>
      <c r="K158" s="66">
        <f>1799</f>
        <v>1799</v>
      </c>
      <c r="L158" s="67" t="s">
        <v>840</v>
      </c>
      <c r="M158" s="66">
        <f>1891</f>
        <v>1891</v>
      </c>
      <c r="N158" s="67" t="s">
        <v>50</v>
      </c>
      <c r="O158" s="66">
        <f>1739</f>
        <v>1739</v>
      </c>
      <c r="P158" s="67" t="s">
        <v>833</v>
      </c>
      <c r="Q158" s="66">
        <f>1891</f>
        <v>1891</v>
      </c>
      <c r="R158" s="67" t="s">
        <v>50</v>
      </c>
      <c r="S158" s="68">
        <f>1834.63</f>
        <v>1834.63</v>
      </c>
      <c r="T158" s="65">
        <f>3310</f>
        <v>3310</v>
      </c>
      <c r="U158" s="65" t="str">
        <f t="shared" si="8"/>
        <v>－</v>
      </c>
      <c r="V158" s="65">
        <f>6109530</f>
        <v>6109530</v>
      </c>
      <c r="W158" s="65" t="str">
        <f t="shared" si="9"/>
        <v>－</v>
      </c>
      <c r="X158" s="69">
        <f>16</f>
        <v>16</v>
      </c>
    </row>
    <row r="159" spans="1:24">
      <c r="A159" s="60" t="s">
        <v>839</v>
      </c>
      <c r="B159" s="60" t="s">
        <v>520</v>
      </c>
      <c r="C159" s="60" t="s">
        <v>521</v>
      </c>
      <c r="D159" s="60" t="s">
        <v>522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10</v>
      </c>
      <c r="K159" s="66">
        <f>1057</f>
        <v>1057</v>
      </c>
      <c r="L159" s="67" t="s">
        <v>840</v>
      </c>
      <c r="M159" s="66">
        <f>1115</f>
        <v>1115</v>
      </c>
      <c r="N159" s="67" t="s">
        <v>50</v>
      </c>
      <c r="O159" s="66">
        <f>1011</f>
        <v>1011</v>
      </c>
      <c r="P159" s="67" t="s">
        <v>814</v>
      </c>
      <c r="Q159" s="66">
        <f>1115</f>
        <v>1115</v>
      </c>
      <c r="R159" s="67" t="s">
        <v>50</v>
      </c>
      <c r="S159" s="68">
        <f>1074.4</f>
        <v>1074.4000000000001</v>
      </c>
      <c r="T159" s="65">
        <f>24050</f>
        <v>24050</v>
      </c>
      <c r="U159" s="65" t="str">
        <f t="shared" si="8"/>
        <v>－</v>
      </c>
      <c r="V159" s="65">
        <f>26046420</f>
        <v>26046420</v>
      </c>
      <c r="W159" s="65" t="str">
        <f t="shared" si="9"/>
        <v>－</v>
      </c>
      <c r="X159" s="69">
        <f>15</f>
        <v>15</v>
      </c>
    </row>
    <row r="160" spans="1:24">
      <c r="A160" s="60" t="s">
        <v>839</v>
      </c>
      <c r="B160" s="60" t="s">
        <v>523</v>
      </c>
      <c r="C160" s="60" t="s">
        <v>524</v>
      </c>
      <c r="D160" s="60" t="s">
        <v>525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1953</f>
        <v>1953</v>
      </c>
      <c r="L160" s="67" t="s">
        <v>840</v>
      </c>
      <c r="M160" s="66">
        <f>2263</f>
        <v>2263</v>
      </c>
      <c r="N160" s="67" t="s">
        <v>50</v>
      </c>
      <c r="O160" s="66">
        <f>1891</f>
        <v>1891</v>
      </c>
      <c r="P160" s="67" t="s">
        <v>833</v>
      </c>
      <c r="Q160" s="66">
        <f>2256</f>
        <v>2256</v>
      </c>
      <c r="R160" s="67" t="s">
        <v>50</v>
      </c>
      <c r="S160" s="68">
        <f>2118.48</f>
        <v>2118.48</v>
      </c>
      <c r="T160" s="65">
        <f>1868124</f>
        <v>1868124</v>
      </c>
      <c r="U160" s="65" t="str">
        <f t="shared" si="8"/>
        <v>－</v>
      </c>
      <c r="V160" s="65">
        <f>3971499884</f>
        <v>3971499884</v>
      </c>
      <c r="W160" s="65" t="str">
        <f t="shared" si="9"/>
        <v>－</v>
      </c>
      <c r="X160" s="69">
        <f>21</f>
        <v>21</v>
      </c>
    </row>
    <row r="161" spans="1:24">
      <c r="A161" s="60" t="s">
        <v>839</v>
      </c>
      <c r="B161" s="60" t="s">
        <v>526</v>
      </c>
      <c r="C161" s="60" t="s">
        <v>527</v>
      </c>
      <c r="D161" s="60" t="s">
        <v>528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2732</f>
        <v>2732</v>
      </c>
      <c r="L161" s="67" t="s">
        <v>840</v>
      </c>
      <c r="M161" s="66">
        <f>2785</f>
        <v>2785</v>
      </c>
      <c r="N161" s="67" t="s">
        <v>48</v>
      </c>
      <c r="O161" s="66">
        <f>2678</f>
        <v>2678</v>
      </c>
      <c r="P161" s="67" t="s">
        <v>90</v>
      </c>
      <c r="Q161" s="66">
        <f>2700</f>
        <v>2700</v>
      </c>
      <c r="R161" s="67" t="s">
        <v>50</v>
      </c>
      <c r="S161" s="68">
        <f>2726.62</f>
        <v>2726.62</v>
      </c>
      <c r="T161" s="65">
        <f>59465</f>
        <v>59465</v>
      </c>
      <c r="U161" s="65">
        <f>37000</f>
        <v>37000</v>
      </c>
      <c r="V161" s="65">
        <f>163829148</f>
        <v>163829148</v>
      </c>
      <c r="W161" s="65">
        <f>102615800</f>
        <v>102615800</v>
      </c>
      <c r="X161" s="69">
        <f>21</f>
        <v>21</v>
      </c>
    </row>
    <row r="162" spans="1:24">
      <c r="A162" s="60" t="s">
        <v>839</v>
      </c>
      <c r="B162" s="60" t="s">
        <v>529</v>
      </c>
      <c r="C162" s="60" t="s">
        <v>530</v>
      </c>
      <c r="D162" s="60" t="s">
        <v>531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1796</f>
        <v>1796</v>
      </c>
      <c r="L162" s="67" t="s">
        <v>840</v>
      </c>
      <c r="M162" s="66">
        <f>2046</f>
        <v>2046</v>
      </c>
      <c r="N162" s="67" t="s">
        <v>50</v>
      </c>
      <c r="O162" s="66">
        <f>1696</f>
        <v>1696</v>
      </c>
      <c r="P162" s="67" t="s">
        <v>833</v>
      </c>
      <c r="Q162" s="66">
        <f>2041</f>
        <v>2041</v>
      </c>
      <c r="R162" s="67" t="s">
        <v>50</v>
      </c>
      <c r="S162" s="68">
        <f>1908.76</f>
        <v>1908.76</v>
      </c>
      <c r="T162" s="65">
        <f>91352</f>
        <v>91352</v>
      </c>
      <c r="U162" s="65" t="str">
        <f>"－"</f>
        <v>－</v>
      </c>
      <c r="V162" s="65">
        <f>175009995</f>
        <v>175009995</v>
      </c>
      <c r="W162" s="65" t="str">
        <f>"－"</f>
        <v>－</v>
      </c>
      <c r="X162" s="69">
        <f>21</f>
        <v>21</v>
      </c>
    </row>
    <row r="163" spans="1:24">
      <c r="A163" s="60" t="s">
        <v>839</v>
      </c>
      <c r="B163" s="60" t="s">
        <v>532</v>
      </c>
      <c r="C163" s="60" t="s">
        <v>533</v>
      </c>
      <c r="D163" s="60" t="s">
        <v>534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1468</f>
        <v>1468</v>
      </c>
      <c r="L163" s="67" t="s">
        <v>840</v>
      </c>
      <c r="M163" s="66">
        <f>1609</f>
        <v>1609</v>
      </c>
      <c r="N163" s="67" t="s">
        <v>50</v>
      </c>
      <c r="O163" s="66">
        <f>1392</f>
        <v>1392</v>
      </c>
      <c r="P163" s="67" t="s">
        <v>833</v>
      </c>
      <c r="Q163" s="66">
        <f>1608</f>
        <v>1608</v>
      </c>
      <c r="R163" s="67" t="s">
        <v>50</v>
      </c>
      <c r="S163" s="68">
        <f>1520.81</f>
        <v>1520.81</v>
      </c>
      <c r="T163" s="65">
        <f>82946</f>
        <v>82946</v>
      </c>
      <c r="U163" s="65">
        <f>5</f>
        <v>5</v>
      </c>
      <c r="V163" s="65">
        <f>125713000</f>
        <v>125713000</v>
      </c>
      <c r="W163" s="65">
        <f>7585</f>
        <v>7585</v>
      </c>
      <c r="X163" s="69">
        <f>21</f>
        <v>21</v>
      </c>
    </row>
    <row r="164" spans="1:24">
      <c r="A164" s="60" t="s">
        <v>839</v>
      </c>
      <c r="B164" s="60" t="s">
        <v>535</v>
      </c>
      <c r="C164" s="60" t="s">
        <v>536</v>
      </c>
      <c r="D164" s="60" t="s">
        <v>537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1620</f>
        <v>1620</v>
      </c>
      <c r="L164" s="67" t="s">
        <v>840</v>
      </c>
      <c r="M164" s="66">
        <f>1809</f>
        <v>1809</v>
      </c>
      <c r="N164" s="67" t="s">
        <v>820</v>
      </c>
      <c r="O164" s="66">
        <f>1501</f>
        <v>1501</v>
      </c>
      <c r="P164" s="67" t="s">
        <v>48</v>
      </c>
      <c r="Q164" s="66">
        <f>1756</f>
        <v>1756</v>
      </c>
      <c r="R164" s="67" t="s">
        <v>50</v>
      </c>
      <c r="S164" s="68">
        <f>1664.33</f>
        <v>1664.33</v>
      </c>
      <c r="T164" s="65">
        <f>252566</f>
        <v>252566</v>
      </c>
      <c r="U164" s="65">
        <f>81</f>
        <v>81</v>
      </c>
      <c r="V164" s="65">
        <f>422152506</f>
        <v>422152506</v>
      </c>
      <c r="W164" s="65">
        <f>122715</f>
        <v>122715</v>
      </c>
      <c r="X164" s="69">
        <f>21</f>
        <v>21</v>
      </c>
    </row>
    <row r="165" spans="1:24">
      <c r="A165" s="60" t="s">
        <v>839</v>
      </c>
      <c r="B165" s="60" t="s">
        <v>538</v>
      </c>
      <c r="C165" s="60" t="s">
        <v>539</v>
      </c>
      <c r="D165" s="60" t="s">
        <v>540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</v>
      </c>
      <c r="K165" s="66">
        <f>8180</f>
        <v>8180</v>
      </c>
      <c r="L165" s="67" t="s">
        <v>840</v>
      </c>
      <c r="M165" s="66">
        <f>8500</f>
        <v>8500</v>
      </c>
      <c r="N165" s="67" t="s">
        <v>119</v>
      </c>
      <c r="O165" s="66">
        <f>7340</f>
        <v>7340</v>
      </c>
      <c r="P165" s="67" t="s">
        <v>833</v>
      </c>
      <c r="Q165" s="66">
        <f>8150</f>
        <v>8150</v>
      </c>
      <c r="R165" s="67" t="s">
        <v>50</v>
      </c>
      <c r="S165" s="68">
        <f>7923.81</f>
        <v>7923.81</v>
      </c>
      <c r="T165" s="65">
        <f>37025</f>
        <v>37025</v>
      </c>
      <c r="U165" s="65">
        <f>7903</f>
        <v>7903</v>
      </c>
      <c r="V165" s="65">
        <f>290717475</f>
        <v>290717475</v>
      </c>
      <c r="W165" s="65">
        <f>61245795</f>
        <v>61245795</v>
      </c>
      <c r="X165" s="69">
        <f>21</f>
        <v>21</v>
      </c>
    </row>
    <row r="166" spans="1:24">
      <c r="A166" s="60" t="s">
        <v>839</v>
      </c>
      <c r="B166" s="60" t="s">
        <v>541</v>
      </c>
      <c r="C166" s="60" t="s">
        <v>542</v>
      </c>
      <c r="D166" s="60" t="s">
        <v>543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100</v>
      </c>
      <c r="K166" s="66">
        <f>101</f>
        <v>101</v>
      </c>
      <c r="L166" s="67" t="s">
        <v>840</v>
      </c>
      <c r="M166" s="66">
        <f>113</f>
        <v>113</v>
      </c>
      <c r="N166" s="67" t="s">
        <v>86</v>
      </c>
      <c r="O166" s="66">
        <f>101</f>
        <v>101</v>
      </c>
      <c r="P166" s="67" t="s">
        <v>840</v>
      </c>
      <c r="Q166" s="66">
        <f>110</f>
        <v>110</v>
      </c>
      <c r="R166" s="67" t="s">
        <v>50</v>
      </c>
      <c r="S166" s="68">
        <f>106</f>
        <v>106</v>
      </c>
      <c r="T166" s="65">
        <f>37700</f>
        <v>37700</v>
      </c>
      <c r="U166" s="65" t="str">
        <f>"－"</f>
        <v>－</v>
      </c>
      <c r="V166" s="65">
        <f>4025000</f>
        <v>4025000</v>
      </c>
      <c r="W166" s="65" t="str">
        <f>"－"</f>
        <v>－</v>
      </c>
      <c r="X166" s="69">
        <f>20</f>
        <v>20</v>
      </c>
    </row>
    <row r="167" spans="1:24">
      <c r="A167" s="60" t="s">
        <v>839</v>
      </c>
      <c r="B167" s="60" t="s">
        <v>544</v>
      </c>
      <c r="C167" s="60" t="s">
        <v>545</v>
      </c>
      <c r="D167" s="60" t="s">
        <v>546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f>954</f>
        <v>954</v>
      </c>
      <c r="L167" s="67" t="s">
        <v>840</v>
      </c>
      <c r="M167" s="66">
        <f>1224</f>
        <v>1224</v>
      </c>
      <c r="N167" s="67" t="s">
        <v>48</v>
      </c>
      <c r="O167" s="66">
        <f>465</f>
        <v>465</v>
      </c>
      <c r="P167" s="67" t="s">
        <v>95</v>
      </c>
      <c r="Q167" s="66">
        <f>539</f>
        <v>539</v>
      </c>
      <c r="R167" s="67" t="s">
        <v>50</v>
      </c>
      <c r="S167" s="68">
        <f>926.95</f>
        <v>926.95</v>
      </c>
      <c r="T167" s="65">
        <f>232646785</f>
        <v>232646785</v>
      </c>
      <c r="U167" s="65">
        <f>795744</f>
        <v>795744</v>
      </c>
      <c r="V167" s="65">
        <f>191962806653</f>
        <v>191962806653</v>
      </c>
      <c r="W167" s="65">
        <f>807655768</f>
        <v>807655768</v>
      </c>
      <c r="X167" s="69">
        <f>21</f>
        <v>21</v>
      </c>
    </row>
    <row r="168" spans="1:24">
      <c r="A168" s="60" t="s">
        <v>839</v>
      </c>
      <c r="B168" s="60" t="s">
        <v>737</v>
      </c>
      <c r="C168" s="60" t="s">
        <v>738</v>
      </c>
      <c r="D168" s="60" t="s">
        <v>739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</v>
      </c>
      <c r="K168" s="66">
        <f>16690</f>
        <v>16690</v>
      </c>
      <c r="L168" s="67" t="s">
        <v>840</v>
      </c>
      <c r="M168" s="66">
        <f>17820</f>
        <v>17820</v>
      </c>
      <c r="N168" s="67" t="s">
        <v>91</v>
      </c>
      <c r="O168" s="66">
        <f>16050</f>
        <v>16050</v>
      </c>
      <c r="P168" s="67" t="s">
        <v>840</v>
      </c>
      <c r="Q168" s="66">
        <f>17600</f>
        <v>17600</v>
      </c>
      <c r="R168" s="67" t="s">
        <v>50</v>
      </c>
      <c r="S168" s="68">
        <f>17100</f>
        <v>17100</v>
      </c>
      <c r="T168" s="65">
        <f>3610</f>
        <v>3610</v>
      </c>
      <c r="U168" s="65" t="str">
        <f>"－"</f>
        <v>－</v>
      </c>
      <c r="V168" s="65">
        <f>62553690</f>
        <v>62553690</v>
      </c>
      <c r="W168" s="65" t="str">
        <f>"－"</f>
        <v>－</v>
      </c>
      <c r="X168" s="69">
        <f>21</f>
        <v>21</v>
      </c>
    </row>
    <row r="169" spans="1:24">
      <c r="A169" s="60" t="s">
        <v>839</v>
      </c>
      <c r="B169" s="60" t="s">
        <v>740</v>
      </c>
      <c r="C169" s="60" t="s">
        <v>741</v>
      </c>
      <c r="D169" s="60" t="s">
        <v>742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10</v>
      </c>
      <c r="K169" s="66">
        <f>1306</f>
        <v>1306</v>
      </c>
      <c r="L169" s="67" t="s">
        <v>833</v>
      </c>
      <c r="M169" s="66">
        <f>1600</f>
        <v>1600</v>
      </c>
      <c r="N169" s="67" t="s">
        <v>833</v>
      </c>
      <c r="O169" s="66">
        <f>1306</f>
        <v>1306</v>
      </c>
      <c r="P169" s="67" t="s">
        <v>833</v>
      </c>
      <c r="Q169" s="66">
        <f>1490</f>
        <v>1490</v>
      </c>
      <c r="R169" s="67" t="s">
        <v>50</v>
      </c>
      <c r="S169" s="68">
        <f>1488.42</f>
        <v>1488.42</v>
      </c>
      <c r="T169" s="65">
        <f>1310</f>
        <v>1310</v>
      </c>
      <c r="U169" s="65" t="str">
        <f>"－"</f>
        <v>－</v>
      </c>
      <c r="V169" s="65">
        <f>1961920</f>
        <v>1961920</v>
      </c>
      <c r="W169" s="65" t="str">
        <f>"－"</f>
        <v>－</v>
      </c>
      <c r="X169" s="69">
        <f>12</f>
        <v>12</v>
      </c>
    </row>
    <row r="170" spans="1:24">
      <c r="A170" s="60" t="s">
        <v>839</v>
      </c>
      <c r="B170" s="60" t="s">
        <v>743</v>
      </c>
      <c r="C170" s="60" t="s">
        <v>744</v>
      </c>
      <c r="D170" s="60" t="s">
        <v>745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</v>
      </c>
      <c r="K170" s="66">
        <f>7990</f>
        <v>7990</v>
      </c>
      <c r="L170" s="67" t="s">
        <v>840</v>
      </c>
      <c r="M170" s="66">
        <f>8890</f>
        <v>8890</v>
      </c>
      <c r="N170" s="67" t="s">
        <v>90</v>
      </c>
      <c r="O170" s="66">
        <f>7220</f>
        <v>7220</v>
      </c>
      <c r="P170" s="67" t="s">
        <v>840</v>
      </c>
      <c r="Q170" s="66">
        <f>7850</f>
        <v>7850</v>
      </c>
      <c r="R170" s="67" t="s">
        <v>50</v>
      </c>
      <c r="S170" s="68">
        <f>8141.43</f>
        <v>8141.43</v>
      </c>
      <c r="T170" s="65">
        <f>997</f>
        <v>997</v>
      </c>
      <c r="U170" s="65" t="str">
        <f>"－"</f>
        <v>－</v>
      </c>
      <c r="V170" s="65">
        <f>8375180</f>
        <v>8375180</v>
      </c>
      <c r="W170" s="65" t="str">
        <f>"－"</f>
        <v>－</v>
      </c>
      <c r="X170" s="69">
        <f>21</f>
        <v>21</v>
      </c>
    </row>
    <row r="171" spans="1:24">
      <c r="A171" s="60" t="s">
        <v>839</v>
      </c>
      <c r="B171" s="60" t="s">
        <v>746</v>
      </c>
      <c r="C171" s="60" t="s">
        <v>747</v>
      </c>
      <c r="D171" s="60" t="s">
        <v>748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</v>
      </c>
      <c r="K171" s="66">
        <f>25200</f>
        <v>25200</v>
      </c>
      <c r="L171" s="67" t="s">
        <v>840</v>
      </c>
      <c r="M171" s="66">
        <f>27500</f>
        <v>27500</v>
      </c>
      <c r="N171" s="67" t="s">
        <v>119</v>
      </c>
      <c r="O171" s="66">
        <f>21240</f>
        <v>21240</v>
      </c>
      <c r="P171" s="67" t="s">
        <v>48</v>
      </c>
      <c r="Q171" s="66">
        <f>22330</f>
        <v>22330</v>
      </c>
      <c r="R171" s="67" t="s">
        <v>50</v>
      </c>
      <c r="S171" s="68">
        <f>24163.33</f>
        <v>24163.33</v>
      </c>
      <c r="T171" s="65">
        <f>212</f>
        <v>212</v>
      </c>
      <c r="U171" s="65" t="str">
        <f>"－"</f>
        <v>－</v>
      </c>
      <c r="V171" s="65">
        <f>5038610</f>
        <v>5038610</v>
      </c>
      <c r="W171" s="65" t="str">
        <f>"－"</f>
        <v>－</v>
      </c>
      <c r="X171" s="69">
        <f>15</f>
        <v>15</v>
      </c>
    </row>
    <row r="172" spans="1:24">
      <c r="A172" s="60" t="s">
        <v>839</v>
      </c>
      <c r="B172" s="60" t="s">
        <v>749</v>
      </c>
      <c r="C172" s="60" t="s">
        <v>750</v>
      </c>
      <c r="D172" s="60" t="s">
        <v>751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</v>
      </c>
      <c r="K172" s="66">
        <f>11060</f>
        <v>11060</v>
      </c>
      <c r="L172" s="67" t="s">
        <v>814</v>
      </c>
      <c r="M172" s="66">
        <f>12350</f>
        <v>12350</v>
      </c>
      <c r="N172" s="67" t="s">
        <v>309</v>
      </c>
      <c r="O172" s="66">
        <f>11060</f>
        <v>11060</v>
      </c>
      <c r="P172" s="67" t="s">
        <v>814</v>
      </c>
      <c r="Q172" s="66">
        <f>12350</f>
        <v>12350</v>
      </c>
      <c r="R172" s="67" t="s">
        <v>309</v>
      </c>
      <c r="S172" s="68">
        <f>11752.5</f>
        <v>11752.5</v>
      </c>
      <c r="T172" s="65">
        <f>7</f>
        <v>7</v>
      </c>
      <c r="U172" s="65" t="str">
        <f>"－"</f>
        <v>－</v>
      </c>
      <c r="V172" s="65">
        <f>82960</f>
        <v>82960</v>
      </c>
      <c r="W172" s="65" t="str">
        <f>"－"</f>
        <v>－</v>
      </c>
      <c r="X172" s="69">
        <f>4</f>
        <v>4</v>
      </c>
    </row>
    <row r="173" spans="1:24">
      <c r="A173" s="60" t="s">
        <v>839</v>
      </c>
      <c r="B173" s="60" t="s">
        <v>547</v>
      </c>
      <c r="C173" s="60" t="s">
        <v>548</v>
      </c>
      <c r="D173" s="60" t="s">
        <v>549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</v>
      </c>
      <c r="K173" s="66">
        <f>50100</f>
        <v>50100</v>
      </c>
      <c r="L173" s="67" t="s">
        <v>840</v>
      </c>
      <c r="M173" s="66">
        <f>50500</f>
        <v>50500</v>
      </c>
      <c r="N173" s="67" t="s">
        <v>95</v>
      </c>
      <c r="O173" s="66">
        <f>49450</f>
        <v>49450</v>
      </c>
      <c r="P173" s="67" t="s">
        <v>833</v>
      </c>
      <c r="Q173" s="66">
        <f>49900</f>
        <v>49900</v>
      </c>
      <c r="R173" s="67" t="s">
        <v>50</v>
      </c>
      <c r="S173" s="68">
        <f>49964.29</f>
        <v>49964.29</v>
      </c>
      <c r="T173" s="65">
        <f>3830</f>
        <v>3830</v>
      </c>
      <c r="U173" s="65">
        <f>1000</f>
        <v>1000</v>
      </c>
      <c r="V173" s="65">
        <f>191382900</f>
        <v>191382900</v>
      </c>
      <c r="W173" s="65">
        <f>50097900</f>
        <v>50097900</v>
      </c>
      <c r="X173" s="69">
        <f>21</f>
        <v>21</v>
      </c>
    </row>
    <row r="174" spans="1:24">
      <c r="A174" s="60" t="s">
        <v>839</v>
      </c>
      <c r="B174" s="60" t="s">
        <v>550</v>
      </c>
      <c r="C174" s="60" t="s">
        <v>551</v>
      </c>
      <c r="D174" s="60" t="s">
        <v>552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100</v>
      </c>
      <c r="K174" s="66">
        <f>118</f>
        <v>118</v>
      </c>
      <c r="L174" s="67" t="s">
        <v>840</v>
      </c>
      <c r="M174" s="66">
        <f>125</f>
        <v>125</v>
      </c>
      <c r="N174" s="67" t="s">
        <v>50</v>
      </c>
      <c r="O174" s="66">
        <f>104</f>
        <v>104</v>
      </c>
      <c r="P174" s="67" t="s">
        <v>48</v>
      </c>
      <c r="Q174" s="66">
        <f>125</f>
        <v>125</v>
      </c>
      <c r="R174" s="67" t="s">
        <v>50</v>
      </c>
      <c r="S174" s="68">
        <f>115.81</f>
        <v>115.81</v>
      </c>
      <c r="T174" s="65">
        <f>5565400</f>
        <v>5565400</v>
      </c>
      <c r="U174" s="65">
        <f>14500</f>
        <v>14500</v>
      </c>
      <c r="V174" s="65">
        <f>643223400</f>
        <v>643223400</v>
      </c>
      <c r="W174" s="65">
        <f>1599000</f>
        <v>1599000</v>
      </c>
      <c r="X174" s="69">
        <f>21</f>
        <v>21</v>
      </c>
    </row>
    <row r="175" spans="1:24">
      <c r="A175" s="60" t="s">
        <v>839</v>
      </c>
      <c r="B175" s="60" t="s">
        <v>553</v>
      </c>
      <c r="C175" s="60" t="s">
        <v>554</v>
      </c>
      <c r="D175" s="60" t="s">
        <v>555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20910</f>
        <v>20910</v>
      </c>
      <c r="L175" s="67" t="s">
        <v>840</v>
      </c>
      <c r="M175" s="66">
        <f>23750</f>
        <v>23750</v>
      </c>
      <c r="N175" s="67" t="s">
        <v>50</v>
      </c>
      <c r="O175" s="66">
        <f>20180</f>
        <v>20180</v>
      </c>
      <c r="P175" s="67" t="s">
        <v>833</v>
      </c>
      <c r="Q175" s="66">
        <f>23710</f>
        <v>23710</v>
      </c>
      <c r="R175" s="67" t="s">
        <v>50</v>
      </c>
      <c r="S175" s="68">
        <f>22418.1</f>
        <v>22418.1</v>
      </c>
      <c r="T175" s="65">
        <f>19000</f>
        <v>19000</v>
      </c>
      <c r="U175" s="65" t="str">
        <f>"－"</f>
        <v>－</v>
      </c>
      <c r="V175" s="65">
        <f>426617100</f>
        <v>426617100</v>
      </c>
      <c r="W175" s="65" t="str">
        <f>"－"</f>
        <v>－</v>
      </c>
      <c r="X175" s="69">
        <f>21</f>
        <v>21</v>
      </c>
    </row>
    <row r="176" spans="1:24">
      <c r="A176" s="60" t="s">
        <v>839</v>
      </c>
      <c r="B176" s="60" t="s">
        <v>556</v>
      </c>
      <c r="C176" s="60" t="s">
        <v>557</v>
      </c>
      <c r="D176" s="60" t="s">
        <v>558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2042</f>
        <v>2042</v>
      </c>
      <c r="L176" s="67" t="s">
        <v>840</v>
      </c>
      <c r="M176" s="66">
        <f>2320</f>
        <v>2320</v>
      </c>
      <c r="N176" s="67" t="s">
        <v>50</v>
      </c>
      <c r="O176" s="66">
        <f>1974</f>
        <v>1974</v>
      </c>
      <c r="P176" s="67" t="s">
        <v>833</v>
      </c>
      <c r="Q176" s="66">
        <f>2320</f>
        <v>2320</v>
      </c>
      <c r="R176" s="67" t="s">
        <v>50</v>
      </c>
      <c r="S176" s="68">
        <f>2172.71</f>
        <v>2172.71</v>
      </c>
      <c r="T176" s="65">
        <f>159080</f>
        <v>159080</v>
      </c>
      <c r="U176" s="65" t="str">
        <f>"－"</f>
        <v>－</v>
      </c>
      <c r="V176" s="65">
        <f>345686460</f>
        <v>345686460</v>
      </c>
      <c r="W176" s="65" t="str">
        <f>"－"</f>
        <v>－</v>
      </c>
      <c r="X176" s="69">
        <f>21</f>
        <v>21</v>
      </c>
    </row>
    <row r="177" spans="1:24">
      <c r="A177" s="60" t="s">
        <v>839</v>
      </c>
      <c r="B177" s="60" t="s">
        <v>559</v>
      </c>
      <c r="C177" s="60" t="s">
        <v>560</v>
      </c>
      <c r="D177" s="60" t="s">
        <v>561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</v>
      </c>
      <c r="K177" s="66">
        <f>1138</f>
        <v>1138</v>
      </c>
      <c r="L177" s="67" t="s">
        <v>840</v>
      </c>
      <c r="M177" s="66">
        <f>1229</f>
        <v>1229</v>
      </c>
      <c r="N177" s="67" t="s">
        <v>50</v>
      </c>
      <c r="O177" s="66">
        <f>1072</f>
        <v>1072</v>
      </c>
      <c r="P177" s="67" t="s">
        <v>833</v>
      </c>
      <c r="Q177" s="66">
        <f>1228</f>
        <v>1228</v>
      </c>
      <c r="R177" s="67" t="s">
        <v>50</v>
      </c>
      <c r="S177" s="68">
        <f>1183.38</f>
        <v>1183.3800000000001</v>
      </c>
      <c r="T177" s="65">
        <f>178490</f>
        <v>178490</v>
      </c>
      <c r="U177" s="65">
        <f>590</f>
        <v>590</v>
      </c>
      <c r="V177" s="65">
        <f>210564670</f>
        <v>210564670</v>
      </c>
      <c r="W177" s="65">
        <f>643100</f>
        <v>643100</v>
      </c>
      <c r="X177" s="69">
        <f>21</f>
        <v>21</v>
      </c>
    </row>
    <row r="178" spans="1:24">
      <c r="A178" s="60" t="s">
        <v>839</v>
      </c>
      <c r="B178" s="60" t="s">
        <v>562</v>
      </c>
      <c r="C178" s="60" t="s">
        <v>563</v>
      </c>
      <c r="D178" s="60" t="s">
        <v>564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100</v>
      </c>
      <c r="K178" s="66">
        <f>131</f>
        <v>131</v>
      </c>
      <c r="L178" s="67" t="s">
        <v>840</v>
      </c>
      <c r="M178" s="66">
        <f>149</f>
        <v>149</v>
      </c>
      <c r="N178" s="67" t="s">
        <v>820</v>
      </c>
      <c r="O178" s="66">
        <f>131</f>
        <v>131</v>
      </c>
      <c r="P178" s="67" t="s">
        <v>840</v>
      </c>
      <c r="Q178" s="66">
        <f>142</f>
        <v>142</v>
      </c>
      <c r="R178" s="67" t="s">
        <v>50</v>
      </c>
      <c r="S178" s="68">
        <f>138.67</f>
        <v>138.66999999999999</v>
      </c>
      <c r="T178" s="65">
        <f>494900</f>
        <v>494900</v>
      </c>
      <c r="U178" s="65" t="str">
        <f t="shared" ref="U178:U185" si="10">"－"</f>
        <v>－</v>
      </c>
      <c r="V178" s="65">
        <f>68955400</f>
        <v>68955400</v>
      </c>
      <c r="W178" s="65" t="str">
        <f t="shared" ref="W178:W185" si="11">"－"</f>
        <v>－</v>
      </c>
      <c r="X178" s="69">
        <f>21</f>
        <v>21</v>
      </c>
    </row>
    <row r="179" spans="1:24">
      <c r="A179" s="60" t="s">
        <v>839</v>
      </c>
      <c r="B179" s="60" t="s">
        <v>565</v>
      </c>
      <c r="C179" s="60" t="s">
        <v>566</v>
      </c>
      <c r="D179" s="60" t="s">
        <v>567</v>
      </c>
      <c r="E179" s="61" t="s">
        <v>46</v>
      </c>
      <c r="F179" s="62" t="s">
        <v>46</v>
      </c>
      <c r="G179" s="63" t="s">
        <v>46</v>
      </c>
      <c r="H179" s="64" t="s">
        <v>823</v>
      </c>
      <c r="I179" s="64" t="s">
        <v>47</v>
      </c>
      <c r="J179" s="65">
        <v>10</v>
      </c>
      <c r="K179" s="66">
        <f>4230</f>
        <v>4230</v>
      </c>
      <c r="L179" s="67" t="s">
        <v>840</v>
      </c>
      <c r="M179" s="66">
        <f>5150</f>
        <v>5150</v>
      </c>
      <c r="N179" s="67" t="s">
        <v>91</v>
      </c>
      <c r="O179" s="66">
        <f>4230</f>
        <v>4230</v>
      </c>
      <c r="P179" s="67" t="s">
        <v>840</v>
      </c>
      <c r="Q179" s="66">
        <f>5090</f>
        <v>5090</v>
      </c>
      <c r="R179" s="67" t="s">
        <v>50</v>
      </c>
      <c r="S179" s="68">
        <f>4653.25</f>
        <v>4653.25</v>
      </c>
      <c r="T179" s="65">
        <f>6460</f>
        <v>6460</v>
      </c>
      <c r="U179" s="65" t="str">
        <f t="shared" si="10"/>
        <v>－</v>
      </c>
      <c r="V179" s="65">
        <f>30819900</f>
        <v>30819900</v>
      </c>
      <c r="W179" s="65" t="str">
        <f t="shared" si="11"/>
        <v>－</v>
      </c>
      <c r="X179" s="69">
        <f>20</f>
        <v>20</v>
      </c>
    </row>
    <row r="180" spans="1:24">
      <c r="A180" s="60" t="s">
        <v>839</v>
      </c>
      <c r="B180" s="60" t="s">
        <v>752</v>
      </c>
      <c r="C180" s="60" t="s">
        <v>753</v>
      </c>
      <c r="D180" s="60" t="s">
        <v>754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>
        <f>592</f>
        <v>592</v>
      </c>
      <c r="L180" s="67" t="s">
        <v>833</v>
      </c>
      <c r="M180" s="66">
        <f>864</f>
        <v>864</v>
      </c>
      <c r="N180" s="67" t="s">
        <v>90</v>
      </c>
      <c r="O180" s="66">
        <f>592</f>
        <v>592</v>
      </c>
      <c r="P180" s="67" t="s">
        <v>833</v>
      </c>
      <c r="Q180" s="66">
        <f>649</f>
        <v>649</v>
      </c>
      <c r="R180" s="67" t="s">
        <v>309</v>
      </c>
      <c r="S180" s="68">
        <f>681.8</f>
        <v>681.8</v>
      </c>
      <c r="T180" s="65">
        <f>550</f>
        <v>550</v>
      </c>
      <c r="U180" s="65" t="str">
        <f t="shared" si="10"/>
        <v>－</v>
      </c>
      <c r="V180" s="65">
        <f>384430</f>
        <v>384430</v>
      </c>
      <c r="W180" s="65" t="str">
        <f t="shared" si="11"/>
        <v>－</v>
      </c>
      <c r="X180" s="69">
        <f>5</f>
        <v>5</v>
      </c>
    </row>
    <row r="181" spans="1:24">
      <c r="A181" s="60" t="s">
        <v>839</v>
      </c>
      <c r="B181" s="60" t="s">
        <v>755</v>
      </c>
      <c r="C181" s="60" t="s">
        <v>756</v>
      </c>
      <c r="D181" s="60" t="s">
        <v>757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244</f>
        <v>244</v>
      </c>
      <c r="L181" s="67" t="s">
        <v>840</v>
      </c>
      <c r="M181" s="66">
        <f>301</f>
        <v>301</v>
      </c>
      <c r="N181" s="67" t="s">
        <v>820</v>
      </c>
      <c r="O181" s="66">
        <f>188</f>
        <v>188</v>
      </c>
      <c r="P181" s="67" t="s">
        <v>814</v>
      </c>
      <c r="Q181" s="66">
        <f>216</f>
        <v>216</v>
      </c>
      <c r="R181" s="67" t="s">
        <v>50</v>
      </c>
      <c r="S181" s="68">
        <f>239.95</f>
        <v>239.95</v>
      </c>
      <c r="T181" s="65">
        <f>45730</f>
        <v>45730</v>
      </c>
      <c r="U181" s="65" t="str">
        <f t="shared" si="10"/>
        <v>－</v>
      </c>
      <c r="V181" s="65">
        <f>11232630</f>
        <v>11232630</v>
      </c>
      <c r="W181" s="65" t="str">
        <f t="shared" si="11"/>
        <v>－</v>
      </c>
      <c r="X181" s="69">
        <f>21</f>
        <v>21</v>
      </c>
    </row>
    <row r="182" spans="1:24">
      <c r="A182" s="60" t="s">
        <v>839</v>
      </c>
      <c r="B182" s="60" t="s">
        <v>758</v>
      </c>
      <c r="C182" s="60" t="s">
        <v>759</v>
      </c>
      <c r="D182" s="60" t="s">
        <v>760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</v>
      </c>
      <c r="K182" s="66">
        <f>1132</f>
        <v>1132</v>
      </c>
      <c r="L182" s="67" t="s">
        <v>48</v>
      </c>
      <c r="M182" s="66">
        <f>1132</f>
        <v>1132</v>
      </c>
      <c r="N182" s="67" t="s">
        <v>48</v>
      </c>
      <c r="O182" s="66">
        <f>935</f>
        <v>935</v>
      </c>
      <c r="P182" s="67" t="s">
        <v>50</v>
      </c>
      <c r="Q182" s="66">
        <f>995</f>
        <v>995</v>
      </c>
      <c r="R182" s="67" t="s">
        <v>50</v>
      </c>
      <c r="S182" s="68">
        <f>1028.8</f>
        <v>1028.8</v>
      </c>
      <c r="T182" s="65">
        <f>470</f>
        <v>470</v>
      </c>
      <c r="U182" s="65" t="str">
        <f t="shared" si="10"/>
        <v>－</v>
      </c>
      <c r="V182" s="65">
        <f>486520</f>
        <v>486520</v>
      </c>
      <c r="W182" s="65" t="str">
        <f t="shared" si="11"/>
        <v>－</v>
      </c>
      <c r="X182" s="69">
        <f>5</f>
        <v>5</v>
      </c>
    </row>
    <row r="183" spans="1:24">
      <c r="A183" s="60" t="s">
        <v>839</v>
      </c>
      <c r="B183" s="60" t="s">
        <v>761</v>
      </c>
      <c r="C183" s="60" t="s">
        <v>762</v>
      </c>
      <c r="D183" s="60" t="s">
        <v>763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</v>
      </c>
      <c r="K183" s="66">
        <f>441</f>
        <v>441</v>
      </c>
      <c r="L183" s="67" t="s">
        <v>840</v>
      </c>
      <c r="M183" s="66">
        <f>500</f>
        <v>500</v>
      </c>
      <c r="N183" s="67" t="s">
        <v>61</v>
      </c>
      <c r="O183" s="66">
        <f>382</f>
        <v>382</v>
      </c>
      <c r="P183" s="67" t="s">
        <v>833</v>
      </c>
      <c r="Q183" s="66">
        <f>412</f>
        <v>412</v>
      </c>
      <c r="R183" s="67" t="s">
        <v>50</v>
      </c>
      <c r="S183" s="68">
        <f>425.38</f>
        <v>425.38</v>
      </c>
      <c r="T183" s="65">
        <f>57930</f>
        <v>57930</v>
      </c>
      <c r="U183" s="65" t="str">
        <f t="shared" si="10"/>
        <v>－</v>
      </c>
      <c r="V183" s="65">
        <f>25260870</f>
        <v>25260870</v>
      </c>
      <c r="W183" s="65" t="str">
        <f t="shared" si="11"/>
        <v>－</v>
      </c>
      <c r="X183" s="69">
        <f>21</f>
        <v>21</v>
      </c>
    </row>
    <row r="184" spans="1:24">
      <c r="A184" s="60" t="s">
        <v>839</v>
      </c>
      <c r="B184" s="60" t="s">
        <v>764</v>
      </c>
      <c r="C184" s="60" t="s">
        <v>765</v>
      </c>
      <c r="D184" s="60" t="s">
        <v>766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</v>
      </c>
      <c r="K184" s="66">
        <f>323</f>
        <v>323</v>
      </c>
      <c r="L184" s="67" t="s">
        <v>840</v>
      </c>
      <c r="M184" s="66">
        <f>404</f>
        <v>404</v>
      </c>
      <c r="N184" s="67" t="s">
        <v>48</v>
      </c>
      <c r="O184" s="66">
        <f>280</f>
        <v>280</v>
      </c>
      <c r="P184" s="67" t="s">
        <v>95</v>
      </c>
      <c r="Q184" s="66">
        <f>282</f>
        <v>282</v>
      </c>
      <c r="R184" s="67" t="s">
        <v>50</v>
      </c>
      <c r="S184" s="68">
        <f>336.19</f>
        <v>336.19</v>
      </c>
      <c r="T184" s="65">
        <f>593320</f>
        <v>593320</v>
      </c>
      <c r="U184" s="65" t="str">
        <f t="shared" si="10"/>
        <v>－</v>
      </c>
      <c r="V184" s="65">
        <f>203123960</f>
        <v>203123960</v>
      </c>
      <c r="W184" s="65" t="str">
        <f t="shared" si="11"/>
        <v>－</v>
      </c>
      <c r="X184" s="69">
        <f>21</f>
        <v>21</v>
      </c>
    </row>
    <row r="185" spans="1:24">
      <c r="A185" s="60" t="s">
        <v>839</v>
      </c>
      <c r="B185" s="60" t="s">
        <v>767</v>
      </c>
      <c r="C185" s="60" t="s">
        <v>768</v>
      </c>
      <c r="D185" s="60" t="s">
        <v>769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100</v>
      </c>
      <c r="K185" s="66">
        <f>2</f>
        <v>2</v>
      </c>
      <c r="L185" s="67" t="s">
        <v>840</v>
      </c>
      <c r="M185" s="66">
        <f>2</f>
        <v>2</v>
      </c>
      <c r="N185" s="67" t="s">
        <v>840</v>
      </c>
      <c r="O185" s="66">
        <f>1</f>
        <v>1</v>
      </c>
      <c r="P185" s="67" t="s">
        <v>840</v>
      </c>
      <c r="Q185" s="66">
        <f>2</f>
        <v>2</v>
      </c>
      <c r="R185" s="67" t="s">
        <v>50</v>
      </c>
      <c r="S185" s="68">
        <f>1.9</f>
        <v>1.9</v>
      </c>
      <c r="T185" s="65">
        <f>217202900</f>
        <v>217202900</v>
      </c>
      <c r="U185" s="65" t="str">
        <f t="shared" si="10"/>
        <v>－</v>
      </c>
      <c r="V185" s="65">
        <f>403999900</f>
        <v>403999900</v>
      </c>
      <c r="W185" s="65" t="str">
        <f t="shared" si="11"/>
        <v>－</v>
      </c>
      <c r="X185" s="69">
        <f>21</f>
        <v>21</v>
      </c>
    </row>
    <row r="186" spans="1:24">
      <c r="A186" s="60" t="s">
        <v>839</v>
      </c>
      <c r="B186" s="60" t="s">
        <v>770</v>
      </c>
      <c r="C186" s="60" t="s">
        <v>771</v>
      </c>
      <c r="D186" s="60" t="s">
        <v>772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10</v>
      </c>
      <c r="K186" s="66">
        <f>401</f>
        <v>401</v>
      </c>
      <c r="L186" s="67" t="s">
        <v>840</v>
      </c>
      <c r="M186" s="66">
        <f>479</f>
        <v>479</v>
      </c>
      <c r="N186" s="67" t="s">
        <v>100</v>
      </c>
      <c r="O186" s="66">
        <f>202</f>
        <v>202</v>
      </c>
      <c r="P186" s="67" t="s">
        <v>95</v>
      </c>
      <c r="Q186" s="66">
        <f>237</f>
        <v>237</v>
      </c>
      <c r="R186" s="67" t="s">
        <v>50</v>
      </c>
      <c r="S186" s="68">
        <f>355.24</f>
        <v>355.24</v>
      </c>
      <c r="T186" s="65">
        <f>9406050</f>
        <v>9406050</v>
      </c>
      <c r="U186" s="65">
        <f>3940</f>
        <v>3940</v>
      </c>
      <c r="V186" s="65">
        <f>2929775730</f>
        <v>2929775730</v>
      </c>
      <c r="W186" s="65">
        <f>955450</f>
        <v>955450</v>
      </c>
      <c r="X186" s="69">
        <f>21</f>
        <v>21</v>
      </c>
    </row>
    <row r="187" spans="1:24">
      <c r="A187" s="60" t="s">
        <v>839</v>
      </c>
      <c r="B187" s="60" t="s">
        <v>773</v>
      </c>
      <c r="C187" s="60" t="s">
        <v>774</v>
      </c>
      <c r="D187" s="60" t="s">
        <v>775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</v>
      </c>
      <c r="K187" s="66">
        <f>1325</f>
        <v>1325</v>
      </c>
      <c r="L187" s="67" t="s">
        <v>833</v>
      </c>
      <c r="M187" s="66">
        <f>1725</f>
        <v>1725</v>
      </c>
      <c r="N187" s="67" t="s">
        <v>90</v>
      </c>
      <c r="O187" s="66">
        <f>888</f>
        <v>888</v>
      </c>
      <c r="P187" s="67" t="s">
        <v>814</v>
      </c>
      <c r="Q187" s="66">
        <f>1126</f>
        <v>1126</v>
      </c>
      <c r="R187" s="67" t="s">
        <v>95</v>
      </c>
      <c r="S187" s="68">
        <f>1346.42</f>
        <v>1346.42</v>
      </c>
      <c r="T187" s="65">
        <f>7622</f>
        <v>7622</v>
      </c>
      <c r="U187" s="65" t="str">
        <f t="shared" ref="U187:U194" si="12">"－"</f>
        <v>－</v>
      </c>
      <c r="V187" s="65">
        <f>11155877</f>
        <v>11155877</v>
      </c>
      <c r="W187" s="65" t="str">
        <f t="shared" ref="W187:W194" si="13">"－"</f>
        <v>－</v>
      </c>
      <c r="X187" s="69">
        <f>19</f>
        <v>19</v>
      </c>
    </row>
    <row r="188" spans="1:24">
      <c r="A188" s="60" t="s">
        <v>839</v>
      </c>
      <c r="B188" s="60" t="s">
        <v>776</v>
      </c>
      <c r="C188" s="60" t="s">
        <v>777</v>
      </c>
      <c r="D188" s="60" t="s">
        <v>778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100</v>
      </c>
      <c r="K188" s="66">
        <f>260</f>
        <v>260</v>
      </c>
      <c r="L188" s="67" t="s">
        <v>840</v>
      </c>
      <c r="M188" s="66">
        <f>316</f>
        <v>316</v>
      </c>
      <c r="N188" s="67" t="s">
        <v>90</v>
      </c>
      <c r="O188" s="66">
        <f>239</f>
        <v>239</v>
      </c>
      <c r="P188" s="67" t="s">
        <v>99</v>
      </c>
      <c r="Q188" s="66">
        <f>250</f>
        <v>250</v>
      </c>
      <c r="R188" s="67" t="s">
        <v>91</v>
      </c>
      <c r="S188" s="68">
        <f>266.44</f>
        <v>266.44</v>
      </c>
      <c r="T188" s="65">
        <f>2100</f>
        <v>2100</v>
      </c>
      <c r="U188" s="65" t="str">
        <f t="shared" si="12"/>
        <v>－</v>
      </c>
      <c r="V188" s="65">
        <f>546300</f>
        <v>546300</v>
      </c>
      <c r="W188" s="65" t="str">
        <f t="shared" si="13"/>
        <v>－</v>
      </c>
      <c r="X188" s="69">
        <f>9</f>
        <v>9</v>
      </c>
    </row>
    <row r="189" spans="1:24">
      <c r="A189" s="60" t="s">
        <v>839</v>
      </c>
      <c r="B189" s="60" t="s">
        <v>779</v>
      </c>
      <c r="C189" s="60" t="s">
        <v>780</v>
      </c>
      <c r="D189" s="60" t="s">
        <v>781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</v>
      </c>
      <c r="K189" s="66">
        <f>2500</f>
        <v>2500</v>
      </c>
      <c r="L189" s="67" t="s">
        <v>48</v>
      </c>
      <c r="M189" s="66">
        <f>3055</f>
        <v>3055</v>
      </c>
      <c r="N189" s="67" t="s">
        <v>99</v>
      </c>
      <c r="O189" s="66">
        <f>2500</f>
        <v>2500</v>
      </c>
      <c r="P189" s="67" t="s">
        <v>48</v>
      </c>
      <c r="Q189" s="66">
        <f>2650</f>
        <v>2650</v>
      </c>
      <c r="R189" s="67" t="s">
        <v>50</v>
      </c>
      <c r="S189" s="68">
        <f>2668.31</f>
        <v>2668.31</v>
      </c>
      <c r="T189" s="65">
        <f>2270</f>
        <v>2270</v>
      </c>
      <c r="U189" s="65" t="str">
        <f t="shared" si="12"/>
        <v>－</v>
      </c>
      <c r="V189" s="65">
        <f>6154710</f>
        <v>6154710</v>
      </c>
      <c r="W189" s="65" t="str">
        <f t="shared" si="13"/>
        <v>－</v>
      </c>
      <c r="X189" s="69">
        <f>16</f>
        <v>16</v>
      </c>
    </row>
    <row r="190" spans="1:24">
      <c r="A190" s="60" t="s">
        <v>839</v>
      </c>
      <c r="B190" s="60" t="s">
        <v>782</v>
      </c>
      <c r="C190" s="60" t="s">
        <v>783</v>
      </c>
      <c r="D190" s="60" t="s">
        <v>784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</v>
      </c>
      <c r="K190" s="66">
        <f>1200</f>
        <v>1200</v>
      </c>
      <c r="L190" s="67" t="s">
        <v>100</v>
      </c>
      <c r="M190" s="66">
        <f>1550</f>
        <v>1550</v>
      </c>
      <c r="N190" s="67" t="s">
        <v>50</v>
      </c>
      <c r="O190" s="66">
        <f>1121</f>
        <v>1121</v>
      </c>
      <c r="P190" s="67" t="s">
        <v>79</v>
      </c>
      <c r="Q190" s="66">
        <f>1550</f>
        <v>1550</v>
      </c>
      <c r="R190" s="67" t="s">
        <v>50</v>
      </c>
      <c r="S190" s="68">
        <f>1243.33</f>
        <v>1243.33</v>
      </c>
      <c r="T190" s="65">
        <f>430</f>
        <v>430</v>
      </c>
      <c r="U190" s="65" t="str">
        <f t="shared" si="12"/>
        <v>－</v>
      </c>
      <c r="V190" s="65">
        <f>542630</f>
        <v>542630</v>
      </c>
      <c r="W190" s="65" t="str">
        <f t="shared" si="13"/>
        <v>－</v>
      </c>
      <c r="X190" s="69">
        <f>9</f>
        <v>9</v>
      </c>
    </row>
    <row r="191" spans="1:24">
      <c r="A191" s="60" t="s">
        <v>839</v>
      </c>
      <c r="B191" s="60" t="s">
        <v>785</v>
      </c>
      <c r="C191" s="60" t="s">
        <v>786</v>
      </c>
      <c r="D191" s="60" t="s">
        <v>787</v>
      </c>
      <c r="E191" s="61" t="s">
        <v>46</v>
      </c>
      <c r="F191" s="62" t="s">
        <v>46</v>
      </c>
      <c r="G191" s="63" t="s">
        <v>46</v>
      </c>
      <c r="H191" s="64"/>
      <c r="I191" s="64" t="s">
        <v>47</v>
      </c>
      <c r="J191" s="65">
        <v>100</v>
      </c>
      <c r="K191" s="66">
        <f>71</f>
        <v>71</v>
      </c>
      <c r="L191" s="67" t="s">
        <v>840</v>
      </c>
      <c r="M191" s="66">
        <f>103</f>
        <v>103</v>
      </c>
      <c r="N191" s="67" t="s">
        <v>820</v>
      </c>
      <c r="O191" s="66">
        <f>65</f>
        <v>65</v>
      </c>
      <c r="P191" s="67" t="s">
        <v>50</v>
      </c>
      <c r="Q191" s="66">
        <f>66</f>
        <v>66</v>
      </c>
      <c r="R191" s="67" t="s">
        <v>50</v>
      </c>
      <c r="S191" s="68">
        <f>75.19</f>
        <v>75.19</v>
      </c>
      <c r="T191" s="65">
        <f>19792300</f>
        <v>19792300</v>
      </c>
      <c r="U191" s="65" t="str">
        <f t="shared" si="12"/>
        <v>－</v>
      </c>
      <c r="V191" s="65">
        <f>1540145200</f>
        <v>1540145200</v>
      </c>
      <c r="W191" s="65" t="str">
        <f t="shared" si="13"/>
        <v>－</v>
      </c>
      <c r="X191" s="69">
        <f>21</f>
        <v>21</v>
      </c>
    </row>
    <row r="192" spans="1:24">
      <c r="A192" s="60" t="s">
        <v>839</v>
      </c>
      <c r="B192" s="60" t="s">
        <v>788</v>
      </c>
      <c r="C192" s="60" t="s">
        <v>789</v>
      </c>
      <c r="D192" s="60" t="s">
        <v>790</v>
      </c>
      <c r="E192" s="61" t="s">
        <v>46</v>
      </c>
      <c r="F192" s="62" t="s">
        <v>46</v>
      </c>
      <c r="G192" s="63" t="s">
        <v>46</v>
      </c>
      <c r="H192" s="64"/>
      <c r="I192" s="64" t="s">
        <v>47</v>
      </c>
      <c r="J192" s="65">
        <v>100</v>
      </c>
      <c r="K192" s="66">
        <f>73</f>
        <v>73</v>
      </c>
      <c r="L192" s="67" t="s">
        <v>840</v>
      </c>
      <c r="M192" s="66">
        <f>101</f>
        <v>101</v>
      </c>
      <c r="N192" s="67" t="s">
        <v>48</v>
      </c>
      <c r="O192" s="66">
        <f>63</f>
        <v>63</v>
      </c>
      <c r="P192" s="67" t="s">
        <v>309</v>
      </c>
      <c r="Q192" s="66">
        <f>64</f>
        <v>64</v>
      </c>
      <c r="R192" s="67" t="s">
        <v>50</v>
      </c>
      <c r="S192" s="68">
        <f>71.24</f>
        <v>71.239999999999995</v>
      </c>
      <c r="T192" s="65">
        <f>7671700</f>
        <v>7671700</v>
      </c>
      <c r="U192" s="65" t="str">
        <f t="shared" si="12"/>
        <v>－</v>
      </c>
      <c r="V192" s="65">
        <f>576022700</f>
        <v>576022700</v>
      </c>
      <c r="W192" s="65" t="str">
        <f t="shared" si="13"/>
        <v>－</v>
      </c>
      <c r="X192" s="69">
        <f>21</f>
        <v>21</v>
      </c>
    </row>
    <row r="193" spans="1:24">
      <c r="A193" s="60" t="s">
        <v>839</v>
      </c>
      <c r="B193" s="60" t="s">
        <v>791</v>
      </c>
      <c r="C193" s="60" t="s">
        <v>792</v>
      </c>
      <c r="D193" s="60" t="s">
        <v>793</v>
      </c>
      <c r="E193" s="61" t="s">
        <v>46</v>
      </c>
      <c r="F193" s="62" t="s">
        <v>46</v>
      </c>
      <c r="G193" s="63" t="s">
        <v>46</v>
      </c>
      <c r="H193" s="64"/>
      <c r="I193" s="64" t="s">
        <v>47</v>
      </c>
      <c r="J193" s="65">
        <v>10</v>
      </c>
      <c r="K193" s="66">
        <f>1860</f>
        <v>1860</v>
      </c>
      <c r="L193" s="67" t="s">
        <v>840</v>
      </c>
      <c r="M193" s="66">
        <f>2200</f>
        <v>2200</v>
      </c>
      <c r="N193" s="67" t="s">
        <v>90</v>
      </c>
      <c r="O193" s="66">
        <f>1860</f>
        <v>1860</v>
      </c>
      <c r="P193" s="67" t="s">
        <v>840</v>
      </c>
      <c r="Q193" s="66">
        <f>1950</f>
        <v>1950</v>
      </c>
      <c r="R193" s="67" t="s">
        <v>50</v>
      </c>
      <c r="S193" s="68">
        <f>2003.55</f>
        <v>2003.55</v>
      </c>
      <c r="T193" s="65">
        <f>9380</f>
        <v>9380</v>
      </c>
      <c r="U193" s="65" t="str">
        <f t="shared" si="12"/>
        <v>－</v>
      </c>
      <c r="V193" s="65">
        <f>19057960</f>
        <v>19057960</v>
      </c>
      <c r="W193" s="65" t="str">
        <f t="shared" si="13"/>
        <v>－</v>
      </c>
      <c r="X193" s="69">
        <f>20</f>
        <v>20</v>
      </c>
    </row>
    <row r="194" spans="1:24">
      <c r="A194" s="60" t="s">
        <v>839</v>
      </c>
      <c r="B194" s="60" t="s">
        <v>568</v>
      </c>
      <c r="C194" s="60" t="s">
        <v>569</v>
      </c>
      <c r="D194" s="60" t="s">
        <v>570</v>
      </c>
      <c r="E194" s="61" t="s">
        <v>46</v>
      </c>
      <c r="F194" s="62" t="s">
        <v>46</v>
      </c>
      <c r="G194" s="63" t="s">
        <v>46</v>
      </c>
      <c r="H194" s="64"/>
      <c r="I194" s="64" t="s">
        <v>47</v>
      </c>
      <c r="J194" s="65">
        <v>10</v>
      </c>
      <c r="K194" s="66">
        <f>1413</f>
        <v>1413</v>
      </c>
      <c r="L194" s="67" t="s">
        <v>840</v>
      </c>
      <c r="M194" s="66">
        <f>1442</f>
        <v>1442</v>
      </c>
      <c r="N194" s="67" t="s">
        <v>840</v>
      </c>
      <c r="O194" s="66">
        <f>1312</f>
        <v>1312</v>
      </c>
      <c r="P194" s="67" t="s">
        <v>814</v>
      </c>
      <c r="Q194" s="66">
        <f>1395</f>
        <v>1395</v>
      </c>
      <c r="R194" s="67" t="s">
        <v>50</v>
      </c>
      <c r="S194" s="68">
        <f>1374.43</f>
        <v>1374.43</v>
      </c>
      <c r="T194" s="65">
        <f>66680</f>
        <v>66680</v>
      </c>
      <c r="U194" s="65" t="str">
        <f t="shared" si="12"/>
        <v>－</v>
      </c>
      <c r="V194" s="65">
        <f>91414080</f>
        <v>91414080</v>
      </c>
      <c r="W194" s="65" t="str">
        <f t="shared" si="13"/>
        <v>－</v>
      </c>
      <c r="X194" s="69">
        <f>21</f>
        <v>21</v>
      </c>
    </row>
    <row r="195" spans="1:24">
      <c r="A195" s="60" t="s">
        <v>839</v>
      </c>
      <c r="B195" s="60" t="s">
        <v>571</v>
      </c>
      <c r="C195" s="60" t="s">
        <v>572</v>
      </c>
      <c r="D195" s="60" t="s">
        <v>573</v>
      </c>
      <c r="E195" s="61" t="s">
        <v>46</v>
      </c>
      <c r="F195" s="62" t="s">
        <v>46</v>
      </c>
      <c r="G195" s="63" t="s">
        <v>46</v>
      </c>
      <c r="H195" s="64"/>
      <c r="I195" s="64" t="s">
        <v>47</v>
      </c>
      <c r="J195" s="65">
        <v>10</v>
      </c>
      <c r="K195" s="66">
        <f>132</f>
        <v>132</v>
      </c>
      <c r="L195" s="67" t="s">
        <v>840</v>
      </c>
      <c r="M195" s="66">
        <f>186</f>
        <v>186</v>
      </c>
      <c r="N195" s="67" t="s">
        <v>48</v>
      </c>
      <c r="O195" s="66">
        <f>63</f>
        <v>63</v>
      </c>
      <c r="P195" s="67" t="s">
        <v>95</v>
      </c>
      <c r="Q195" s="66">
        <f>70</f>
        <v>70</v>
      </c>
      <c r="R195" s="67" t="s">
        <v>50</v>
      </c>
      <c r="S195" s="68">
        <f>128.62</f>
        <v>128.62</v>
      </c>
      <c r="T195" s="65">
        <f>1476951480</f>
        <v>1476951480</v>
      </c>
      <c r="U195" s="65">
        <f>17433640</f>
        <v>17433640</v>
      </c>
      <c r="V195" s="65">
        <f>157111198243</f>
        <v>157111198243</v>
      </c>
      <c r="W195" s="65">
        <f>2071230073</f>
        <v>2071230073</v>
      </c>
      <c r="X195" s="69">
        <f>21</f>
        <v>21</v>
      </c>
    </row>
    <row r="196" spans="1:24">
      <c r="A196" s="60" t="s">
        <v>839</v>
      </c>
      <c r="B196" s="60" t="s">
        <v>574</v>
      </c>
      <c r="C196" s="60" t="s">
        <v>575</v>
      </c>
      <c r="D196" s="60" t="s">
        <v>576</v>
      </c>
      <c r="E196" s="61" t="s">
        <v>46</v>
      </c>
      <c r="F196" s="62" t="s">
        <v>46</v>
      </c>
      <c r="G196" s="63" t="s">
        <v>46</v>
      </c>
      <c r="H196" s="64"/>
      <c r="I196" s="64" t="s">
        <v>577</v>
      </c>
      <c r="J196" s="65">
        <v>1</v>
      </c>
      <c r="K196" s="66">
        <f>8200</f>
        <v>8200</v>
      </c>
      <c r="L196" s="67" t="s">
        <v>840</v>
      </c>
      <c r="M196" s="66">
        <f>9220</f>
        <v>9220</v>
      </c>
      <c r="N196" s="67" t="s">
        <v>50</v>
      </c>
      <c r="O196" s="66">
        <f>7760</f>
        <v>7760</v>
      </c>
      <c r="P196" s="67" t="s">
        <v>48</v>
      </c>
      <c r="Q196" s="66">
        <f>9030</f>
        <v>9030</v>
      </c>
      <c r="R196" s="67" t="s">
        <v>50</v>
      </c>
      <c r="S196" s="68">
        <f>8703.5</f>
        <v>8703.5</v>
      </c>
      <c r="T196" s="65">
        <f>6570</f>
        <v>6570</v>
      </c>
      <c r="U196" s="65" t="str">
        <f>"－"</f>
        <v>－</v>
      </c>
      <c r="V196" s="65">
        <f>58301380</f>
        <v>58301380</v>
      </c>
      <c r="W196" s="65" t="str">
        <f>"－"</f>
        <v>－</v>
      </c>
      <c r="X196" s="69">
        <f>20</f>
        <v>20</v>
      </c>
    </row>
    <row r="197" spans="1:24">
      <c r="A197" s="60" t="s">
        <v>839</v>
      </c>
      <c r="B197" s="60" t="s">
        <v>578</v>
      </c>
      <c r="C197" s="60" t="s">
        <v>579</v>
      </c>
      <c r="D197" s="60" t="s">
        <v>580</v>
      </c>
      <c r="E197" s="61" t="s">
        <v>46</v>
      </c>
      <c r="F197" s="62" t="s">
        <v>46</v>
      </c>
      <c r="G197" s="63" t="s">
        <v>46</v>
      </c>
      <c r="H197" s="64"/>
      <c r="I197" s="64" t="s">
        <v>577</v>
      </c>
      <c r="J197" s="65">
        <v>1</v>
      </c>
      <c r="K197" s="66">
        <f>6850</f>
        <v>6850</v>
      </c>
      <c r="L197" s="67" t="s">
        <v>840</v>
      </c>
      <c r="M197" s="66">
        <f>7290</f>
        <v>7290</v>
      </c>
      <c r="N197" s="67" t="s">
        <v>833</v>
      </c>
      <c r="O197" s="66">
        <f>6320</f>
        <v>6320</v>
      </c>
      <c r="P197" s="67" t="s">
        <v>50</v>
      </c>
      <c r="Q197" s="66">
        <f>6500</f>
        <v>6500</v>
      </c>
      <c r="R197" s="67" t="s">
        <v>50</v>
      </c>
      <c r="S197" s="68">
        <f>6792.63</f>
        <v>6792.63</v>
      </c>
      <c r="T197" s="65">
        <f>12271</f>
        <v>12271</v>
      </c>
      <c r="U197" s="65" t="str">
        <f>"－"</f>
        <v>－</v>
      </c>
      <c r="V197" s="65">
        <f>85289840</f>
        <v>85289840</v>
      </c>
      <c r="W197" s="65" t="str">
        <f>"－"</f>
        <v>－</v>
      </c>
      <c r="X197" s="69">
        <f>19</f>
        <v>19</v>
      </c>
    </row>
    <row r="198" spans="1:24">
      <c r="A198" s="60" t="s">
        <v>839</v>
      </c>
      <c r="B198" s="60" t="s">
        <v>581</v>
      </c>
      <c r="C198" s="60" t="s">
        <v>582</v>
      </c>
      <c r="D198" s="60" t="s">
        <v>583</v>
      </c>
      <c r="E198" s="61" t="s">
        <v>46</v>
      </c>
      <c r="F198" s="62" t="s">
        <v>46</v>
      </c>
      <c r="G198" s="63" t="s">
        <v>46</v>
      </c>
      <c r="H198" s="64"/>
      <c r="I198" s="64" t="s">
        <v>577</v>
      </c>
      <c r="J198" s="65">
        <v>1</v>
      </c>
      <c r="K198" s="66">
        <f>5670</f>
        <v>5670</v>
      </c>
      <c r="L198" s="67" t="s">
        <v>840</v>
      </c>
      <c r="M198" s="66">
        <f>7220</f>
        <v>7220</v>
      </c>
      <c r="N198" s="67" t="s">
        <v>50</v>
      </c>
      <c r="O198" s="66">
        <f>5300</f>
        <v>5300</v>
      </c>
      <c r="P198" s="67" t="s">
        <v>833</v>
      </c>
      <c r="Q198" s="66">
        <f>7130</f>
        <v>7130</v>
      </c>
      <c r="R198" s="67" t="s">
        <v>50</v>
      </c>
      <c r="S198" s="68">
        <f>6392.86</f>
        <v>6392.86</v>
      </c>
      <c r="T198" s="65">
        <f>3008</f>
        <v>3008</v>
      </c>
      <c r="U198" s="65" t="str">
        <f>"－"</f>
        <v>－</v>
      </c>
      <c r="V198" s="65">
        <f>19230190</f>
        <v>19230190</v>
      </c>
      <c r="W198" s="65" t="str">
        <f>"－"</f>
        <v>－</v>
      </c>
      <c r="X198" s="69">
        <f>21</f>
        <v>21</v>
      </c>
    </row>
    <row r="199" spans="1:24">
      <c r="A199" s="60" t="s">
        <v>839</v>
      </c>
      <c r="B199" s="60" t="s">
        <v>584</v>
      </c>
      <c r="C199" s="60" t="s">
        <v>585</v>
      </c>
      <c r="D199" s="60" t="s">
        <v>586</v>
      </c>
      <c r="E199" s="61" t="s">
        <v>46</v>
      </c>
      <c r="F199" s="62" t="s">
        <v>46</v>
      </c>
      <c r="G199" s="63" t="s">
        <v>46</v>
      </c>
      <c r="H199" s="64"/>
      <c r="I199" s="64" t="s">
        <v>577</v>
      </c>
      <c r="J199" s="65">
        <v>1</v>
      </c>
      <c r="K199" s="66">
        <f>10730</f>
        <v>10730</v>
      </c>
      <c r="L199" s="67" t="s">
        <v>840</v>
      </c>
      <c r="M199" s="66">
        <f>10910</f>
        <v>10910</v>
      </c>
      <c r="N199" s="67" t="s">
        <v>833</v>
      </c>
      <c r="O199" s="66">
        <f>9100</f>
        <v>9100</v>
      </c>
      <c r="P199" s="67" t="s">
        <v>50</v>
      </c>
      <c r="Q199" s="66">
        <f>9110</f>
        <v>9110</v>
      </c>
      <c r="R199" s="67" t="s">
        <v>50</v>
      </c>
      <c r="S199" s="68">
        <f>9802.86</f>
        <v>9802.86</v>
      </c>
      <c r="T199" s="65">
        <f>24934</f>
        <v>24934</v>
      </c>
      <c r="U199" s="65">
        <f>7</f>
        <v>7</v>
      </c>
      <c r="V199" s="65">
        <f>245663630</f>
        <v>245663630</v>
      </c>
      <c r="W199" s="65">
        <f>68530</f>
        <v>68530</v>
      </c>
      <c r="X199" s="69">
        <f>21</f>
        <v>21</v>
      </c>
    </row>
    <row r="200" spans="1:24">
      <c r="A200" s="60" t="s">
        <v>839</v>
      </c>
      <c r="B200" s="60" t="s">
        <v>587</v>
      </c>
      <c r="C200" s="60" t="s">
        <v>588</v>
      </c>
      <c r="D200" s="60" t="s">
        <v>589</v>
      </c>
      <c r="E200" s="61" t="s">
        <v>46</v>
      </c>
      <c r="F200" s="62" t="s">
        <v>46</v>
      </c>
      <c r="G200" s="63" t="s">
        <v>46</v>
      </c>
      <c r="H200" s="64"/>
      <c r="I200" s="64" t="s">
        <v>577</v>
      </c>
      <c r="J200" s="65">
        <v>1</v>
      </c>
      <c r="K200" s="66">
        <f>1875</f>
        <v>1875</v>
      </c>
      <c r="L200" s="67" t="s">
        <v>840</v>
      </c>
      <c r="M200" s="66">
        <f>2080</f>
        <v>2080</v>
      </c>
      <c r="N200" s="67" t="s">
        <v>833</v>
      </c>
      <c r="O200" s="66">
        <f>1050</f>
        <v>1050</v>
      </c>
      <c r="P200" s="67" t="s">
        <v>50</v>
      </c>
      <c r="Q200" s="66">
        <f>1084</f>
        <v>1084</v>
      </c>
      <c r="R200" s="67" t="s">
        <v>50</v>
      </c>
      <c r="S200" s="68">
        <f>1400.43</f>
        <v>1400.43</v>
      </c>
      <c r="T200" s="65">
        <f>21848300</f>
        <v>21848300</v>
      </c>
      <c r="U200" s="65">
        <f>687</f>
        <v>687</v>
      </c>
      <c r="V200" s="65">
        <f>32555555384</f>
        <v>32555555384</v>
      </c>
      <c r="W200" s="65">
        <f>977806</f>
        <v>977806</v>
      </c>
      <c r="X200" s="69">
        <f>21</f>
        <v>21</v>
      </c>
    </row>
    <row r="201" spans="1:24">
      <c r="A201" s="60" t="s">
        <v>839</v>
      </c>
      <c r="B201" s="60" t="s">
        <v>590</v>
      </c>
      <c r="C201" s="60" t="s">
        <v>591</v>
      </c>
      <c r="D201" s="60" t="s">
        <v>592</v>
      </c>
      <c r="E201" s="61" t="s">
        <v>46</v>
      </c>
      <c r="F201" s="62" t="s">
        <v>46</v>
      </c>
      <c r="G201" s="63" t="s">
        <v>46</v>
      </c>
      <c r="H201" s="64"/>
      <c r="I201" s="64" t="s">
        <v>577</v>
      </c>
      <c r="J201" s="65">
        <v>1</v>
      </c>
      <c r="K201" s="66">
        <f>13410</f>
        <v>13410</v>
      </c>
      <c r="L201" s="67" t="s">
        <v>840</v>
      </c>
      <c r="M201" s="66">
        <f>16510</f>
        <v>16510</v>
      </c>
      <c r="N201" s="67" t="s">
        <v>90</v>
      </c>
      <c r="O201" s="66">
        <f>13270</f>
        <v>13270</v>
      </c>
      <c r="P201" s="67" t="s">
        <v>840</v>
      </c>
      <c r="Q201" s="66">
        <f>15630</f>
        <v>15630</v>
      </c>
      <c r="R201" s="67" t="s">
        <v>50</v>
      </c>
      <c r="S201" s="68">
        <f>15370.95</f>
        <v>15370.95</v>
      </c>
      <c r="T201" s="65">
        <f>57012</f>
        <v>57012</v>
      </c>
      <c r="U201" s="65" t="str">
        <f>"－"</f>
        <v>－</v>
      </c>
      <c r="V201" s="65">
        <f>887276280</f>
        <v>887276280</v>
      </c>
      <c r="W201" s="65" t="str">
        <f>"－"</f>
        <v>－</v>
      </c>
      <c r="X201" s="69">
        <f>21</f>
        <v>21</v>
      </c>
    </row>
    <row r="202" spans="1:24">
      <c r="A202" s="60" t="s">
        <v>839</v>
      </c>
      <c r="B202" s="60" t="s">
        <v>593</v>
      </c>
      <c r="C202" s="60" t="s">
        <v>594</v>
      </c>
      <c r="D202" s="60" t="s">
        <v>595</v>
      </c>
      <c r="E202" s="61" t="s">
        <v>46</v>
      </c>
      <c r="F202" s="62" t="s">
        <v>46</v>
      </c>
      <c r="G202" s="63" t="s">
        <v>46</v>
      </c>
      <c r="H202" s="64"/>
      <c r="I202" s="64" t="s">
        <v>577</v>
      </c>
      <c r="J202" s="65">
        <v>1</v>
      </c>
      <c r="K202" s="66">
        <f>6800</f>
        <v>6800</v>
      </c>
      <c r="L202" s="67" t="s">
        <v>840</v>
      </c>
      <c r="M202" s="66">
        <f>6800</f>
        <v>6800</v>
      </c>
      <c r="N202" s="67" t="s">
        <v>840</v>
      </c>
      <c r="O202" s="66">
        <f>6150</f>
        <v>6150</v>
      </c>
      <c r="P202" s="67" t="s">
        <v>91</v>
      </c>
      <c r="Q202" s="66">
        <f>6240</f>
        <v>6240</v>
      </c>
      <c r="R202" s="67" t="s">
        <v>50</v>
      </c>
      <c r="S202" s="68">
        <f>6321.43</f>
        <v>6321.43</v>
      </c>
      <c r="T202" s="65">
        <f>16846</f>
        <v>16846</v>
      </c>
      <c r="U202" s="65" t="str">
        <f>"－"</f>
        <v>－</v>
      </c>
      <c r="V202" s="65">
        <f>105507190</f>
        <v>105507190</v>
      </c>
      <c r="W202" s="65" t="str">
        <f>"－"</f>
        <v>－</v>
      </c>
      <c r="X202" s="69">
        <f>21</f>
        <v>21</v>
      </c>
    </row>
    <row r="203" spans="1:24">
      <c r="A203" s="60" t="s">
        <v>839</v>
      </c>
      <c r="B203" s="60" t="s">
        <v>596</v>
      </c>
      <c r="C203" s="60" t="s">
        <v>597</v>
      </c>
      <c r="D203" s="60" t="s">
        <v>598</v>
      </c>
      <c r="E203" s="61" t="s">
        <v>46</v>
      </c>
      <c r="F203" s="62" t="s">
        <v>46</v>
      </c>
      <c r="G203" s="63" t="s">
        <v>46</v>
      </c>
      <c r="H203" s="64"/>
      <c r="I203" s="64" t="s">
        <v>577</v>
      </c>
      <c r="J203" s="65">
        <v>1</v>
      </c>
      <c r="K203" s="66">
        <f>328</f>
        <v>328</v>
      </c>
      <c r="L203" s="67" t="s">
        <v>840</v>
      </c>
      <c r="M203" s="66">
        <f>386</f>
        <v>386</v>
      </c>
      <c r="N203" s="67" t="s">
        <v>100</v>
      </c>
      <c r="O203" s="66">
        <f>134</f>
        <v>134</v>
      </c>
      <c r="P203" s="67" t="s">
        <v>95</v>
      </c>
      <c r="Q203" s="66">
        <f>183</f>
        <v>183</v>
      </c>
      <c r="R203" s="67" t="s">
        <v>50</v>
      </c>
      <c r="S203" s="68">
        <f>288.57</f>
        <v>288.57</v>
      </c>
      <c r="T203" s="65">
        <f>766532052</f>
        <v>766532052</v>
      </c>
      <c r="U203" s="65" t="str">
        <f>"－"</f>
        <v>－</v>
      </c>
      <c r="V203" s="65">
        <f>203037910842</f>
        <v>203037910842</v>
      </c>
      <c r="W203" s="65" t="str">
        <f>"－"</f>
        <v>－</v>
      </c>
      <c r="X203" s="69">
        <f>21</f>
        <v>21</v>
      </c>
    </row>
    <row r="204" spans="1:24">
      <c r="A204" s="60" t="s">
        <v>839</v>
      </c>
      <c r="B204" s="60" t="s">
        <v>599</v>
      </c>
      <c r="C204" s="60" t="s">
        <v>600</v>
      </c>
      <c r="D204" s="60" t="s">
        <v>601</v>
      </c>
      <c r="E204" s="61" t="s">
        <v>46</v>
      </c>
      <c r="F204" s="62" t="s">
        <v>46</v>
      </c>
      <c r="G204" s="63" t="s">
        <v>46</v>
      </c>
      <c r="H204" s="64"/>
      <c r="I204" s="64" t="s">
        <v>577</v>
      </c>
      <c r="J204" s="65">
        <v>1</v>
      </c>
      <c r="K204" s="66">
        <f>9120</f>
        <v>9120</v>
      </c>
      <c r="L204" s="67" t="s">
        <v>840</v>
      </c>
      <c r="M204" s="66">
        <f>10830</f>
        <v>10830</v>
      </c>
      <c r="N204" s="67" t="s">
        <v>309</v>
      </c>
      <c r="O204" s="66">
        <f>7830</f>
        <v>7830</v>
      </c>
      <c r="P204" s="67" t="s">
        <v>99</v>
      </c>
      <c r="Q204" s="66">
        <f>8350</f>
        <v>8350</v>
      </c>
      <c r="R204" s="67" t="s">
        <v>50</v>
      </c>
      <c r="S204" s="68">
        <f>8858.1</f>
        <v>8858.1</v>
      </c>
      <c r="T204" s="65">
        <f>693248</f>
        <v>693248</v>
      </c>
      <c r="U204" s="65" t="str">
        <f>"－"</f>
        <v>－</v>
      </c>
      <c r="V204" s="65">
        <f>6187213250</f>
        <v>6187213250</v>
      </c>
      <c r="W204" s="65" t="str">
        <f>"－"</f>
        <v>－</v>
      </c>
      <c r="X204" s="69">
        <f>21</f>
        <v>21</v>
      </c>
    </row>
    <row r="205" spans="1:24">
      <c r="A205" s="60" t="s">
        <v>839</v>
      </c>
      <c r="B205" s="60" t="s">
        <v>602</v>
      </c>
      <c r="C205" s="60" t="s">
        <v>603</v>
      </c>
      <c r="D205" s="60" t="s">
        <v>604</v>
      </c>
      <c r="E205" s="61" t="s">
        <v>46</v>
      </c>
      <c r="F205" s="62" t="s">
        <v>46</v>
      </c>
      <c r="G205" s="63" t="s">
        <v>46</v>
      </c>
      <c r="H205" s="64"/>
      <c r="I205" s="64" t="s">
        <v>577</v>
      </c>
      <c r="J205" s="65">
        <v>1</v>
      </c>
      <c r="K205" s="66">
        <f>13060</f>
        <v>13060</v>
      </c>
      <c r="L205" s="67" t="s">
        <v>840</v>
      </c>
      <c r="M205" s="66">
        <f>16890</f>
        <v>16890</v>
      </c>
      <c r="N205" s="67" t="s">
        <v>50</v>
      </c>
      <c r="O205" s="66">
        <f>12270</f>
        <v>12270</v>
      </c>
      <c r="P205" s="67" t="s">
        <v>833</v>
      </c>
      <c r="Q205" s="66">
        <f>16850</f>
        <v>16850</v>
      </c>
      <c r="R205" s="67" t="s">
        <v>50</v>
      </c>
      <c r="S205" s="68">
        <f>14964.29</f>
        <v>14964.29</v>
      </c>
      <c r="T205" s="65">
        <f>1078678</f>
        <v>1078678</v>
      </c>
      <c r="U205" s="65">
        <f>266</f>
        <v>266</v>
      </c>
      <c r="V205" s="65">
        <f>16154235710</f>
        <v>16154235710</v>
      </c>
      <c r="W205" s="65">
        <f>3712860</f>
        <v>3712860</v>
      </c>
      <c r="X205" s="69">
        <f>21</f>
        <v>21</v>
      </c>
    </row>
    <row r="206" spans="1:24">
      <c r="A206" s="60" t="s">
        <v>839</v>
      </c>
      <c r="B206" s="60" t="s">
        <v>605</v>
      </c>
      <c r="C206" s="60" t="s">
        <v>606</v>
      </c>
      <c r="D206" s="60" t="s">
        <v>607</v>
      </c>
      <c r="E206" s="61" t="s">
        <v>46</v>
      </c>
      <c r="F206" s="62" t="s">
        <v>46</v>
      </c>
      <c r="G206" s="63" t="s">
        <v>46</v>
      </c>
      <c r="H206" s="64"/>
      <c r="I206" s="64" t="s">
        <v>577</v>
      </c>
      <c r="J206" s="65">
        <v>1</v>
      </c>
      <c r="K206" s="66">
        <f>5210</f>
        <v>5210</v>
      </c>
      <c r="L206" s="67" t="s">
        <v>840</v>
      </c>
      <c r="M206" s="66">
        <f>5410</f>
        <v>5410</v>
      </c>
      <c r="N206" s="67" t="s">
        <v>833</v>
      </c>
      <c r="O206" s="66">
        <f>4440</f>
        <v>4440</v>
      </c>
      <c r="P206" s="67" t="s">
        <v>50</v>
      </c>
      <c r="Q206" s="66">
        <f>4450</f>
        <v>4450</v>
      </c>
      <c r="R206" s="67" t="s">
        <v>50</v>
      </c>
      <c r="S206" s="68">
        <f>4793.33</f>
        <v>4793.33</v>
      </c>
      <c r="T206" s="65">
        <f>994517</f>
        <v>994517</v>
      </c>
      <c r="U206" s="65">
        <f>29</f>
        <v>29</v>
      </c>
      <c r="V206" s="65">
        <f>4821949840</f>
        <v>4821949840</v>
      </c>
      <c r="W206" s="65">
        <f>145505</f>
        <v>145505</v>
      </c>
      <c r="X206" s="69">
        <f>21</f>
        <v>21</v>
      </c>
    </row>
    <row r="207" spans="1:24">
      <c r="A207" s="60" t="s">
        <v>839</v>
      </c>
      <c r="B207" s="60" t="s">
        <v>608</v>
      </c>
      <c r="C207" s="60" t="s">
        <v>609</v>
      </c>
      <c r="D207" s="60" t="s">
        <v>610</v>
      </c>
      <c r="E207" s="61" t="s">
        <v>46</v>
      </c>
      <c r="F207" s="62" t="s">
        <v>46</v>
      </c>
      <c r="G207" s="63" t="s">
        <v>46</v>
      </c>
      <c r="H207" s="64"/>
      <c r="I207" s="64" t="s">
        <v>577</v>
      </c>
      <c r="J207" s="65">
        <v>1</v>
      </c>
      <c r="K207" s="66">
        <f>6610</f>
        <v>6610</v>
      </c>
      <c r="L207" s="67" t="s">
        <v>840</v>
      </c>
      <c r="M207" s="66">
        <f>8550</f>
        <v>8550</v>
      </c>
      <c r="N207" s="67" t="s">
        <v>50</v>
      </c>
      <c r="O207" s="66">
        <f>6360</f>
        <v>6360</v>
      </c>
      <c r="P207" s="67" t="s">
        <v>48</v>
      </c>
      <c r="Q207" s="66">
        <f>8460</f>
        <v>8460</v>
      </c>
      <c r="R207" s="67" t="s">
        <v>50</v>
      </c>
      <c r="S207" s="68">
        <f>7497.62</f>
        <v>7497.62</v>
      </c>
      <c r="T207" s="65">
        <f>117105</f>
        <v>117105</v>
      </c>
      <c r="U207" s="65" t="str">
        <f>"－"</f>
        <v>－</v>
      </c>
      <c r="V207" s="65">
        <f>901656800</f>
        <v>901656800</v>
      </c>
      <c r="W207" s="65" t="str">
        <f>"－"</f>
        <v>－</v>
      </c>
      <c r="X207" s="69">
        <f>21</f>
        <v>21</v>
      </c>
    </row>
    <row r="208" spans="1:24">
      <c r="A208" s="60" t="s">
        <v>839</v>
      </c>
      <c r="B208" s="60" t="s">
        <v>611</v>
      </c>
      <c r="C208" s="60" t="s">
        <v>612</v>
      </c>
      <c r="D208" s="60" t="s">
        <v>613</v>
      </c>
      <c r="E208" s="61" t="s">
        <v>46</v>
      </c>
      <c r="F208" s="62" t="s">
        <v>46</v>
      </c>
      <c r="G208" s="63" t="s">
        <v>46</v>
      </c>
      <c r="H208" s="64"/>
      <c r="I208" s="64" t="s">
        <v>577</v>
      </c>
      <c r="J208" s="65">
        <v>1</v>
      </c>
      <c r="K208" s="66">
        <f>8960</f>
        <v>8960</v>
      </c>
      <c r="L208" s="67" t="s">
        <v>840</v>
      </c>
      <c r="M208" s="66">
        <f>9550</f>
        <v>9550</v>
      </c>
      <c r="N208" s="67" t="s">
        <v>86</v>
      </c>
      <c r="O208" s="66">
        <f>8700</f>
        <v>8700</v>
      </c>
      <c r="P208" s="67" t="s">
        <v>833</v>
      </c>
      <c r="Q208" s="66">
        <f>9200</f>
        <v>9200</v>
      </c>
      <c r="R208" s="67" t="s">
        <v>50</v>
      </c>
      <c r="S208" s="68">
        <f>9188</f>
        <v>9188</v>
      </c>
      <c r="T208" s="65">
        <f>686</f>
        <v>686</v>
      </c>
      <c r="U208" s="65" t="str">
        <f>"－"</f>
        <v>－</v>
      </c>
      <c r="V208" s="65">
        <f>6340730</f>
        <v>6340730</v>
      </c>
      <c r="W208" s="65" t="str">
        <f>"－"</f>
        <v>－</v>
      </c>
      <c r="X208" s="69">
        <f>15</f>
        <v>15</v>
      </c>
    </row>
    <row r="209" spans="1:24">
      <c r="A209" s="60" t="s">
        <v>839</v>
      </c>
      <c r="B209" s="60" t="s">
        <v>614</v>
      </c>
      <c r="C209" s="60" t="s">
        <v>615</v>
      </c>
      <c r="D209" s="60" t="s">
        <v>616</v>
      </c>
      <c r="E209" s="61" t="s">
        <v>46</v>
      </c>
      <c r="F209" s="62" t="s">
        <v>46</v>
      </c>
      <c r="G209" s="63" t="s">
        <v>46</v>
      </c>
      <c r="H209" s="64"/>
      <c r="I209" s="64" t="s">
        <v>577</v>
      </c>
      <c r="J209" s="65">
        <v>1</v>
      </c>
      <c r="K209" s="66">
        <f>11390</f>
        <v>11390</v>
      </c>
      <c r="L209" s="67" t="s">
        <v>840</v>
      </c>
      <c r="M209" s="66">
        <f>12930</f>
        <v>12930</v>
      </c>
      <c r="N209" s="67" t="s">
        <v>50</v>
      </c>
      <c r="O209" s="66">
        <f>10810</f>
        <v>10810</v>
      </c>
      <c r="P209" s="67" t="s">
        <v>833</v>
      </c>
      <c r="Q209" s="66">
        <f>12810</f>
        <v>12810</v>
      </c>
      <c r="R209" s="67" t="s">
        <v>50</v>
      </c>
      <c r="S209" s="68">
        <f>12152.38</f>
        <v>12152.38</v>
      </c>
      <c r="T209" s="65">
        <f>25808</f>
        <v>25808</v>
      </c>
      <c r="U209" s="65" t="str">
        <f>"－"</f>
        <v>－</v>
      </c>
      <c r="V209" s="65">
        <f>313571510</f>
        <v>313571510</v>
      </c>
      <c r="W209" s="65" t="str">
        <f>"－"</f>
        <v>－</v>
      </c>
      <c r="X209" s="69">
        <f>21</f>
        <v>21</v>
      </c>
    </row>
    <row r="210" spans="1:24">
      <c r="A210" s="60" t="s">
        <v>839</v>
      </c>
      <c r="B210" s="60" t="s">
        <v>617</v>
      </c>
      <c r="C210" s="60" t="s">
        <v>618</v>
      </c>
      <c r="D210" s="60" t="s">
        <v>619</v>
      </c>
      <c r="E210" s="61" t="s">
        <v>46</v>
      </c>
      <c r="F210" s="62" t="s">
        <v>46</v>
      </c>
      <c r="G210" s="63" t="s">
        <v>46</v>
      </c>
      <c r="H210" s="64"/>
      <c r="I210" s="64" t="s">
        <v>577</v>
      </c>
      <c r="J210" s="65">
        <v>1</v>
      </c>
      <c r="K210" s="66">
        <f>10050</f>
        <v>10050</v>
      </c>
      <c r="L210" s="67" t="s">
        <v>840</v>
      </c>
      <c r="M210" s="66">
        <f>10790</f>
        <v>10790</v>
      </c>
      <c r="N210" s="67" t="s">
        <v>49</v>
      </c>
      <c r="O210" s="66">
        <f>9120</f>
        <v>9120</v>
      </c>
      <c r="P210" s="67" t="s">
        <v>48</v>
      </c>
      <c r="Q210" s="66">
        <f>10620</f>
        <v>10620</v>
      </c>
      <c r="R210" s="67" t="s">
        <v>50</v>
      </c>
      <c r="S210" s="68">
        <f>10175</f>
        <v>10175</v>
      </c>
      <c r="T210" s="65">
        <f>2397</f>
        <v>2397</v>
      </c>
      <c r="U210" s="65" t="str">
        <f>"－"</f>
        <v>－</v>
      </c>
      <c r="V210" s="65">
        <f>24707540</f>
        <v>24707540</v>
      </c>
      <c r="W210" s="65" t="str">
        <f>"－"</f>
        <v>－</v>
      </c>
      <c r="X210" s="69">
        <f>20</f>
        <v>20</v>
      </c>
    </row>
    <row r="211" spans="1:24">
      <c r="A211" s="60" t="s">
        <v>839</v>
      </c>
      <c r="B211" s="60" t="s">
        <v>620</v>
      </c>
      <c r="C211" s="60" t="s">
        <v>621</v>
      </c>
      <c r="D211" s="60" t="s">
        <v>622</v>
      </c>
      <c r="E211" s="61" t="s">
        <v>46</v>
      </c>
      <c r="F211" s="62" t="s">
        <v>46</v>
      </c>
      <c r="G211" s="63" t="s">
        <v>46</v>
      </c>
      <c r="H211" s="64"/>
      <c r="I211" s="64" t="s">
        <v>577</v>
      </c>
      <c r="J211" s="65">
        <v>1</v>
      </c>
      <c r="K211" s="66">
        <f>4700</f>
        <v>4700</v>
      </c>
      <c r="L211" s="67" t="s">
        <v>840</v>
      </c>
      <c r="M211" s="66">
        <f>6090</f>
        <v>6090</v>
      </c>
      <c r="N211" s="67" t="s">
        <v>50</v>
      </c>
      <c r="O211" s="66">
        <f>4110</f>
        <v>4110</v>
      </c>
      <c r="P211" s="67" t="s">
        <v>48</v>
      </c>
      <c r="Q211" s="66">
        <f>6080</f>
        <v>6080</v>
      </c>
      <c r="R211" s="67" t="s">
        <v>50</v>
      </c>
      <c r="S211" s="68">
        <f>5042.14</f>
        <v>5042.1400000000003</v>
      </c>
      <c r="T211" s="65">
        <f>79960</f>
        <v>79960</v>
      </c>
      <c r="U211" s="65">
        <f>2</f>
        <v>2</v>
      </c>
      <c r="V211" s="65">
        <f>405639170</f>
        <v>405639170</v>
      </c>
      <c r="W211" s="65">
        <f>10110</f>
        <v>10110</v>
      </c>
      <c r="X211" s="69">
        <f>21</f>
        <v>21</v>
      </c>
    </row>
    <row r="212" spans="1:24">
      <c r="A212" s="60" t="s">
        <v>839</v>
      </c>
      <c r="B212" s="60" t="s">
        <v>623</v>
      </c>
      <c r="C212" s="60" t="s">
        <v>624</v>
      </c>
      <c r="D212" s="60" t="s">
        <v>625</v>
      </c>
      <c r="E212" s="61" t="s">
        <v>46</v>
      </c>
      <c r="F212" s="62" t="s">
        <v>46</v>
      </c>
      <c r="G212" s="63" t="s">
        <v>46</v>
      </c>
      <c r="H212" s="64"/>
      <c r="I212" s="64" t="s">
        <v>577</v>
      </c>
      <c r="J212" s="65">
        <v>1</v>
      </c>
      <c r="K212" s="66">
        <f>7900</f>
        <v>7900</v>
      </c>
      <c r="L212" s="67" t="s">
        <v>840</v>
      </c>
      <c r="M212" s="66">
        <f>9030</f>
        <v>9030</v>
      </c>
      <c r="N212" s="67" t="s">
        <v>48</v>
      </c>
      <c r="O212" s="66">
        <f>6780</f>
        <v>6780</v>
      </c>
      <c r="P212" s="67" t="s">
        <v>50</v>
      </c>
      <c r="Q212" s="66">
        <f>6790</f>
        <v>6790</v>
      </c>
      <c r="R212" s="67" t="s">
        <v>50</v>
      </c>
      <c r="S212" s="68">
        <f>7532.86</f>
        <v>7532.86</v>
      </c>
      <c r="T212" s="65">
        <f>7234</f>
        <v>7234</v>
      </c>
      <c r="U212" s="65" t="str">
        <f t="shared" ref="U212:U219" si="14">"－"</f>
        <v>－</v>
      </c>
      <c r="V212" s="65">
        <f>56277040</f>
        <v>56277040</v>
      </c>
      <c r="W212" s="65" t="str">
        <f t="shared" ref="W212:W219" si="15">"－"</f>
        <v>－</v>
      </c>
      <c r="X212" s="69">
        <f>21</f>
        <v>21</v>
      </c>
    </row>
    <row r="213" spans="1:24">
      <c r="A213" s="60" t="s">
        <v>839</v>
      </c>
      <c r="B213" s="60" t="s">
        <v>626</v>
      </c>
      <c r="C213" s="60" t="s">
        <v>627</v>
      </c>
      <c r="D213" s="60" t="s">
        <v>628</v>
      </c>
      <c r="E213" s="61" t="s">
        <v>46</v>
      </c>
      <c r="F213" s="62" t="s">
        <v>46</v>
      </c>
      <c r="G213" s="63" t="s">
        <v>46</v>
      </c>
      <c r="H213" s="64"/>
      <c r="I213" s="64" t="s">
        <v>577</v>
      </c>
      <c r="J213" s="65">
        <v>1</v>
      </c>
      <c r="K213" s="66">
        <f>8170</f>
        <v>8170</v>
      </c>
      <c r="L213" s="67" t="s">
        <v>840</v>
      </c>
      <c r="M213" s="66">
        <f>8240</f>
        <v>8240</v>
      </c>
      <c r="N213" s="67" t="s">
        <v>50</v>
      </c>
      <c r="O213" s="66">
        <f>7540</f>
        <v>7540</v>
      </c>
      <c r="P213" s="67" t="s">
        <v>833</v>
      </c>
      <c r="Q213" s="66">
        <f>8240</f>
        <v>8240</v>
      </c>
      <c r="R213" s="67" t="s">
        <v>50</v>
      </c>
      <c r="S213" s="68">
        <f>7966.92</f>
        <v>7966.92</v>
      </c>
      <c r="T213" s="65">
        <f>1033</f>
        <v>1033</v>
      </c>
      <c r="U213" s="65" t="str">
        <f t="shared" si="14"/>
        <v>－</v>
      </c>
      <c r="V213" s="65">
        <f>8250170</f>
        <v>8250170</v>
      </c>
      <c r="W213" s="65" t="str">
        <f t="shared" si="15"/>
        <v>－</v>
      </c>
      <c r="X213" s="69">
        <f>13</f>
        <v>13</v>
      </c>
    </row>
    <row r="214" spans="1:24">
      <c r="A214" s="60" t="s">
        <v>839</v>
      </c>
      <c r="B214" s="60" t="s">
        <v>629</v>
      </c>
      <c r="C214" s="60" t="s">
        <v>630</v>
      </c>
      <c r="D214" s="60" t="s">
        <v>631</v>
      </c>
      <c r="E214" s="61" t="s">
        <v>46</v>
      </c>
      <c r="F214" s="62" t="s">
        <v>46</v>
      </c>
      <c r="G214" s="63" t="s">
        <v>46</v>
      </c>
      <c r="H214" s="64"/>
      <c r="I214" s="64" t="s">
        <v>577</v>
      </c>
      <c r="J214" s="65">
        <v>1</v>
      </c>
      <c r="K214" s="66">
        <f>8400</f>
        <v>8400</v>
      </c>
      <c r="L214" s="67" t="s">
        <v>840</v>
      </c>
      <c r="M214" s="66">
        <f>9030</f>
        <v>9030</v>
      </c>
      <c r="N214" s="67" t="s">
        <v>50</v>
      </c>
      <c r="O214" s="66">
        <f>7900</f>
        <v>7900</v>
      </c>
      <c r="P214" s="67" t="s">
        <v>814</v>
      </c>
      <c r="Q214" s="66">
        <f>9010</f>
        <v>9010</v>
      </c>
      <c r="R214" s="67" t="s">
        <v>50</v>
      </c>
      <c r="S214" s="68">
        <f>8500</f>
        <v>8500</v>
      </c>
      <c r="T214" s="65">
        <f>1460</f>
        <v>1460</v>
      </c>
      <c r="U214" s="65" t="str">
        <f t="shared" si="14"/>
        <v>－</v>
      </c>
      <c r="V214" s="65">
        <f>12577050</f>
        <v>12577050</v>
      </c>
      <c r="W214" s="65" t="str">
        <f t="shared" si="15"/>
        <v>－</v>
      </c>
      <c r="X214" s="69">
        <f>8</f>
        <v>8</v>
      </c>
    </row>
    <row r="215" spans="1:24">
      <c r="A215" s="60" t="s">
        <v>839</v>
      </c>
      <c r="B215" s="60" t="s">
        <v>632</v>
      </c>
      <c r="C215" s="60" t="s">
        <v>633</v>
      </c>
      <c r="D215" s="60" t="s">
        <v>634</v>
      </c>
      <c r="E215" s="61" t="s">
        <v>46</v>
      </c>
      <c r="F215" s="62" t="s">
        <v>46</v>
      </c>
      <c r="G215" s="63" t="s">
        <v>46</v>
      </c>
      <c r="H215" s="64"/>
      <c r="I215" s="64" t="s">
        <v>577</v>
      </c>
      <c r="J215" s="65">
        <v>1</v>
      </c>
      <c r="K215" s="66">
        <f>9100</f>
        <v>9100</v>
      </c>
      <c r="L215" s="67" t="s">
        <v>840</v>
      </c>
      <c r="M215" s="66">
        <f>9700</f>
        <v>9700</v>
      </c>
      <c r="N215" s="67" t="s">
        <v>61</v>
      </c>
      <c r="O215" s="66">
        <f>9070</f>
        <v>9070</v>
      </c>
      <c r="P215" s="67" t="s">
        <v>833</v>
      </c>
      <c r="Q215" s="66">
        <f>9520</f>
        <v>9520</v>
      </c>
      <c r="R215" s="67" t="s">
        <v>99</v>
      </c>
      <c r="S215" s="68">
        <f>9386</f>
        <v>9386</v>
      </c>
      <c r="T215" s="65">
        <f>2340</f>
        <v>2340</v>
      </c>
      <c r="U215" s="65" t="str">
        <f t="shared" si="14"/>
        <v>－</v>
      </c>
      <c r="V215" s="65">
        <f>21817440</f>
        <v>21817440</v>
      </c>
      <c r="W215" s="65" t="str">
        <f t="shared" si="15"/>
        <v>－</v>
      </c>
      <c r="X215" s="69">
        <f>10</f>
        <v>10</v>
      </c>
    </row>
    <row r="216" spans="1:24">
      <c r="A216" s="60" t="s">
        <v>839</v>
      </c>
      <c r="B216" s="60" t="s">
        <v>635</v>
      </c>
      <c r="C216" s="60" t="s">
        <v>636</v>
      </c>
      <c r="D216" s="60" t="s">
        <v>637</v>
      </c>
      <c r="E216" s="61" t="s">
        <v>46</v>
      </c>
      <c r="F216" s="62" t="s">
        <v>46</v>
      </c>
      <c r="G216" s="63" t="s">
        <v>46</v>
      </c>
      <c r="H216" s="64"/>
      <c r="I216" s="64" t="s">
        <v>577</v>
      </c>
      <c r="J216" s="65">
        <v>1</v>
      </c>
      <c r="K216" s="66">
        <f>10000</f>
        <v>10000</v>
      </c>
      <c r="L216" s="67" t="s">
        <v>840</v>
      </c>
      <c r="M216" s="66">
        <f>10000</f>
        <v>10000</v>
      </c>
      <c r="N216" s="67" t="s">
        <v>840</v>
      </c>
      <c r="O216" s="66">
        <f>9160</f>
        <v>9160</v>
      </c>
      <c r="P216" s="67" t="s">
        <v>814</v>
      </c>
      <c r="Q216" s="66">
        <f>9810</f>
        <v>9810</v>
      </c>
      <c r="R216" s="67" t="s">
        <v>50</v>
      </c>
      <c r="S216" s="68">
        <f>9674.29</f>
        <v>9674.2900000000009</v>
      </c>
      <c r="T216" s="65">
        <f>3736</f>
        <v>3736</v>
      </c>
      <c r="U216" s="65" t="str">
        <f t="shared" si="14"/>
        <v>－</v>
      </c>
      <c r="V216" s="65">
        <f>36033880</f>
        <v>36033880</v>
      </c>
      <c r="W216" s="65" t="str">
        <f t="shared" si="15"/>
        <v>－</v>
      </c>
      <c r="X216" s="69">
        <f>14</f>
        <v>14</v>
      </c>
    </row>
    <row r="217" spans="1:24">
      <c r="A217" s="60" t="s">
        <v>839</v>
      </c>
      <c r="B217" s="60" t="s">
        <v>638</v>
      </c>
      <c r="C217" s="60" t="s">
        <v>639</v>
      </c>
      <c r="D217" s="60" t="s">
        <v>640</v>
      </c>
      <c r="E217" s="61" t="s">
        <v>46</v>
      </c>
      <c r="F217" s="62" t="s">
        <v>46</v>
      </c>
      <c r="G217" s="63" t="s">
        <v>46</v>
      </c>
      <c r="H217" s="64"/>
      <c r="I217" s="64" t="s">
        <v>577</v>
      </c>
      <c r="J217" s="65">
        <v>1</v>
      </c>
      <c r="K217" s="66">
        <f>8410</f>
        <v>8410</v>
      </c>
      <c r="L217" s="67" t="s">
        <v>840</v>
      </c>
      <c r="M217" s="66">
        <f>8880</f>
        <v>8880</v>
      </c>
      <c r="N217" s="67" t="s">
        <v>50</v>
      </c>
      <c r="O217" s="66">
        <f>7980</f>
        <v>7980</v>
      </c>
      <c r="P217" s="67" t="s">
        <v>48</v>
      </c>
      <c r="Q217" s="66">
        <f>8860</f>
        <v>8860</v>
      </c>
      <c r="R217" s="67" t="s">
        <v>50</v>
      </c>
      <c r="S217" s="68">
        <f>8524.67</f>
        <v>8524.67</v>
      </c>
      <c r="T217" s="65">
        <f>1707</f>
        <v>1707</v>
      </c>
      <c r="U217" s="65" t="str">
        <f t="shared" si="14"/>
        <v>－</v>
      </c>
      <c r="V217" s="65">
        <f>14733830</f>
        <v>14733830</v>
      </c>
      <c r="W217" s="65" t="str">
        <f t="shared" si="15"/>
        <v>－</v>
      </c>
      <c r="X217" s="69">
        <f>15</f>
        <v>15</v>
      </c>
    </row>
    <row r="218" spans="1:24">
      <c r="A218" s="60" t="s">
        <v>839</v>
      </c>
      <c r="B218" s="60" t="s">
        <v>641</v>
      </c>
      <c r="C218" s="60" t="s">
        <v>642</v>
      </c>
      <c r="D218" s="60" t="s">
        <v>643</v>
      </c>
      <c r="E218" s="61" t="s">
        <v>46</v>
      </c>
      <c r="F218" s="62" t="s">
        <v>46</v>
      </c>
      <c r="G218" s="63" t="s">
        <v>46</v>
      </c>
      <c r="H218" s="64"/>
      <c r="I218" s="64" t="s">
        <v>577</v>
      </c>
      <c r="J218" s="65">
        <v>1</v>
      </c>
      <c r="K218" s="66">
        <f>8130</f>
        <v>8130</v>
      </c>
      <c r="L218" s="67" t="s">
        <v>90</v>
      </c>
      <c r="M218" s="66">
        <f>8170</f>
        <v>8170</v>
      </c>
      <c r="N218" s="67" t="s">
        <v>90</v>
      </c>
      <c r="O218" s="66">
        <f>7770</f>
        <v>7770</v>
      </c>
      <c r="P218" s="67" t="s">
        <v>72</v>
      </c>
      <c r="Q218" s="66">
        <f>7770</f>
        <v>7770</v>
      </c>
      <c r="R218" s="67" t="s">
        <v>72</v>
      </c>
      <c r="S218" s="68">
        <f>7953.33</f>
        <v>7953.33</v>
      </c>
      <c r="T218" s="65">
        <f>382</f>
        <v>382</v>
      </c>
      <c r="U218" s="65" t="str">
        <f t="shared" si="14"/>
        <v>－</v>
      </c>
      <c r="V218" s="65">
        <f>3019780</f>
        <v>3019780</v>
      </c>
      <c r="W218" s="65" t="str">
        <f t="shared" si="15"/>
        <v>－</v>
      </c>
      <c r="X218" s="69">
        <f>3</f>
        <v>3</v>
      </c>
    </row>
    <row r="219" spans="1:24">
      <c r="A219" s="60" t="s">
        <v>839</v>
      </c>
      <c r="B219" s="60" t="s">
        <v>644</v>
      </c>
      <c r="C219" s="60" t="s">
        <v>645</v>
      </c>
      <c r="D219" s="60" t="s">
        <v>646</v>
      </c>
      <c r="E219" s="61" t="s">
        <v>46</v>
      </c>
      <c r="F219" s="62" t="s">
        <v>46</v>
      </c>
      <c r="G219" s="63" t="s">
        <v>46</v>
      </c>
      <c r="H219" s="64"/>
      <c r="I219" s="64" t="s">
        <v>577</v>
      </c>
      <c r="J219" s="65">
        <v>1</v>
      </c>
      <c r="K219" s="66">
        <f>10720</f>
        <v>10720</v>
      </c>
      <c r="L219" s="67" t="s">
        <v>65</v>
      </c>
      <c r="M219" s="66">
        <f>10960</f>
        <v>10960</v>
      </c>
      <c r="N219" s="67" t="s">
        <v>50</v>
      </c>
      <c r="O219" s="66">
        <f>10650</f>
        <v>10650</v>
      </c>
      <c r="P219" s="67" t="s">
        <v>820</v>
      </c>
      <c r="Q219" s="66">
        <f>10960</f>
        <v>10960</v>
      </c>
      <c r="R219" s="67" t="s">
        <v>50</v>
      </c>
      <c r="S219" s="68">
        <f>10820</f>
        <v>10820</v>
      </c>
      <c r="T219" s="65">
        <f>485</f>
        <v>485</v>
      </c>
      <c r="U219" s="65" t="str">
        <f t="shared" si="14"/>
        <v>－</v>
      </c>
      <c r="V219" s="65">
        <f>5266480</f>
        <v>5266480</v>
      </c>
      <c r="W219" s="65" t="str">
        <f t="shared" si="15"/>
        <v>－</v>
      </c>
      <c r="X219" s="69">
        <f>5</f>
        <v>5</v>
      </c>
    </row>
    <row r="220" spans="1:24">
      <c r="A220" s="60" t="s">
        <v>839</v>
      </c>
      <c r="B220" s="60" t="s">
        <v>647</v>
      </c>
      <c r="C220" s="60" t="s">
        <v>648</v>
      </c>
      <c r="D220" s="60" t="s">
        <v>649</v>
      </c>
      <c r="E220" s="61" t="s">
        <v>46</v>
      </c>
      <c r="F220" s="62" t="s">
        <v>46</v>
      </c>
      <c r="G220" s="63" t="s">
        <v>46</v>
      </c>
      <c r="H220" s="64"/>
      <c r="I220" s="64" t="s">
        <v>47</v>
      </c>
      <c r="J220" s="65">
        <v>10</v>
      </c>
      <c r="K220" s="66">
        <f>1003</f>
        <v>1003</v>
      </c>
      <c r="L220" s="67" t="s">
        <v>840</v>
      </c>
      <c r="M220" s="66">
        <f>1011</f>
        <v>1011</v>
      </c>
      <c r="N220" s="67" t="s">
        <v>50</v>
      </c>
      <c r="O220" s="66">
        <f>998</f>
        <v>998</v>
      </c>
      <c r="P220" s="67" t="s">
        <v>65</v>
      </c>
      <c r="Q220" s="66">
        <f>1009</f>
        <v>1009</v>
      </c>
      <c r="R220" s="67" t="s">
        <v>50</v>
      </c>
      <c r="S220" s="68">
        <f>1004.14</f>
        <v>1004.14</v>
      </c>
      <c r="T220" s="65">
        <f>51900</f>
        <v>51900</v>
      </c>
      <c r="U220" s="65">
        <f>21220</f>
        <v>21220</v>
      </c>
      <c r="V220" s="65">
        <f>52202417</f>
        <v>52202417</v>
      </c>
      <c r="W220" s="65">
        <f>21386577</f>
        <v>21386577</v>
      </c>
      <c r="X220" s="69">
        <f>21</f>
        <v>21</v>
      </c>
    </row>
    <row r="221" spans="1:24">
      <c r="A221" s="60" t="s">
        <v>839</v>
      </c>
      <c r="B221" s="60" t="s">
        <v>650</v>
      </c>
      <c r="C221" s="60" t="s">
        <v>651</v>
      </c>
      <c r="D221" s="60" t="s">
        <v>652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f>987</f>
        <v>987</v>
      </c>
      <c r="L221" s="67" t="s">
        <v>840</v>
      </c>
      <c r="M221" s="66">
        <f>987</f>
        <v>987</v>
      </c>
      <c r="N221" s="67" t="s">
        <v>840</v>
      </c>
      <c r="O221" s="66">
        <f>968</f>
        <v>968</v>
      </c>
      <c r="P221" s="67" t="s">
        <v>65</v>
      </c>
      <c r="Q221" s="66">
        <f>971</f>
        <v>971</v>
      </c>
      <c r="R221" s="67" t="s">
        <v>50</v>
      </c>
      <c r="S221" s="68">
        <f>976</f>
        <v>976</v>
      </c>
      <c r="T221" s="65">
        <f>185050</f>
        <v>185050</v>
      </c>
      <c r="U221" s="65">
        <f>104000</f>
        <v>104000</v>
      </c>
      <c r="V221" s="65">
        <f>179896480</f>
        <v>179896480</v>
      </c>
      <c r="W221" s="65">
        <f>100703200</f>
        <v>100703200</v>
      </c>
      <c r="X221" s="69">
        <f>21</f>
        <v>21</v>
      </c>
    </row>
    <row r="222" spans="1:24">
      <c r="A222" s="60" t="s">
        <v>839</v>
      </c>
      <c r="B222" s="60" t="s">
        <v>653</v>
      </c>
      <c r="C222" s="60" t="s">
        <v>654</v>
      </c>
      <c r="D222" s="60" t="s">
        <v>655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1050</f>
        <v>1050</v>
      </c>
      <c r="L222" s="67" t="s">
        <v>840</v>
      </c>
      <c r="M222" s="66">
        <f>1055</f>
        <v>1055</v>
      </c>
      <c r="N222" s="67" t="s">
        <v>833</v>
      </c>
      <c r="O222" s="66">
        <f>1030</f>
        <v>1030</v>
      </c>
      <c r="P222" s="67" t="s">
        <v>61</v>
      </c>
      <c r="Q222" s="66">
        <f>1047</f>
        <v>1047</v>
      </c>
      <c r="R222" s="67" t="s">
        <v>50</v>
      </c>
      <c r="S222" s="68">
        <f>1045.81</f>
        <v>1045.81</v>
      </c>
      <c r="T222" s="65">
        <f>26050</f>
        <v>26050</v>
      </c>
      <c r="U222" s="65" t="str">
        <f>"－"</f>
        <v>－</v>
      </c>
      <c r="V222" s="65">
        <f>27211180</f>
        <v>27211180</v>
      </c>
      <c r="W222" s="65" t="str">
        <f>"－"</f>
        <v>－</v>
      </c>
      <c r="X222" s="69">
        <f>21</f>
        <v>21</v>
      </c>
    </row>
    <row r="223" spans="1:24">
      <c r="A223" s="60" t="s">
        <v>839</v>
      </c>
      <c r="B223" s="60" t="s">
        <v>656</v>
      </c>
      <c r="C223" s="60" t="s">
        <v>657</v>
      </c>
      <c r="D223" s="60" t="s">
        <v>658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863</f>
        <v>863</v>
      </c>
      <c r="L223" s="67" t="s">
        <v>840</v>
      </c>
      <c r="M223" s="66">
        <f>1000</f>
        <v>1000</v>
      </c>
      <c r="N223" s="67" t="s">
        <v>61</v>
      </c>
      <c r="O223" s="66">
        <f>850</f>
        <v>850</v>
      </c>
      <c r="P223" s="67" t="s">
        <v>840</v>
      </c>
      <c r="Q223" s="66">
        <f>991</f>
        <v>991</v>
      </c>
      <c r="R223" s="67" t="s">
        <v>50</v>
      </c>
      <c r="S223" s="68">
        <f>930.43</f>
        <v>930.43</v>
      </c>
      <c r="T223" s="65">
        <f>147450</f>
        <v>147450</v>
      </c>
      <c r="U223" s="65" t="str">
        <f>"－"</f>
        <v>－</v>
      </c>
      <c r="V223" s="65">
        <f>137178820</f>
        <v>137178820</v>
      </c>
      <c r="W223" s="65" t="str">
        <f>"－"</f>
        <v>－</v>
      </c>
      <c r="X223" s="69">
        <f>21</f>
        <v>21</v>
      </c>
    </row>
    <row r="224" spans="1:24">
      <c r="A224" s="60" t="s">
        <v>839</v>
      </c>
      <c r="B224" s="60" t="s">
        <v>659</v>
      </c>
      <c r="C224" s="60" t="s">
        <v>660</v>
      </c>
      <c r="D224" s="60" t="s">
        <v>661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901</f>
        <v>901</v>
      </c>
      <c r="L224" s="67" t="s">
        <v>840</v>
      </c>
      <c r="M224" s="66">
        <f>1041</f>
        <v>1041</v>
      </c>
      <c r="N224" s="67" t="s">
        <v>50</v>
      </c>
      <c r="O224" s="66">
        <f>881</f>
        <v>881</v>
      </c>
      <c r="P224" s="67" t="s">
        <v>833</v>
      </c>
      <c r="Q224" s="66">
        <f>1038</f>
        <v>1038</v>
      </c>
      <c r="R224" s="67" t="s">
        <v>50</v>
      </c>
      <c r="S224" s="68">
        <f>962.29</f>
        <v>962.29</v>
      </c>
      <c r="T224" s="65">
        <f>26960</f>
        <v>26960</v>
      </c>
      <c r="U224" s="65" t="str">
        <f>"－"</f>
        <v>－</v>
      </c>
      <c r="V224" s="65">
        <f>26198120</f>
        <v>26198120</v>
      </c>
      <c r="W224" s="65" t="str">
        <f>"－"</f>
        <v>－</v>
      </c>
      <c r="X224" s="69">
        <f>21</f>
        <v>21</v>
      </c>
    </row>
    <row r="225" spans="1:24">
      <c r="A225" s="60" t="s">
        <v>839</v>
      </c>
      <c r="B225" s="60" t="s">
        <v>662</v>
      </c>
      <c r="C225" s="60" t="s">
        <v>663</v>
      </c>
      <c r="D225" s="60" t="s">
        <v>664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760</f>
        <v>760</v>
      </c>
      <c r="L225" s="67" t="s">
        <v>840</v>
      </c>
      <c r="M225" s="66">
        <f>862</f>
        <v>862</v>
      </c>
      <c r="N225" s="67" t="s">
        <v>820</v>
      </c>
      <c r="O225" s="66">
        <f>715</f>
        <v>715</v>
      </c>
      <c r="P225" s="67" t="s">
        <v>48</v>
      </c>
      <c r="Q225" s="66">
        <f>826</f>
        <v>826</v>
      </c>
      <c r="R225" s="67" t="s">
        <v>50</v>
      </c>
      <c r="S225" s="68">
        <f>800.05</f>
        <v>800.05</v>
      </c>
      <c r="T225" s="65">
        <f>551180</f>
        <v>551180</v>
      </c>
      <c r="U225" s="65">
        <f>122690</f>
        <v>122690</v>
      </c>
      <c r="V225" s="65">
        <f>435465417</f>
        <v>435465417</v>
      </c>
      <c r="W225" s="65">
        <f>97489957</f>
        <v>97489957</v>
      </c>
      <c r="X225" s="69">
        <f>21</f>
        <v>21</v>
      </c>
    </row>
    <row r="226" spans="1:24">
      <c r="A226" s="60" t="s">
        <v>839</v>
      </c>
      <c r="B226" s="60" t="s">
        <v>665</v>
      </c>
      <c r="C226" s="60" t="s">
        <v>666</v>
      </c>
      <c r="D226" s="60" t="s">
        <v>667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10</v>
      </c>
      <c r="K226" s="66">
        <f>470</f>
        <v>470</v>
      </c>
      <c r="L226" s="67" t="s">
        <v>840</v>
      </c>
      <c r="M226" s="66">
        <f>620</f>
        <v>620</v>
      </c>
      <c r="N226" s="67" t="s">
        <v>50</v>
      </c>
      <c r="O226" s="66">
        <f>447</f>
        <v>447</v>
      </c>
      <c r="P226" s="67" t="s">
        <v>814</v>
      </c>
      <c r="Q226" s="66">
        <f>604</f>
        <v>604</v>
      </c>
      <c r="R226" s="67" t="s">
        <v>50</v>
      </c>
      <c r="S226" s="68">
        <f>533.67</f>
        <v>533.66999999999996</v>
      </c>
      <c r="T226" s="65">
        <f>4147150</f>
        <v>4147150</v>
      </c>
      <c r="U226" s="65">
        <f>93550</f>
        <v>93550</v>
      </c>
      <c r="V226" s="65">
        <f>2220298201</f>
        <v>2220298201</v>
      </c>
      <c r="W226" s="65">
        <f>45888161</f>
        <v>45888161</v>
      </c>
      <c r="X226" s="69">
        <f>21</f>
        <v>21</v>
      </c>
    </row>
    <row r="227" spans="1:24">
      <c r="A227" s="60" t="s">
        <v>839</v>
      </c>
      <c r="B227" s="60" t="s">
        <v>668</v>
      </c>
      <c r="C227" s="60" t="s">
        <v>669</v>
      </c>
      <c r="D227" s="60" t="s">
        <v>670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934</f>
        <v>934</v>
      </c>
      <c r="L227" s="67" t="s">
        <v>840</v>
      </c>
      <c r="M227" s="66">
        <f>934</f>
        <v>934</v>
      </c>
      <c r="N227" s="67" t="s">
        <v>840</v>
      </c>
      <c r="O227" s="66">
        <f>816</f>
        <v>816</v>
      </c>
      <c r="P227" s="67" t="s">
        <v>833</v>
      </c>
      <c r="Q227" s="66">
        <f>917</f>
        <v>917</v>
      </c>
      <c r="R227" s="67" t="s">
        <v>50</v>
      </c>
      <c r="S227" s="68">
        <f>893.81</f>
        <v>893.81</v>
      </c>
      <c r="T227" s="65">
        <f>400420</f>
        <v>400420</v>
      </c>
      <c r="U227" s="65">
        <f>170000</f>
        <v>170000</v>
      </c>
      <c r="V227" s="65">
        <f>359114550</f>
        <v>359114550</v>
      </c>
      <c r="W227" s="65">
        <f>154512800</f>
        <v>154512800</v>
      </c>
      <c r="X227" s="69">
        <f>21</f>
        <v>21</v>
      </c>
    </row>
    <row r="228" spans="1:24">
      <c r="A228" s="60" t="s">
        <v>839</v>
      </c>
      <c r="B228" s="60" t="s">
        <v>671</v>
      </c>
      <c r="C228" s="60" t="s">
        <v>672</v>
      </c>
      <c r="D228" s="60" t="s">
        <v>673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</v>
      </c>
      <c r="K228" s="66">
        <f>836</f>
        <v>836</v>
      </c>
      <c r="L228" s="67" t="s">
        <v>840</v>
      </c>
      <c r="M228" s="66">
        <f>872</f>
        <v>872</v>
      </c>
      <c r="N228" s="67" t="s">
        <v>72</v>
      </c>
      <c r="O228" s="66">
        <f>796</f>
        <v>796</v>
      </c>
      <c r="P228" s="67" t="s">
        <v>814</v>
      </c>
      <c r="Q228" s="66">
        <f>854</f>
        <v>854</v>
      </c>
      <c r="R228" s="67" t="s">
        <v>50</v>
      </c>
      <c r="S228" s="68">
        <f>844.62</f>
        <v>844.62</v>
      </c>
      <c r="T228" s="65">
        <f>612812</f>
        <v>612812</v>
      </c>
      <c r="U228" s="65">
        <f>398000</f>
        <v>398000</v>
      </c>
      <c r="V228" s="65">
        <f>522629141</f>
        <v>522629141</v>
      </c>
      <c r="W228" s="65">
        <f>343291400</f>
        <v>343291400</v>
      </c>
      <c r="X228" s="69">
        <f>21</f>
        <v>21</v>
      </c>
    </row>
    <row r="229" spans="1:24">
      <c r="A229" s="60" t="s">
        <v>839</v>
      </c>
      <c r="B229" s="60" t="s">
        <v>674</v>
      </c>
      <c r="C229" s="60" t="s">
        <v>675</v>
      </c>
      <c r="D229" s="60" t="s">
        <v>676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10</v>
      </c>
      <c r="K229" s="66">
        <f>945</f>
        <v>945</v>
      </c>
      <c r="L229" s="67" t="s">
        <v>840</v>
      </c>
      <c r="M229" s="66">
        <f>981</f>
        <v>981</v>
      </c>
      <c r="N229" s="67" t="s">
        <v>820</v>
      </c>
      <c r="O229" s="66">
        <f>900</f>
        <v>900</v>
      </c>
      <c r="P229" s="67" t="s">
        <v>833</v>
      </c>
      <c r="Q229" s="66">
        <f>958</f>
        <v>958</v>
      </c>
      <c r="R229" s="67" t="s">
        <v>50</v>
      </c>
      <c r="S229" s="68">
        <f>948.38</f>
        <v>948.38</v>
      </c>
      <c r="T229" s="65">
        <f>39600</f>
        <v>39600</v>
      </c>
      <c r="U229" s="65" t="str">
        <f>"－"</f>
        <v>－</v>
      </c>
      <c r="V229" s="65">
        <f>37654090</f>
        <v>37654090</v>
      </c>
      <c r="W229" s="65" t="str">
        <f>"－"</f>
        <v>－</v>
      </c>
      <c r="X229" s="69">
        <f>21</f>
        <v>21</v>
      </c>
    </row>
    <row r="230" spans="1:24">
      <c r="A230" s="60" t="s">
        <v>839</v>
      </c>
      <c r="B230" s="60" t="s">
        <v>677</v>
      </c>
      <c r="C230" s="60" t="s">
        <v>678</v>
      </c>
      <c r="D230" s="60" t="s">
        <v>679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10</v>
      </c>
      <c r="K230" s="66">
        <f>788</f>
        <v>788</v>
      </c>
      <c r="L230" s="67" t="s">
        <v>840</v>
      </c>
      <c r="M230" s="66">
        <f>854</f>
        <v>854</v>
      </c>
      <c r="N230" s="67" t="s">
        <v>50</v>
      </c>
      <c r="O230" s="66">
        <f>754</f>
        <v>754</v>
      </c>
      <c r="P230" s="67" t="s">
        <v>833</v>
      </c>
      <c r="Q230" s="66">
        <f>854</f>
        <v>854</v>
      </c>
      <c r="R230" s="67" t="s">
        <v>50</v>
      </c>
      <c r="S230" s="68">
        <f>819.86</f>
        <v>819.86</v>
      </c>
      <c r="T230" s="65">
        <f>14330</f>
        <v>14330</v>
      </c>
      <c r="U230" s="65" t="str">
        <f>"－"</f>
        <v>－</v>
      </c>
      <c r="V230" s="65">
        <f>11730620</f>
        <v>11730620</v>
      </c>
      <c r="W230" s="65" t="str">
        <f>"－"</f>
        <v>－</v>
      </c>
      <c r="X230" s="69">
        <f>21</f>
        <v>21</v>
      </c>
    </row>
    <row r="231" spans="1:24">
      <c r="A231" s="60" t="s">
        <v>839</v>
      </c>
      <c r="B231" s="60" t="s">
        <v>680</v>
      </c>
      <c r="C231" s="60" t="s">
        <v>681</v>
      </c>
      <c r="D231" s="60" t="s">
        <v>682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905</f>
        <v>905</v>
      </c>
      <c r="L231" s="67" t="s">
        <v>840</v>
      </c>
      <c r="M231" s="66">
        <f>1039</f>
        <v>1039</v>
      </c>
      <c r="N231" s="67" t="s">
        <v>50</v>
      </c>
      <c r="O231" s="66">
        <f>865</f>
        <v>865</v>
      </c>
      <c r="P231" s="67" t="s">
        <v>833</v>
      </c>
      <c r="Q231" s="66">
        <f>1039</f>
        <v>1039</v>
      </c>
      <c r="R231" s="67" t="s">
        <v>50</v>
      </c>
      <c r="S231" s="68">
        <f>961.95</f>
        <v>961.95</v>
      </c>
      <c r="T231" s="65">
        <f>5486980</f>
        <v>5486980</v>
      </c>
      <c r="U231" s="65">
        <f>4291400</f>
        <v>4291400</v>
      </c>
      <c r="V231" s="65">
        <f>5205105400</f>
        <v>5205105400</v>
      </c>
      <c r="W231" s="65">
        <f>4047857100</f>
        <v>4047857100</v>
      </c>
      <c r="X231" s="69">
        <f>21</f>
        <v>21</v>
      </c>
    </row>
    <row r="232" spans="1:24">
      <c r="A232" s="60" t="s">
        <v>839</v>
      </c>
      <c r="B232" s="60" t="s">
        <v>683</v>
      </c>
      <c r="C232" s="60" t="s">
        <v>684</v>
      </c>
      <c r="D232" s="60" t="s">
        <v>685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</v>
      </c>
      <c r="K232" s="66">
        <f>1868</f>
        <v>1868</v>
      </c>
      <c r="L232" s="67" t="s">
        <v>840</v>
      </c>
      <c r="M232" s="66">
        <f>2225</f>
        <v>2225</v>
      </c>
      <c r="N232" s="67" t="s">
        <v>50</v>
      </c>
      <c r="O232" s="66">
        <f>1831</f>
        <v>1831</v>
      </c>
      <c r="P232" s="67" t="s">
        <v>840</v>
      </c>
      <c r="Q232" s="66">
        <f>2222</f>
        <v>2222</v>
      </c>
      <c r="R232" s="67" t="s">
        <v>50</v>
      </c>
      <c r="S232" s="68">
        <f>2016.19</f>
        <v>2016.19</v>
      </c>
      <c r="T232" s="65">
        <f>30017</f>
        <v>30017</v>
      </c>
      <c r="U232" s="65" t="str">
        <f>"－"</f>
        <v>－</v>
      </c>
      <c r="V232" s="65">
        <f>60902305</f>
        <v>60902305</v>
      </c>
      <c r="W232" s="65" t="str">
        <f>"－"</f>
        <v>－</v>
      </c>
      <c r="X232" s="69">
        <f>21</f>
        <v>21</v>
      </c>
    </row>
    <row r="233" spans="1:24">
      <c r="A233" s="60" t="s">
        <v>839</v>
      </c>
      <c r="B233" s="60" t="s">
        <v>686</v>
      </c>
      <c r="C233" s="60" t="s">
        <v>687</v>
      </c>
      <c r="D233" s="60" t="s">
        <v>688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10</v>
      </c>
      <c r="K233" s="66">
        <f>1218</f>
        <v>1218</v>
      </c>
      <c r="L233" s="67" t="s">
        <v>833</v>
      </c>
      <c r="M233" s="66">
        <f>1345</f>
        <v>1345</v>
      </c>
      <c r="N233" s="67" t="s">
        <v>50</v>
      </c>
      <c r="O233" s="66">
        <f>1199</f>
        <v>1199</v>
      </c>
      <c r="P233" s="67" t="s">
        <v>90</v>
      </c>
      <c r="Q233" s="66">
        <f>1343</f>
        <v>1343</v>
      </c>
      <c r="R233" s="67" t="s">
        <v>50</v>
      </c>
      <c r="S233" s="68">
        <f>1290.3</f>
        <v>1290.3</v>
      </c>
      <c r="T233" s="65">
        <f>440</f>
        <v>440</v>
      </c>
      <c r="U233" s="65" t="str">
        <f>"－"</f>
        <v>－</v>
      </c>
      <c r="V233" s="65">
        <f>569500</f>
        <v>569500</v>
      </c>
      <c r="W233" s="65" t="str">
        <f>"－"</f>
        <v>－</v>
      </c>
      <c r="X233" s="69">
        <f>10</f>
        <v>10</v>
      </c>
    </row>
    <row r="234" spans="1:24">
      <c r="A234" s="60" t="s">
        <v>839</v>
      </c>
      <c r="B234" s="60" t="s">
        <v>689</v>
      </c>
      <c r="C234" s="60" t="s">
        <v>690</v>
      </c>
      <c r="D234" s="60" t="s">
        <v>691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10</v>
      </c>
      <c r="K234" s="66">
        <f>1271</f>
        <v>1271</v>
      </c>
      <c r="L234" s="67" t="s">
        <v>48</v>
      </c>
      <c r="M234" s="66">
        <f>1373</f>
        <v>1373</v>
      </c>
      <c r="N234" s="67" t="s">
        <v>48</v>
      </c>
      <c r="O234" s="66">
        <f>1271</f>
        <v>1271</v>
      </c>
      <c r="P234" s="67" t="s">
        <v>48</v>
      </c>
      <c r="Q234" s="66">
        <f>1373</f>
        <v>1373</v>
      </c>
      <c r="R234" s="67" t="s">
        <v>100</v>
      </c>
      <c r="S234" s="68">
        <f>1373</f>
        <v>1373</v>
      </c>
      <c r="T234" s="65">
        <f>820</f>
        <v>820</v>
      </c>
      <c r="U234" s="65" t="str">
        <f>"－"</f>
        <v>－</v>
      </c>
      <c r="V234" s="65">
        <f>1083110</f>
        <v>1083110</v>
      </c>
      <c r="W234" s="65" t="str">
        <f>"－"</f>
        <v>－</v>
      </c>
      <c r="X234" s="69">
        <f>2</f>
        <v>2</v>
      </c>
    </row>
    <row r="235" spans="1:24">
      <c r="A235" s="60" t="s">
        <v>839</v>
      </c>
      <c r="B235" s="60" t="s">
        <v>692</v>
      </c>
      <c r="C235" s="60" t="s">
        <v>693</v>
      </c>
      <c r="D235" s="60" t="s">
        <v>694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</v>
      </c>
      <c r="K235" s="66">
        <f>18950</f>
        <v>18950</v>
      </c>
      <c r="L235" s="67" t="s">
        <v>814</v>
      </c>
      <c r="M235" s="66">
        <f>20800</f>
        <v>20800</v>
      </c>
      <c r="N235" s="67" t="s">
        <v>119</v>
      </c>
      <c r="O235" s="66">
        <f>18540</f>
        <v>18540</v>
      </c>
      <c r="P235" s="67" t="s">
        <v>48</v>
      </c>
      <c r="Q235" s="66">
        <f>20530</f>
        <v>20530</v>
      </c>
      <c r="R235" s="67" t="s">
        <v>50</v>
      </c>
      <c r="S235" s="68">
        <f>19645</f>
        <v>19645</v>
      </c>
      <c r="T235" s="65">
        <f>823</f>
        <v>823</v>
      </c>
      <c r="U235" s="65" t="str">
        <f>"－"</f>
        <v>－</v>
      </c>
      <c r="V235" s="65">
        <f>16369260</f>
        <v>16369260</v>
      </c>
      <c r="W235" s="65" t="str">
        <f>"－"</f>
        <v>－</v>
      </c>
      <c r="X235" s="69">
        <f>16</f>
        <v>16</v>
      </c>
    </row>
    <row r="236" spans="1:24">
      <c r="A236" s="60" t="s">
        <v>839</v>
      </c>
      <c r="B236" s="60" t="s">
        <v>695</v>
      </c>
      <c r="C236" s="60" t="s">
        <v>696</v>
      </c>
      <c r="D236" s="60" t="s">
        <v>697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</v>
      </c>
      <c r="K236" s="66">
        <f>12870</f>
        <v>12870</v>
      </c>
      <c r="L236" s="67" t="s">
        <v>840</v>
      </c>
      <c r="M236" s="66">
        <f>13370</f>
        <v>13370</v>
      </c>
      <c r="N236" s="67" t="s">
        <v>50</v>
      </c>
      <c r="O236" s="66">
        <f>11980</f>
        <v>11980</v>
      </c>
      <c r="P236" s="67" t="s">
        <v>833</v>
      </c>
      <c r="Q236" s="66">
        <f>13360</f>
        <v>13360</v>
      </c>
      <c r="R236" s="67" t="s">
        <v>50</v>
      </c>
      <c r="S236" s="68">
        <f>12743.33</f>
        <v>12743.33</v>
      </c>
      <c r="T236" s="65">
        <f>396</f>
        <v>396</v>
      </c>
      <c r="U236" s="65" t="str">
        <f>"－"</f>
        <v>－</v>
      </c>
      <c r="V236" s="65">
        <f>5131080</f>
        <v>5131080</v>
      </c>
      <c r="W236" s="65" t="str">
        <f>"－"</f>
        <v>－</v>
      </c>
      <c r="X236" s="69">
        <f>3</f>
        <v>3</v>
      </c>
    </row>
    <row r="237" spans="1:24">
      <c r="A237" s="60" t="s">
        <v>839</v>
      </c>
      <c r="B237" s="60" t="s">
        <v>698</v>
      </c>
      <c r="C237" s="60" t="s">
        <v>699</v>
      </c>
      <c r="D237" s="60" t="s">
        <v>700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10</v>
      </c>
      <c r="K237" s="66">
        <f>865</f>
        <v>865</v>
      </c>
      <c r="L237" s="67" t="s">
        <v>833</v>
      </c>
      <c r="M237" s="66">
        <f>924</f>
        <v>924</v>
      </c>
      <c r="N237" s="67" t="s">
        <v>50</v>
      </c>
      <c r="O237" s="66">
        <f>824</f>
        <v>824</v>
      </c>
      <c r="P237" s="67" t="s">
        <v>833</v>
      </c>
      <c r="Q237" s="66">
        <f>924</f>
        <v>924</v>
      </c>
      <c r="R237" s="67" t="s">
        <v>50</v>
      </c>
      <c r="S237" s="68">
        <f>889.36</f>
        <v>889.36</v>
      </c>
      <c r="T237" s="65">
        <f>73480</f>
        <v>73480</v>
      </c>
      <c r="U237" s="65">
        <f>31490</f>
        <v>31490</v>
      </c>
      <c r="V237" s="65">
        <f>66312470</f>
        <v>66312470</v>
      </c>
      <c r="W237" s="65">
        <f>28370600</f>
        <v>28370600</v>
      </c>
      <c r="X237" s="69">
        <f>11</f>
        <v>11</v>
      </c>
    </row>
    <row r="238" spans="1:24">
      <c r="A238" s="60" t="s">
        <v>839</v>
      </c>
      <c r="B238" s="60" t="s">
        <v>701</v>
      </c>
      <c r="C238" s="60" t="s">
        <v>702</v>
      </c>
      <c r="D238" s="60" t="s">
        <v>703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10</v>
      </c>
      <c r="K238" s="66">
        <f>925</f>
        <v>925</v>
      </c>
      <c r="L238" s="67" t="s">
        <v>840</v>
      </c>
      <c r="M238" s="66">
        <f>930</f>
        <v>930</v>
      </c>
      <c r="N238" s="67" t="s">
        <v>50</v>
      </c>
      <c r="O238" s="66">
        <f>804</f>
        <v>804</v>
      </c>
      <c r="P238" s="67" t="s">
        <v>833</v>
      </c>
      <c r="Q238" s="66">
        <f>911</f>
        <v>911</v>
      </c>
      <c r="R238" s="67" t="s">
        <v>50</v>
      </c>
      <c r="S238" s="68">
        <f>882.76</f>
        <v>882.76</v>
      </c>
      <c r="T238" s="65">
        <f>50190</f>
        <v>50190</v>
      </c>
      <c r="U238" s="65" t="str">
        <f t="shared" ref="U238:U246" si="16">"－"</f>
        <v>－</v>
      </c>
      <c r="V238" s="65">
        <f>43996840</f>
        <v>43996840</v>
      </c>
      <c r="W238" s="65" t="str">
        <f t="shared" ref="W238:W246" si="17">"－"</f>
        <v>－</v>
      </c>
      <c r="X238" s="69">
        <f>21</f>
        <v>21</v>
      </c>
    </row>
    <row r="239" spans="1:24">
      <c r="A239" s="60" t="s">
        <v>839</v>
      </c>
      <c r="B239" s="60" t="s">
        <v>704</v>
      </c>
      <c r="C239" s="60" t="s">
        <v>705</v>
      </c>
      <c r="D239" s="60" t="s">
        <v>706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</v>
      </c>
      <c r="K239" s="66">
        <f>828</f>
        <v>828</v>
      </c>
      <c r="L239" s="67" t="s">
        <v>840</v>
      </c>
      <c r="M239" s="66">
        <f>880</f>
        <v>880</v>
      </c>
      <c r="N239" s="67" t="s">
        <v>50</v>
      </c>
      <c r="O239" s="66">
        <f>760</f>
        <v>760</v>
      </c>
      <c r="P239" s="67" t="s">
        <v>48</v>
      </c>
      <c r="Q239" s="66">
        <f>841</f>
        <v>841</v>
      </c>
      <c r="R239" s="67" t="s">
        <v>50</v>
      </c>
      <c r="S239" s="68">
        <f>815.24</f>
        <v>815.24</v>
      </c>
      <c r="T239" s="65">
        <f>31066</f>
        <v>31066</v>
      </c>
      <c r="U239" s="65" t="str">
        <f t="shared" si="16"/>
        <v>－</v>
      </c>
      <c r="V239" s="65">
        <f>25054997</f>
        <v>25054997</v>
      </c>
      <c r="W239" s="65" t="str">
        <f t="shared" si="17"/>
        <v>－</v>
      </c>
      <c r="X239" s="69">
        <f>21</f>
        <v>21</v>
      </c>
    </row>
    <row r="240" spans="1:24">
      <c r="A240" s="60" t="s">
        <v>839</v>
      </c>
      <c r="B240" s="60" t="s">
        <v>707</v>
      </c>
      <c r="C240" s="60" t="s">
        <v>708</v>
      </c>
      <c r="D240" s="60" t="s">
        <v>709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</v>
      </c>
      <c r="K240" s="66">
        <f>9490</f>
        <v>9490</v>
      </c>
      <c r="L240" s="67" t="s">
        <v>840</v>
      </c>
      <c r="M240" s="66">
        <f>11250</f>
        <v>11250</v>
      </c>
      <c r="N240" s="67" t="s">
        <v>79</v>
      </c>
      <c r="O240" s="66">
        <f>9210</f>
        <v>9210</v>
      </c>
      <c r="P240" s="67" t="s">
        <v>840</v>
      </c>
      <c r="Q240" s="66">
        <f>10000</f>
        <v>10000</v>
      </c>
      <c r="R240" s="67" t="s">
        <v>50</v>
      </c>
      <c r="S240" s="68">
        <f>9733.68</f>
        <v>9733.68</v>
      </c>
      <c r="T240" s="65">
        <f>1702</f>
        <v>1702</v>
      </c>
      <c r="U240" s="65" t="str">
        <f t="shared" si="16"/>
        <v>－</v>
      </c>
      <c r="V240" s="65">
        <f>17159890</f>
        <v>17159890</v>
      </c>
      <c r="W240" s="65" t="str">
        <f t="shared" si="17"/>
        <v>－</v>
      </c>
      <c r="X240" s="69">
        <f>19</f>
        <v>19</v>
      </c>
    </row>
    <row r="241" spans="1:24">
      <c r="A241" s="60" t="s">
        <v>839</v>
      </c>
      <c r="B241" s="60" t="s">
        <v>710</v>
      </c>
      <c r="C241" s="60" t="s">
        <v>711</v>
      </c>
      <c r="D241" s="60" t="s">
        <v>712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</v>
      </c>
      <c r="K241" s="66">
        <f>1706</f>
        <v>1706</v>
      </c>
      <c r="L241" s="67" t="s">
        <v>840</v>
      </c>
      <c r="M241" s="66">
        <f>1808</f>
        <v>1808</v>
      </c>
      <c r="N241" s="67" t="s">
        <v>86</v>
      </c>
      <c r="O241" s="66">
        <f>1510</f>
        <v>1510</v>
      </c>
      <c r="P241" s="67" t="s">
        <v>833</v>
      </c>
      <c r="Q241" s="66">
        <f>1710</f>
        <v>1710</v>
      </c>
      <c r="R241" s="67" t="s">
        <v>50</v>
      </c>
      <c r="S241" s="68">
        <f>1661.14</f>
        <v>1661.14</v>
      </c>
      <c r="T241" s="65">
        <f>10521</f>
        <v>10521</v>
      </c>
      <c r="U241" s="65" t="str">
        <f t="shared" si="16"/>
        <v>－</v>
      </c>
      <c r="V241" s="65">
        <f>17265358</f>
        <v>17265358</v>
      </c>
      <c r="W241" s="65" t="str">
        <f t="shared" si="17"/>
        <v>－</v>
      </c>
      <c r="X241" s="69">
        <f>21</f>
        <v>21</v>
      </c>
    </row>
    <row r="242" spans="1:24">
      <c r="A242" s="60" t="s">
        <v>839</v>
      </c>
      <c r="B242" s="60" t="s">
        <v>713</v>
      </c>
      <c r="C242" s="60" t="s">
        <v>714</v>
      </c>
      <c r="D242" s="60" t="s">
        <v>715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10</v>
      </c>
      <c r="K242" s="66">
        <f>979</f>
        <v>979</v>
      </c>
      <c r="L242" s="67" t="s">
        <v>840</v>
      </c>
      <c r="M242" s="66">
        <f>1048</f>
        <v>1048</v>
      </c>
      <c r="N242" s="67" t="s">
        <v>840</v>
      </c>
      <c r="O242" s="66">
        <f>979</f>
        <v>979</v>
      </c>
      <c r="P242" s="67" t="s">
        <v>840</v>
      </c>
      <c r="Q242" s="66">
        <f>1039</f>
        <v>1039</v>
      </c>
      <c r="R242" s="67" t="s">
        <v>50</v>
      </c>
      <c r="S242" s="68">
        <f>1041.5</f>
        <v>1041.5</v>
      </c>
      <c r="T242" s="65">
        <f>100</f>
        <v>100</v>
      </c>
      <c r="U242" s="65" t="str">
        <f t="shared" si="16"/>
        <v>－</v>
      </c>
      <c r="V242" s="65">
        <f>103070</f>
        <v>103070</v>
      </c>
      <c r="W242" s="65" t="str">
        <f t="shared" si="17"/>
        <v>－</v>
      </c>
      <c r="X242" s="69">
        <f>4</f>
        <v>4</v>
      </c>
    </row>
    <row r="243" spans="1:24">
      <c r="A243" s="60" t="s">
        <v>839</v>
      </c>
      <c r="B243" s="60" t="s">
        <v>716</v>
      </c>
      <c r="C243" s="60" t="s">
        <v>717</v>
      </c>
      <c r="D243" s="60" t="s">
        <v>718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f>960</f>
        <v>960</v>
      </c>
      <c r="L243" s="67" t="s">
        <v>840</v>
      </c>
      <c r="M243" s="66">
        <f>1002</f>
        <v>1002</v>
      </c>
      <c r="N243" s="67" t="s">
        <v>72</v>
      </c>
      <c r="O243" s="66">
        <f>960</f>
        <v>960</v>
      </c>
      <c r="P243" s="67" t="s">
        <v>840</v>
      </c>
      <c r="Q243" s="66">
        <f>991</f>
        <v>991</v>
      </c>
      <c r="R243" s="67" t="s">
        <v>50</v>
      </c>
      <c r="S243" s="68">
        <f>987.19</f>
        <v>987.19</v>
      </c>
      <c r="T243" s="65">
        <f>25690</f>
        <v>25690</v>
      </c>
      <c r="U243" s="65" t="str">
        <f t="shared" si="16"/>
        <v>－</v>
      </c>
      <c r="V243" s="65">
        <f>24951080</f>
        <v>24951080</v>
      </c>
      <c r="W243" s="65" t="str">
        <f t="shared" si="17"/>
        <v>－</v>
      </c>
      <c r="X243" s="69">
        <f>21</f>
        <v>21</v>
      </c>
    </row>
    <row r="244" spans="1:24">
      <c r="A244" s="60" t="s">
        <v>839</v>
      </c>
      <c r="B244" s="60" t="s">
        <v>719</v>
      </c>
      <c r="C244" s="60" t="s">
        <v>720</v>
      </c>
      <c r="D244" s="60" t="s">
        <v>721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1674</f>
        <v>1674</v>
      </c>
      <c r="L244" s="67" t="s">
        <v>840</v>
      </c>
      <c r="M244" s="66">
        <f>1674</f>
        <v>1674</v>
      </c>
      <c r="N244" s="67" t="s">
        <v>840</v>
      </c>
      <c r="O244" s="66">
        <f>1422</f>
        <v>1422</v>
      </c>
      <c r="P244" s="67" t="s">
        <v>814</v>
      </c>
      <c r="Q244" s="66">
        <f>1619</f>
        <v>1619</v>
      </c>
      <c r="R244" s="67" t="s">
        <v>50</v>
      </c>
      <c r="S244" s="68">
        <f>1579.43</f>
        <v>1579.43</v>
      </c>
      <c r="T244" s="65">
        <f>45990</f>
        <v>45990</v>
      </c>
      <c r="U244" s="65" t="str">
        <f t="shared" si="16"/>
        <v>－</v>
      </c>
      <c r="V244" s="65">
        <f>72509050</f>
        <v>72509050</v>
      </c>
      <c r="W244" s="65" t="str">
        <f t="shared" si="17"/>
        <v>－</v>
      </c>
      <c r="X244" s="69">
        <f>21</f>
        <v>21</v>
      </c>
    </row>
    <row r="245" spans="1:24">
      <c r="A245" s="60" t="s">
        <v>839</v>
      </c>
      <c r="B245" s="60" t="s">
        <v>722</v>
      </c>
      <c r="C245" s="60" t="s">
        <v>723</v>
      </c>
      <c r="D245" s="60" t="s">
        <v>724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10</v>
      </c>
      <c r="K245" s="66">
        <f>1683</f>
        <v>1683</v>
      </c>
      <c r="L245" s="67" t="s">
        <v>840</v>
      </c>
      <c r="M245" s="66">
        <f>1683</f>
        <v>1683</v>
      </c>
      <c r="N245" s="67" t="s">
        <v>840</v>
      </c>
      <c r="O245" s="66">
        <f>1419</f>
        <v>1419</v>
      </c>
      <c r="P245" s="67" t="s">
        <v>100</v>
      </c>
      <c r="Q245" s="66">
        <f>1595</f>
        <v>1595</v>
      </c>
      <c r="R245" s="67" t="s">
        <v>50</v>
      </c>
      <c r="S245" s="68">
        <f>1554.57</f>
        <v>1554.57</v>
      </c>
      <c r="T245" s="65">
        <f>15250</f>
        <v>15250</v>
      </c>
      <c r="U245" s="65" t="str">
        <f t="shared" si="16"/>
        <v>－</v>
      </c>
      <c r="V245" s="65">
        <f>23415350</f>
        <v>23415350</v>
      </c>
      <c r="W245" s="65" t="str">
        <f t="shared" si="17"/>
        <v>－</v>
      </c>
      <c r="X245" s="69">
        <f>21</f>
        <v>21</v>
      </c>
    </row>
    <row r="246" spans="1:24">
      <c r="A246" s="60" t="s">
        <v>839</v>
      </c>
      <c r="B246" s="60" t="s">
        <v>725</v>
      </c>
      <c r="C246" s="60" t="s">
        <v>726</v>
      </c>
      <c r="D246" s="60" t="s">
        <v>727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10</v>
      </c>
      <c r="K246" s="66">
        <f>1400</f>
        <v>1400</v>
      </c>
      <c r="L246" s="67" t="s">
        <v>840</v>
      </c>
      <c r="M246" s="66">
        <f>1450</f>
        <v>1450</v>
      </c>
      <c r="N246" s="67" t="s">
        <v>91</v>
      </c>
      <c r="O246" s="66">
        <f>1337</f>
        <v>1337</v>
      </c>
      <c r="P246" s="67" t="s">
        <v>814</v>
      </c>
      <c r="Q246" s="66">
        <f>1450</f>
        <v>1450</v>
      </c>
      <c r="R246" s="67" t="s">
        <v>91</v>
      </c>
      <c r="S246" s="68">
        <f>1404.09</f>
        <v>1404.09</v>
      </c>
      <c r="T246" s="65">
        <f>4370</f>
        <v>4370</v>
      </c>
      <c r="U246" s="65" t="str">
        <f t="shared" si="16"/>
        <v>－</v>
      </c>
      <c r="V246" s="65">
        <f>6163150</f>
        <v>6163150</v>
      </c>
      <c r="W246" s="65" t="str">
        <f t="shared" si="17"/>
        <v>－</v>
      </c>
      <c r="X246" s="69">
        <f>11</f>
        <v>11</v>
      </c>
    </row>
    <row r="247" spans="1:24">
      <c r="A247" s="60" t="s">
        <v>839</v>
      </c>
      <c r="B247" s="60" t="s">
        <v>728</v>
      </c>
      <c r="C247" s="60" t="s">
        <v>729</v>
      </c>
      <c r="D247" s="60" t="s">
        <v>730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</v>
      </c>
      <c r="K247" s="66">
        <f>7960</f>
        <v>7960</v>
      </c>
      <c r="L247" s="67" t="s">
        <v>840</v>
      </c>
      <c r="M247" s="66">
        <f>9010</f>
        <v>9010</v>
      </c>
      <c r="N247" s="67" t="s">
        <v>50</v>
      </c>
      <c r="O247" s="66">
        <f>7600</f>
        <v>7600</v>
      </c>
      <c r="P247" s="67" t="s">
        <v>833</v>
      </c>
      <c r="Q247" s="66">
        <f>9000</f>
        <v>9000</v>
      </c>
      <c r="R247" s="67" t="s">
        <v>50</v>
      </c>
      <c r="S247" s="68">
        <f>8472.38</f>
        <v>8472.3799999999992</v>
      </c>
      <c r="T247" s="65">
        <f>98984</f>
        <v>98984</v>
      </c>
      <c r="U247" s="65">
        <f>116</f>
        <v>116</v>
      </c>
      <c r="V247" s="65">
        <f>839294290</f>
        <v>839294290</v>
      </c>
      <c r="W247" s="65">
        <f>900160</f>
        <v>900160</v>
      </c>
      <c r="X247" s="69">
        <f>21</f>
        <v>21</v>
      </c>
    </row>
    <row r="248" spans="1:24">
      <c r="A248" s="60" t="s">
        <v>839</v>
      </c>
      <c r="B248" s="60" t="s">
        <v>734</v>
      </c>
      <c r="C248" s="60" t="s">
        <v>735</v>
      </c>
      <c r="D248" s="60" t="s">
        <v>736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</v>
      </c>
      <c r="K248" s="66">
        <f>7850</f>
        <v>7850</v>
      </c>
      <c r="L248" s="67" t="s">
        <v>840</v>
      </c>
      <c r="M248" s="66">
        <f>8720</f>
        <v>8720</v>
      </c>
      <c r="N248" s="67" t="s">
        <v>50</v>
      </c>
      <c r="O248" s="66">
        <f>7500</f>
        <v>7500</v>
      </c>
      <c r="P248" s="67" t="s">
        <v>833</v>
      </c>
      <c r="Q248" s="66">
        <f>8700</f>
        <v>8700</v>
      </c>
      <c r="R248" s="67" t="s">
        <v>50</v>
      </c>
      <c r="S248" s="68">
        <f>8262.38</f>
        <v>8262.3799999999992</v>
      </c>
      <c r="T248" s="65">
        <f>67185</f>
        <v>67185</v>
      </c>
      <c r="U248" s="65">
        <f>2</f>
        <v>2</v>
      </c>
      <c r="V248" s="65">
        <f>555047600</f>
        <v>555047600</v>
      </c>
      <c r="W248" s="65">
        <f>17160</f>
        <v>17160</v>
      </c>
      <c r="X248" s="69">
        <f>21</f>
        <v>21</v>
      </c>
    </row>
    <row r="249" spans="1:24">
      <c r="A249" s="60" t="s">
        <v>839</v>
      </c>
      <c r="B249" s="60" t="s">
        <v>824</v>
      </c>
      <c r="C249" s="60" t="s">
        <v>825</v>
      </c>
      <c r="D249" s="60" t="s">
        <v>826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</v>
      </c>
      <c r="K249" s="66">
        <f>17990</f>
        <v>17990</v>
      </c>
      <c r="L249" s="67" t="s">
        <v>833</v>
      </c>
      <c r="M249" s="66">
        <f>19290</f>
        <v>19290</v>
      </c>
      <c r="N249" s="67" t="s">
        <v>49</v>
      </c>
      <c r="O249" s="66">
        <f>17940</f>
        <v>17940</v>
      </c>
      <c r="P249" s="67" t="s">
        <v>833</v>
      </c>
      <c r="Q249" s="66">
        <f>19230</f>
        <v>19230</v>
      </c>
      <c r="R249" s="67" t="s">
        <v>91</v>
      </c>
      <c r="S249" s="68">
        <f>18765</f>
        <v>18765</v>
      </c>
      <c r="T249" s="65">
        <f>74</f>
        <v>74</v>
      </c>
      <c r="U249" s="65" t="str">
        <f>"－"</f>
        <v>－</v>
      </c>
      <c r="V249" s="65">
        <f>1362120</f>
        <v>1362120</v>
      </c>
      <c r="W249" s="65" t="str">
        <f>"－"</f>
        <v>－</v>
      </c>
      <c r="X249" s="69">
        <f>6</f>
        <v>6</v>
      </c>
    </row>
    <row r="250" spans="1:24">
      <c r="A250" s="60" t="s">
        <v>839</v>
      </c>
      <c r="B250" s="60" t="s">
        <v>828</v>
      </c>
      <c r="C250" s="60" t="s">
        <v>829</v>
      </c>
      <c r="D250" s="60" t="s">
        <v>830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2761</f>
        <v>2761</v>
      </c>
      <c r="L250" s="67" t="s">
        <v>840</v>
      </c>
      <c r="M250" s="66">
        <f>2815</f>
        <v>2815</v>
      </c>
      <c r="N250" s="67" t="s">
        <v>814</v>
      </c>
      <c r="O250" s="66">
        <f>2745</f>
        <v>2745</v>
      </c>
      <c r="P250" s="67" t="s">
        <v>49</v>
      </c>
      <c r="Q250" s="66">
        <f>2778</f>
        <v>2778</v>
      </c>
      <c r="R250" s="67" t="s">
        <v>50</v>
      </c>
      <c r="S250" s="68">
        <f>2768.14</f>
        <v>2768.14</v>
      </c>
      <c r="T250" s="65">
        <f>43686</f>
        <v>43686</v>
      </c>
      <c r="U250" s="65" t="str">
        <f>"－"</f>
        <v>－</v>
      </c>
      <c r="V250" s="65">
        <f>120802479</f>
        <v>120802479</v>
      </c>
      <c r="W250" s="65" t="str">
        <f>"－"</f>
        <v>－</v>
      </c>
      <c r="X250" s="69">
        <f>21</f>
        <v>21</v>
      </c>
    </row>
    <row r="251" spans="1:24">
      <c r="A251" s="60" t="s">
        <v>839</v>
      </c>
      <c r="B251" s="60" t="s">
        <v>835</v>
      </c>
      <c r="C251" s="60" t="s">
        <v>836</v>
      </c>
      <c r="D251" s="60" t="s">
        <v>837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10</v>
      </c>
      <c r="K251" s="66">
        <f>1882</f>
        <v>1882</v>
      </c>
      <c r="L251" s="67" t="s">
        <v>840</v>
      </c>
      <c r="M251" s="66">
        <f>2149</f>
        <v>2149</v>
      </c>
      <c r="N251" s="67" t="s">
        <v>50</v>
      </c>
      <c r="O251" s="66">
        <f>1814</f>
        <v>1814</v>
      </c>
      <c r="P251" s="67" t="s">
        <v>833</v>
      </c>
      <c r="Q251" s="66">
        <f>2143</f>
        <v>2143</v>
      </c>
      <c r="R251" s="67" t="s">
        <v>50</v>
      </c>
      <c r="S251" s="68">
        <f>2011.19</f>
        <v>2011.19</v>
      </c>
      <c r="T251" s="65">
        <f>104160</f>
        <v>104160</v>
      </c>
      <c r="U251" s="65" t="str">
        <f>"－"</f>
        <v>－</v>
      </c>
      <c r="V251" s="65">
        <f>217359980</f>
        <v>217359980</v>
      </c>
      <c r="W251" s="65" t="str">
        <f>"－"</f>
        <v>－</v>
      </c>
      <c r="X251" s="69">
        <f>21</f>
        <v>21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2020.12</vt:lpstr>
      <vt:lpstr>2020.11</vt:lpstr>
      <vt:lpstr>2020.10</vt:lpstr>
      <vt:lpstr>2020.09</vt:lpstr>
      <vt:lpstr>2020.08</vt:lpstr>
      <vt:lpstr>2020.07</vt:lpstr>
      <vt:lpstr>2020.06</vt:lpstr>
      <vt:lpstr>2020.05</vt:lpstr>
      <vt:lpstr>2020.04</vt:lpstr>
      <vt:lpstr>2020.03</vt:lpstr>
      <vt:lpstr>2020.02</vt:lpstr>
      <vt:lpstr>2020.01</vt:lpstr>
      <vt:lpstr>'2020.01'!Print_Titles</vt:lpstr>
      <vt:lpstr>'2020.02'!Print_Titles</vt:lpstr>
      <vt:lpstr>'2020.03'!Print_Titles</vt:lpstr>
      <vt:lpstr>'2020.04'!Print_Titles</vt:lpstr>
      <vt:lpstr>'2020.05'!Print_Titles</vt:lpstr>
      <vt:lpstr>'2020.06'!Print_Titles</vt:lpstr>
      <vt:lpstr>'2020.07'!Print_Titles</vt:lpstr>
      <vt:lpstr>'2020.08'!Print_Titles</vt:lpstr>
      <vt:lpstr>'2020.09'!Print_Titles</vt:lpstr>
      <vt:lpstr>'2020.10'!Print_Titles</vt:lpstr>
      <vt:lpstr>'2020.11'!Print_Titles</vt:lpstr>
      <vt:lpstr>'2020.12'!Print_Titles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宇佐美 嘉江</dc:creator>
  <cp:lastModifiedBy>Tokyo Stock Exchange</cp:lastModifiedBy>
  <cp:lastPrinted>2018-08-15T07:59:38Z</cp:lastPrinted>
  <dcterms:created xsi:type="dcterms:W3CDTF">2018-08-07T09:37:32Z</dcterms:created>
  <dcterms:modified xsi:type="dcterms:W3CDTF">2021-01-07T02:18:56Z</dcterms:modified>
</cp:coreProperties>
</file>