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data\月報\geppou\月報1\・HP用データ\HP用相場表-データ\ETF相場表作成\"/>
    </mc:Choice>
  </mc:AlternateContent>
  <xr:revisionPtr revIDLastSave="0" documentId="13_ncr:1_{3AE04E9A-10B3-4FB5-A4C6-B89DBBB1F2F9}" xr6:coauthVersionLast="47" xr6:coauthVersionMax="47" xr10:uidLastSave="{00000000-0000-0000-0000-000000000000}"/>
  <bookViews>
    <workbookView xWindow="-98" yWindow="-98" windowWidth="20715" windowHeight="13276" xr2:uid="{83A47E7C-9A24-47D3-BB6F-FB29FB92B0E2}"/>
  </bookViews>
  <sheets>
    <sheet name="2025.06" sheetId="56" r:id="rId1"/>
    <sheet name="2025.05" sheetId="54" r:id="rId2"/>
    <sheet name="2025.04" sheetId="53" r:id="rId3"/>
    <sheet name="2025.03" sheetId="52" r:id="rId4"/>
    <sheet name="2025.02" sheetId="51" r:id="rId5"/>
    <sheet name="2025.01" sheetId="50" r:id="rId6"/>
  </sheets>
  <definedNames>
    <definedName name="_xlnm._FilterDatabase" localSheetId="4" hidden="1">'2025.02'!$A$6:$X$383</definedName>
    <definedName name="_xlnm.Print_Titles" localSheetId="5">'2025.01'!$1:$6</definedName>
    <definedName name="_xlnm.Print_Titles" localSheetId="4">'2025.02'!$1:$6</definedName>
    <definedName name="_xlnm.Print_Titles" localSheetId="3">'2025.03'!$1:$6</definedName>
    <definedName name="_xlnm.Print_Titles" localSheetId="2">'2025.04'!$1:$6</definedName>
    <definedName name="_xlnm.Print_Titles" localSheetId="1">'2025.05'!$1:$6</definedName>
    <definedName name="_xlnm.Print_Titles" localSheetId="0">'2025.06'!$1:$6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398" i="56" l="1"/>
  <c r="W398" i="56"/>
  <c r="V398" i="56"/>
  <c r="U398" i="56"/>
  <c r="T398" i="56"/>
  <c r="S398" i="56"/>
  <c r="Q398" i="56"/>
  <c r="O398" i="56"/>
  <c r="M398" i="56"/>
  <c r="K398" i="56"/>
  <c r="X397" i="56"/>
  <c r="W397" i="56"/>
  <c r="V397" i="56"/>
  <c r="U397" i="56"/>
  <c r="T397" i="56"/>
  <c r="S397" i="56"/>
  <c r="Q397" i="56"/>
  <c r="O397" i="56"/>
  <c r="M397" i="56"/>
  <c r="K397" i="56"/>
  <c r="X396" i="56"/>
  <c r="W396" i="56"/>
  <c r="V396" i="56"/>
  <c r="U396" i="56"/>
  <c r="T396" i="56"/>
  <c r="S396" i="56"/>
  <c r="Q396" i="56"/>
  <c r="O396" i="56"/>
  <c r="M396" i="56"/>
  <c r="K396" i="56"/>
  <c r="X395" i="56"/>
  <c r="W395" i="56"/>
  <c r="V395" i="56"/>
  <c r="U395" i="56"/>
  <c r="T395" i="56"/>
  <c r="S395" i="56"/>
  <c r="Q395" i="56"/>
  <c r="O395" i="56"/>
  <c r="M395" i="56"/>
  <c r="K395" i="56"/>
  <c r="X394" i="56"/>
  <c r="W394" i="56"/>
  <c r="V394" i="56"/>
  <c r="U394" i="56"/>
  <c r="T394" i="56"/>
  <c r="S394" i="56"/>
  <c r="Q394" i="56"/>
  <c r="O394" i="56"/>
  <c r="M394" i="56"/>
  <c r="K394" i="56"/>
  <c r="X393" i="56"/>
  <c r="W393" i="56"/>
  <c r="V393" i="56"/>
  <c r="U393" i="56"/>
  <c r="T393" i="56"/>
  <c r="S393" i="56"/>
  <c r="Q393" i="56"/>
  <c r="O393" i="56"/>
  <c r="M393" i="56"/>
  <c r="K393" i="56"/>
  <c r="X392" i="56"/>
  <c r="W392" i="56"/>
  <c r="V392" i="56"/>
  <c r="U392" i="56"/>
  <c r="T392" i="56"/>
  <c r="S392" i="56"/>
  <c r="Q392" i="56"/>
  <c r="O392" i="56"/>
  <c r="M392" i="56"/>
  <c r="K392" i="56"/>
  <c r="X391" i="56"/>
  <c r="W391" i="56"/>
  <c r="V391" i="56"/>
  <c r="U391" i="56"/>
  <c r="T391" i="56"/>
  <c r="S391" i="56"/>
  <c r="Q391" i="56"/>
  <c r="O391" i="56"/>
  <c r="M391" i="56"/>
  <c r="K391" i="56"/>
  <c r="X390" i="56"/>
  <c r="W390" i="56"/>
  <c r="V390" i="56"/>
  <c r="U390" i="56"/>
  <c r="T390" i="56"/>
  <c r="S390" i="56"/>
  <c r="Q390" i="56"/>
  <c r="O390" i="56"/>
  <c r="M390" i="56"/>
  <c r="K390" i="56"/>
  <c r="X389" i="56"/>
  <c r="W389" i="56"/>
  <c r="V389" i="56"/>
  <c r="U389" i="56"/>
  <c r="T389" i="56"/>
  <c r="S389" i="56"/>
  <c r="Q389" i="56"/>
  <c r="O389" i="56"/>
  <c r="M389" i="56"/>
  <c r="K389" i="56"/>
  <c r="X388" i="56"/>
  <c r="W388" i="56"/>
  <c r="V388" i="56"/>
  <c r="U388" i="56"/>
  <c r="T388" i="56"/>
  <c r="S388" i="56"/>
  <c r="Q388" i="56"/>
  <c r="O388" i="56"/>
  <c r="M388" i="56"/>
  <c r="K388" i="56"/>
  <c r="X387" i="56"/>
  <c r="W387" i="56"/>
  <c r="V387" i="56"/>
  <c r="U387" i="56"/>
  <c r="T387" i="56"/>
  <c r="S387" i="56"/>
  <c r="Q387" i="56"/>
  <c r="O387" i="56"/>
  <c r="M387" i="56"/>
  <c r="K387" i="56"/>
  <c r="X386" i="56"/>
  <c r="W386" i="56"/>
  <c r="V386" i="56"/>
  <c r="U386" i="56"/>
  <c r="T386" i="56"/>
  <c r="S386" i="56"/>
  <c r="Q386" i="56"/>
  <c r="O386" i="56"/>
  <c r="M386" i="56"/>
  <c r="K386" i="56"/>
  <c r="X385" i="56"/>
  <c r="W385" i="56"/>
  <c r="V385" i="56"/>
  <c r="U385" i="56"/>
  <c r="T385" i="56"/>
  <c r="S385" i="56"/>
  <c r="Q385" i="56"/>
  <c r="O385" i="56"/>
  <c r="M385" i="56"/>
  <c r="K385" i="56"/>
  <c r="X384" i="56"/>
  <c r="W384" i="56"/>
  <c r="V384" i="56"/>
  <c r="U384" i="56"/>
  <c r="T384" i="56"/>
  <c r="S384" i="56"/>
  <c r="Q384" i="56"/>
  <c r="O384" i="56"/>
  <c r="M384" i="56"/>
  <c r="K384" i="56"/>
  <c r="X383" i="56"/>
  <c r="W383" i="56"/>
  <c r="V383" i="56"/>
  <c r="U383" i="56"/>
  <c r="T383" i="56"/>
  <c r="S383" i="56"/>
  <c r="Q383" i="56"/>
  <c r="O383" i="56"/>
  <c r="M383" i="56"/>
  <c r="K383" i="56"/>
  <c r="X382" i="56"/>
  <c r="W382" i="56"/>
  <c r="V382" i="56"/>
  <c r="U382" i="56"/>
  <c r="T382" i="56"/>
  <c r="S382" i="56"/>
  <c r="Q382" i="56"/>
  <c r="O382" i="56"/>
  <c r="M382" i="56"/>
  <c r="K382" i="56"/>
  <c r="X381" i="56"/>
  <c r="W381" i="56"/>
  <c r="V381" i="56"/>
  <c r="U381" i="56"/>
  <c r="T381" i="56"/>
  <c r="S381" i="56"/>
  <c r="Q381" i="56"/>
  <c r="O381" i="56"/>
  <c r="M381" i="56"/>
  <c r="K381" i="56"/>
  <c r="X380" i="56"/>
  <c r="W380" i="56"/>
  <c r="V380" i="56"/>
  <c r="U380" i="56"/>
  <c r="T380" i="56"/>
  <c r="S380" i="56"/>
  <c r="Q380" i="56"/>
  <c r="O380" i="56"/>
  <c r="M380" i="56"/>
  <c r="K380" i="56"/>
  <c r="X379" i="56"/>
  <c r="W379" i="56"/>
  <c r="V379" i="56"/>
  <c r="U379" i="56"/>
  <c r="T379" i="56"/>
  <c r="S379" i="56"/>
  <c r="Q379" i="56"/>
  <c r="O379" i="56"/>
  <c r="M379" i="56"/>
  <c r="K379" i="56"/>
  <c r="X378" i="56"/>
  <c r="W378" i="56"/>
  <c r="V378" i="56"/>
  <c r="U378" i="56"/>
  <c r="T378" i="56"/>
  <c r="S378" i="56"/>
  <c r="Q378" i="56"/>
  <c r="O378" i="56"/>
  <c r="M378" i="56"/>
  <c r="K378" i="56"/>
  <c r="X377" i="56"/>
  <c r="W377" i="56"/>
  <c r="V377" i="56"/>
  <c r="U377" i="56"/>
  <c r="T377" i="56"/>
  <c r="S377" i="56"/>
  <c r="Q377" i="56"/>
  <c r="O377" i="56"/>
  <c r="M377" i="56"/>
  <c r="K377" i="56"/>
  <c r="X376" i="56"/>
  <c r="W376" i="56"/>
  <c r="V376" i="56"/>
  <c r="U376" i="56"/>
  <c r="T376" i="56"/>
  <c r="S376" i="56"/>
  <c r="Q376" i="56"/>
  <c r="O376" i="56"/>
  <c r="M376" i="56"/>
  <c r="K376" i="56"/>
  <c r="X375" i="56"/>
  <c r="W375" i="56"/>
  <c r="V375" i="56"/>
  <c r="U375" i="56"/>
  <c r="T375" i="56"/>
  <c r="S375" i="56"/>
  <c r="Q375" i="56"/>
  <c r="O375" i="56"/>
  <c r="M375" i="56"/>
  <c r="K375" i="56"/>
  <c r="X374" i="56"/>
  <c r="W374" i="56"/>
  <c r="V374" i="56"/>
  <c r="U374" i="56"/>
  <c r="T374" i="56"/>
  <c r="S374" i="56"/>
  <c r="Q374" i="56"/>
  <c r="O374" i="56"/>
  <c r="M374" i="56"/>
  <c r="K374" i="56"/>
  <c r="X373" i="56"/>
  <c r="W373" i="56"/>
  <c r="V373" i="56"/>
  <c r="U373" i="56"/>
  <c r="T373" i="56"/>
  <c r="S373" i="56"/>
  <c r="Q373" i="56"/>
  <c r="O373" i="56"/>
  <c r="M373" i="56"/>
  <c r="K373" i="56"/>
  <c r="X372" i="56"/>
  <c r="W372" i="56"/>
  <c r="V372" i="56"/>
  <c r="U372" i="56"/>
  <c r="T372" i="56"/>
  <c r="S372" i="56"/>
  <c r="Q372" i="56"/>
  <c r="O372" i="56"/>
  <c r="M372" i="56"/>
  <c r="K372" i="56"/>
  <c r="X371" i="56"/>
  <c r="W371" i="56"/>
  <c r="V371" i="56"/>
  <c r="U371" i="56"/>
  <c r="T371" i="56"/>
  <c r="S371" i="56"/>
  <c r="Q371" i="56"/>
  <c r="O371" i="56"/>
  <c r="M371" i="56"/>
  <c r="K371" i="56"/>
  <c r="X370" i="56"/>
  <c r="W370" i="56"/>
  <c r="V370" i="56"/>
  <c r="U370" i="56"/>
  <c r="T370" i="56"/>
  <c r="S370" i="56"/>
  <c r="Q370" i="56"/>
  <c r="O370" i="56"/>
  <c r="M370" i="56"/>
  <c r="K370" i="56"/>
  <c r="X369" i="56"/>
  <c r="W369" i="56"/>
  <c r="V369" i="56"/>
  <c r="U369" i="56"/>
  <c r="T369" i="56"/>
  <c r="S369" i="56"/>
  <c r="Q369" i="56"/>
  <c r="O369" i="56"/>
  <c r="M369" i="56"/>
  <c r="K369" i="56"/>
  <c r="X368" i="56"/>
  <c r="W368" i="56"/>
  <c r="V368" i="56"/>
  <c r="U368" i="56"/>
  <c r="T368" i="56"/>
  <c r="S368" i="56"/>
  <c r="Q368" i="56"/>
  <c r="O368" i="56"/>
  <c r="M368" i="56"/>
  <c r="K368" i="56"/>
  <c r="X367" i="56"/>
  <c r="W367" i="56"/>
  <c r="V367" i="56"/>
  <c r="U367" i="56"/>
  <c r="T367" i="56"/>
  <c r="S367" i="56"/>
  <c r="Q367" i="56"/>
  <c r="O367" i="56"/>
  <c r="M367" i="56"/>
  <c r="K367" i="56"/>
  <c r="X366" i="56"/>
  <c r="W366" i="56"/>
  <c r="V366" i="56"/>
  <c r="U366" i="56"/>
  <c r="T366" i="56"/>
  <c r="S366" i="56"/>
  <c r="Q366" i="56"/>
  <c r="O366" i="56"/>
  <c r="M366" i="56"/>
  <c r="K366" i="56"/>
  <c r="X365" i="56"/>
  <c r="W365" i="56"/>
  <c r="V365" i="56"/>
  <c r="U365" i="56"/>
  <c r="T365" i="56"/>
  <c r="S365" i="56"/>
  <c r="Q365" i="56"/>
  <c r="O365" i="56"/>
  <c r="M365" i="56"/>
  <c r="K365" i="56"/>
  <c r="X364" i="56"/>
  <c r="W364" i="56"/>
  <c r="V364" i="56"/>
  <c r="U364" i="56"/>
  <c r="T364" i="56"/>
  <c r="S364" i="56"/>
  <c r="Q364" i="56"/>
  <c r="O364" i="56"/>
  <c r="M364" i="56"/>
  <c r="K364" i="56"/>
  <c r="X363" i="56"/>
  <c r="W363" i="56"/>
  <c r="V363" i="56"/>
  <c r="U363" i="56"/>
  <c r="T363" i="56"/>
  <c r="S363" i="56"/>
  <c r="Q363" i="56"/>
  <c r="O363" i="56"/>
  <c r="M363" i="56"/>
  <c r="K363" i="56"/>
  <c r="X362" i="56"/>
  <c r="W362" i="56"/>
  <c r="V362" i="56"/>
  <c r="U362" i="56"/>
  <c r="T362" i="56"/>
  <c r="S362" i="56"/>
  <c r="Q362" i="56"/>
  <c r="O362" i="56"/>
  <c r="M362" i="56"/>
  <c r="K362" i="56"/>
  <c r="X361" i="56"/>
  <c r="W361" i="56"/>
  <c r="V361" i="56"/>
  <c r="U361" i="56"/>
  <c r="T361" i="56"/>
  <c r="S361" i="56"/>
  <c r="Q361" i="56"/>
  <c r="O361" i="56"/>
  <c r="M361" i="56"/>
  <c r="K361" i="56"/>
  <c r="X360" i="56"/>
  <c r="W360" i="56"/>
  <c r="V360" i="56"/>
  <c r="U360" i="56"/>
  <c r="T360" i="56"/>
  <c r="S360" i="56"/>
  <c r="Q360" i="56"/>
  <c r="O360" i="56"/>
  <c r="M360" i="56"/>
  <c r="K360" i="56"/>
  <c r="X359" i="56"/>
  <c r="W359" i="56"/>
  <c r="V359" i="56"/>
  <c r="U359" i="56"/>
  <c r="T359" i="56"/>
  <c r="S359" i="56"/>
  <c r="Q359" i="56"/>
  <c r="O359" i="56"/>
  <c r="M359" i="56"/>
  <c r="K359" i="56"/>
  <c r="X358" i="56"/>
  <c r="W358" i="56"/>
  <c r="V358" i="56"/>
  <c r="U358" i="56"/>
  <c r="T358" i="56"/>
  <c r="S358" i="56"/>
  <c r="Q358" i="56"/>
  <c r="O358" i="56"/>
  <c r="M358" i="56"/>
  <c r="K358" i="56"/>
  <c r="X357" i="56"/>
  <c r="W357" i="56"/>
  <c r="V357" i="56"/>
  <c r="U357" i="56"/>
  <c r="T357" i="56"/>
  <c r="S357" i="56"/>
  <c r="Q357" i="56"/>
  <c r="O357" i="56"/>
  <c r="M357" i="56"/>
  <c r="K357" i="56"/>
  <c r="X356" i="56"/>
  <c r="W356" i="56"/>
  <c r="V356" i="56"/>
  <c r="U356" i="56"/>
  <c r="T356" i="56"/>
  <c r="S356" i="56"/>
  <c r="Q356" i="56"/>
  <c r="O356" i="56"/>
  <c r="M356" i="56"/>
  <c r="K356" i="56"/>
  <c r="X355" i="56"/>
  <c r="W355" i="56"/>
  <c r="V355" i="56"/>
  <c r="U355" i="56"/>
  <c r="T355" i="56"/>
  <c r="S355" i="56"/>
  <c r="Q355" i="56"/>
  <c r="O355" i="56"/>
  <c r="M355" i="56"/>
  <c r="K355" i="56"/>
  <c r="X354" i="56"/>
  <c r="W354" i="56"/>
  <c r="V354" i="56"/>
  <c r="U354" i="56"/>
  <c r="T354" i="56"/>
  <c r="S354" i="56"/>
  <c r="Q354" i="56"/>
  <c r="O354" i="56"/>
  <c r="M354" i="56"/>
  <c r="K354" i="56"/>
  <c r="X353" i="56"/>
  <c r="W353" i="56"/>
  <c r="V353" i="56"/>
  <c r="U353" i="56"/>
  <c r="T353" i="56"/>
  <c r="S353" i="56"/>
  <c r="Q353" i="56"/>
  <c r="O353" i="56"/>
  <c r="M353" i="56"/>
  <c r="K353" i="56"/>
  <c r="X352" i="56"/>
  <c r="W352" i="56"/>
  <c r="V352" i="56"/>
  <c r="U352" i="56"/>
  <c r="T352" i="56"/>
  <c r="S352" i="56"/>
  <c r="Q352" i="56"/>
  <c r="O352" i="56"/>
  <c r="M352" i="56"/>
  <c r="K352" i="56"/>
  <c r="X351" i="56"/>
  <c r="W351" i="56"/>
  <c r="V351" i="56"/>
  <c r="U351" i="56"/>
  <c r="T351" i="56"/>
  <c r="S351" i="56"/>
  <c r="Q351" i="56"/>
  <c r="O351" i="56"/>
  <c r="M351" i="56"/>
  <c r="K351" i="56"/>
  <c r="X350" i="56"/>
  <c r="W350" i="56"/>
  <c r="V350" i="56"/>
  <c r="U350" i="56"/>
  <c r="T350" i="56"/>
  <c r="S350" i="56"/>
  <c r="Q350" i="56"/>
  <c r="O350" i="56"/>
  <c r="M350" i="56"/>
  <c r="K350" i="56"/>
  <c r="X349" i="56"/>
  <c r="W349" i="56"/>
  <c r="V349" i="56"/>
  <c r="U349" i="56"/>
  <c r="T349" i="56"/>
  <c r="S349" i="56"/>
  <c r="Q349" i="56"/>
  <c r="O349" i="56"/>
  <c r="M349" i="56"/>
  <c r="K349" i="56"/>
  <c r="X348" i="56"/>
  <c r="W348" i="56"/>
  <c r="V348" i="56"/>
  <c r="U348" i="56"/>
  <c r="T348" i="56"/>
  <c r="S348" i="56"/>
  <c r="Q348" i="56"/>
  <c r="O348" i="56"/>
  <c r="M348" i="56"/>
  <c r="K348" i="56"/>
  <c r="X347" i="56"/>
  <c r="W347" i="56"/>
  <c r="V347" i="56"/>
  <c r="U347" i="56"/>
  <c r="T347" i="56"/>
  <c r="S347" i="56"/>
  <c r="Q347" i="56"/>
  <c r="O347" i="56"/>
  <c r="M347" i="56"/>
  <c r="K347" i="56"/>
  <c r="X346" i="56"/>
  <c r="W346" i="56"/>
  <c r="V346" i="56"/>
  <c r="U346" i="56"/>
  <c r="T346" i="56"/>
  <c r="S346" i="56"/>
  <c r="Q346" i="56"/>
  <c r="O346" i="56"/>
  <c r="M346" i="56"/>
  <c r="K346" i="56"/>
  <c r="X345" i="56"/>
  <c r="W345" i="56"/>
  <c r="V345" i="56"/>
  <c r="U345" i="56"/>
  <c r="T345" i="56"/>
  <c r="S345" i="56"/>
  <c r="Q345" i="56"/>
  <c r="O345" i="56"/>
  <c r="M345" i="56"/>
  <c r="K345" i="56"/>
  <c r="X344" i="56"/>
  <c r="W344" i="56"/>
  <c r="V344" i="56"/>
  <c r="U344" i="56"/>
  <c r="T344" i="56"/>
  <c r="S344" i="56"/>
  <c r="Q344" i="56"/>
  <c r="O344" i="56"/>
  <c r="M344" i="56"/>
  <c r="K344" i="56"/>
  <c r="X343" i="56"/>
  <c r="W343" i="56"/>
  <c r="V343" i="56"/>
  <c r="U343" i="56"/>
  <c r="T343" i="56"/>
  <c r="S343" i="56"/>
  <c r="Q343" i="56"/>
  <c r="O343" i="56"/>
  <c r="M343" i="56"/>
  <c r="K343" i="56"/>
  <c r="X342" i="56"/>
  <c r="W342" i="56"/>
  <c r="V342" i="56"/>
  <c r="U342" i="56"/>
  <c r="T342" i="56"/>
  <c r="S342" i="56"/>
  <c r="Q342" i="56"/>
  <c r="O342" i="56"/>
  <c r="M342" i="56"/>
  <c r="K342" i="56"/>
  <c r="X341" i="56"/>
  <c r="W341" i="56"/>
  <c r="V341" i="56"/>
  <c r="U341" i="56"/>
  <c r="T341" i="56"/>
  <c r="S341" i="56"/>
  <c r="Q341" i="56"/>
  <c r="O341" i="56"/>
  <c r="M341" i="56"/>
  <c r="K341" i="56"/>
  <c r="X340" i="56"/>
  <c r="W340" i="56"/>
  <c r="V340" i="56"/>
  <c r="U340" i="56"/>
  <c r="T340" i="56"/>
  <c r="S340" i="56"/>
  <c r="Q340" i="56"/>
  <c r="O340" i="56"/>
  <c r="M340" i="56"/>
  <c r="K340" i="56"/>
  <c r="X339" i="56"/>
  <c r="W339" i="56"/>
  <c r="V339" i="56"/>
  <c r="U339" i="56"/>
  <c r="T339" i="56"/>
  <c r="S339" i="56"/>
  <c r="Q339" i="56"/>
  <c r="O339" i="56"/>
  <c r="M339" i="56"/>
  <c r="K339" i="56"/>
  <c r="X338" i="56"/>
  <c r="W338" i="56"/>
  <c r="V338" i="56"/>
  <c r="U338" i="56"/>
  <c r="T338" i="56"/>
  <c r="S338" i="56"/>
  <c r="Q338" i="56"/>
  <c r="O338" i="56"/>
  <c r="M338" i="56"/>
  <c r="K338" i="56"/>
  <c r="X337" i="56"/>
  <c r="W337" i="56"/>
  <c r="V337" i="56"/>
  <c r="U337" i="56"/>
  <c r="T337" i="56"/>
  <c r="S337" i="56"/>
  <c r="Q337" i="56"/>
  <c r="O337" i="56"/>
  <c r="M337" i="56"/>
  <c r="K337" i="56"/>
  <c r="X336" i="56"/>
  <c r="W336" i="56"/>
  <c r="V336" i="56"/>
  <c r="U336" i="56"/>
  <c r="T336" i="56"/>
  <c r="S336" i="56"/>
  <c r="Q336" i="56"/>
  <c r="O336" i="56"/>
  <c r="M336" i="56"/>
  <c r="K336" i="56"/>
  <c r="X335" i="56"/>
  <c r="W335" i="56"/>
  <c r="V335" i="56"/>
  <c r="U335" i="56"/>
  <c r="T335" i="56"/>
  <c r="S335" i="56"/>
  <c r="Q335" i="56"/>
  <c r="O335" i="56"/>
  <c r="M335" i="56"/>
  <c r="K335" i="56"/>
  <c r="X334" i="56"/>
  <c r="W334" i="56"/>
  <c r="V334" i="56"/>
  <c r="U334" i="56"/>
  <c r="T334" i="56"/>
  <c r="S334" i="56"/>
  <c r="Q334" i="56"/>
  <c r="O334" i="56"/>
  <c r="M334" i="56"/>
  <c r="K334" i="56"/>
  <c r="X333" i="56"/>
  <c r="W333" i="56"/>
  <c r="V333" i="56"/>
  <c r="U333" i="56"/>
  <c r="T333" i="56"/>
  <c r="S333" i="56"/>
  <c r="Q333" i="56"/>
  <c r="O333" i="56"/>
  <c r="M333" i="56"/>
  <c r="K333" i="56"/>
  <c r="X332" i="56"/>
  <c r="W332" i="56"/>
  <c r="V332" i="56"/>
  <c r="U332" i="56"/>
  <c r="T332" i="56"/>
  <c r="S332" i="56"/>
  <c r="Q332" i="56"/>
  <c r="O332" i="56"/>
  <c r="M332" i="56"/>
  <c r="K332" i="56"/>
  <c r="X331" i="56"/>
  <c r="W331" i="56"/>
  <c r="V331" i="56"/>
  <c r="U331" i="56"/>
  <c r="T331" i="56"/>
  <c r="S331" i="56"/>
  <c r="Q331" i="56"/>
  <c r="O331" i="56"/>
  <c r="M331" i="56"/>
  <c r="K331" i="56"/>
  <c r="X330" i="56"/>
  <c r="W330" i="56"/>
  <c r="V330" i="56"/>
  <c r="U330" i="56"/>
  <c r="T330" i="56"/>
  <c r="S330" i="56"/>
  <c r="Q330" i="56"/>
  <c r="O330" i="56"/>
  <c r="M330" i="56"/>
  <c r="K330" i="56"/>
  <c r="X329" i="56"/>
  <c r="W329" i="56"/>
  <c r="V329" i="56"/>
  <c r="U329" i="56"/>
  <c r="T329" i="56"/>
  <c r="S329" i="56"/>
  <c r="Q329" i="56"/>
  <c r="O329" i="56"/>
  <c r="M329" i="56"/>
  <c r="K329" i="56"/>
  <c r="X328" i="56"/>
  <c r="W328" i="56"/>
  <c r="V328" i="56"/>
  <c r="U328" i="56"/>
  <c r="T328" i="56"/>
  <c r="S328" i="56"/>
  <c r="Q328" i="56"/>
  <c r="O328" i="56"/>
  <c r="M328" i="56"/>
  <c r="K328" i="56"/>
  <c r="X327" i="56"/>
  <c r="W327" i="56"/>
  <c r="V327" i="56"/>
  <c r="U327" i="56"/>
  <c r="T327" i="56"/>
  <c r="S327" i="56"/>
  <c r="Q327" i="56"/>
  <c r="O327" i="56"/>
  <c r="M327" i="56"/>
  <c r="K327" i="56"/>
  <c r="X326" i="56"/>
  <c r="W326" i="56"/>
  <c r="V326" i="56"/>
  <c r="U326" i="56"/>
  <c r="T326" i="56"/>
  <c r="S326" i="56"/>
  <c r="Q326" i="56"/>
  <c r="O326" i="56"/>
  <c r="M326" i="56"/>
  <c r="K326" i="56"/>
  <c r="X325" i="56"/>
  <c r="W325" i="56"/>
  <c r="V325" i="56"/>
  <c r="U325" i="56"/>
  <c r="T325" i="56"/>
  <c r="S325" i="56"/>
  <c r="Q325" i="56"/>
  <c r="O325" i="56"/>
  <c r="M325" i="56"/>
  <c r="K325" i="56"/>
  <c r="X324" i="56"/>
  <c r="W324" i="56"/>
  <c r="V324" i="56"/>
  <c r="U324" i="56"/>
  <c r="T324" i="56"/>
  <c r="S324" i="56"/>
  <c r="Q324" i="56"/>
  <c r="O324" i="56"/>
  <c r="M324" i="56"/>
  <c r="K324" i="56"/>
  <c r="X323" i="56"/>
  <c r="W323" i="56"/>
  <c r="V323" i="56"/>
  <c r="U323" i="56"/>
  <c r="T323" i="56"/>
  <c r="S323" i="56"/>
  <c r="Q323" i="56"/>
  <c r="O323" i="56"/>
  <c r="M323" i="56"/>
  <c r="K323" i="56"/>
  <c r="X322" i="56"/>
  <c r="W322" i="56"/>
  <c r="V322" i="56"/>
  <c r="U322" i="56"/>
  <c r="T322" i="56"/>
  <c r="S322" i="56"/>
  <c r="Q322" i="56"/>
  <c r="O322" i="56"/>
  <c r="M322" i="56"/>
  <c r="K322" i="56"/>
  <c r="X321" i="56"/>
  <c r="W321" i="56"/>
  <c r="V321" i="56"/>
  <c r="U321" i="56"/>
  <c r="T321" i="56"/>
  <c r="S321" i="56"/>
  <c r="Q321" i="56"/>
  <c r="O321" i="56"/>
  <c r="M321" i="56"/>
  <c r="K321" i="56"/>
  <c r="X320" i="56"/>
  <c r="W320" i="56"/>
  <c r="V320" i="56"/>
  <c r="U320" i="56"/>
  <c r="T320" i="56"/>
  <c r="S320" i="56"/>
  <c r="Q320" i="56"/>
  <c r="O320" i="56"/>
  <c r="M320" i="56"/>
  <c r="K320" i="56"/>
  <c r="X319" i="56"/>
  <c r="W319" i="56"/>
  <c r="V319" i="56"/>
  <c r="U319" i="56"/>
  <c r="T319" i="56"/>
  <c r="S319" i="56"/>
  <c r="Q319" i="56"/>
  <c r="O319" i="56"/>
  <c r="M319" i="56"/>
  <c r="K319" i="56"/>
  <c r="X318" i="56"/>
  <c r="W318" i="56"/>
  <c r="V318" i="56"/>
  <c r="U318" i="56"/>
  <c r="T318" i="56"/>
  <c r="S318" i="56"/>
  <c r="Q318" i="56"/>
  <c r="O318" i="56"/>
  <c r="M318" i="56"/>
  <c r="K318" i="56"/>
  <c r="X317" i="56"/>
  <c r="W317" i="56"/>
  <c r="V317" i="56"/>
  <c r="U317" i="56"/>
  <c r="T317" i="56"/>
  <c r="S317" i="56"/>
  <c r="Q317" i="56"/>
  <c r="O317" i="56"/>
  <c r="M317" i="56"/>
  <c r="K317" i="56"/>
  <c r="X316" i="56"/>
  <c r="W316" i="56"/>
  <c r="V316" i="56"/>
  <c r="U316" i="56"/>
  <c r="T316" i="56"/>
  <c r="S316" i="56"/>
  <c r="Q316" i="56"/>
  <c r="O316" i="56"/>
  <c r="M316" i="56"/>
  <c r="K316" i="56"/>
  <c r="X315" i="56"/>
  <c r="W315" i="56"/>
  <c r="V315" i="56"/>
  <c r="U315" i="56"/>
  <c r="T315" i="56"/>
  <c r="S315" i="56"/>
  <c r="Q315" i="56"/>
  <c r="O315" i="56"/>
  <c r="M315" i="56"/>
  <c r="K315" i="56"/>
  <c r="X314" i="56"/>
  <c r="W314" i="56"/>
  <c r="V314" i="56"/>
  <c r="U314" i="56"/>
  <c r="T314" i="56"/>
  <c r="S314" i="56"/>
  <c r="Q314" i="56"/>
  <c r="O314" i="56"/>
  <c r="M314" i="56"/>
  <c r="K314" i="56"/>
  <c r="X313" i="56"/>
  <c r="W313" i="56"/>
  <c r="V313" i="56"/>
  <c r="U313" i="56"/>
  <c r="T313" i="56"/>
  <c r="S313" i="56"/>
  <c r="Q313" i="56"/>
  <c r="O313" i="56"/>
  <c r="M313" i="56"/>
  <c r="K313" i="56"/>
  <c r="X312" i="56"/>
  <c r="W312" i="56"/>
  <c r="V312" i="56"/>
  <c r="U312" i="56"/>
  <c r="T312" i="56"/>
  <c r="S312" i="56"/>
  <c r="Q312" i="56"/>
  <c r="O312" i="56"/>
  <c r="M312" i="56"/>
  <c r="K312" i="56"/>
  <c r="X311" i="56"/>
  <c r="W311" i="56"/>
  <c r="V311" i="56"/>
  <c r="U311" i="56"/>
  <c r="T311" i="56"/>
  <c r="S311" i="56"/>
  <c r="Q311" i="56"/>
  <c r="O311" i="56"/>
  <c r="M311" i="56"/>
  <c r="K311" i="56"/>
  <c r="X310" i="56"/>
  <c r="W310" i="56"/>
  <c r="V310" i="56"/>
  <c r="U310" i="56"/>
  <c r="T310" i="56"/>
  <c r="S310" i="56"/>
  <c r="Q310" i="56"/>
  <c r="O310" i="56"/>
  <c r="M310" i="56"/>
  <c r="K310" i="56"/>
  <c r="X309" i="56"/>
  <c r="W309" i="56"/>
  <c r="V309" i="56"/>
  <c r="U309" i="56"/>
  <c r="T309" i="56"/>
  <c r="S309" i="56"/>
  <c r="Q309" i="56"/>
  <c r="O309" i="56"/>
  <c r="M309" i="56"/>
  <c r="K309" i="56"/>
  <c r="X308" i="56"/>
  <c r="W308" i="56"/>
  <c r="V308" i="56"/>
  <c r="U308" i="56"/>
  <c r="T308" i="56"/>
  <c r="S308" i="56"/>
  <c r="Q308" i="56"/>
  <c r="O308" i="56"/>
  <c r="M308" i="56"/>
  <c r="K308" i="56"/>
  <c r="X307" i="56"/>
  <c r="W307" i="56"/>
  <c r="V307" i="56"/>
  <c r="U307" i="56"/>
  <c r="T307" i="56"/>
  <c r="S307" i="56"/>
  <c r="Q307" i="56"/>
  <c r="O307" i="56"/>
  <c r="M307" i="56"/>
  <c r="K307" i="56"/>
  <c r="X306" i="56"/>
  <c r="W306" i="56"/>
  <c r="V306" i="56"/>
  <c r="U306" i="56"/>
  <c r="T306" i="56"/>
  <c r="S306" i="56"/>
  <c r="Q306" i="56"/>
  <c r="O306" i="56"/>
  <c r="M306" i="56"/>
  <c r="K306" i="56"/>
  <c r="X305" i="56"/>
  <c r="W305" i="56"/>
  <c r="V305" i="56"/>
  <c r="U305" i="56"/>
  <c r="T305" i="56"/>
  <c r="S305" i="56"/>
  <c r="Q305" i="56"/>
  <c r="O305" i="56"/>
  <c r="M305" i="56"/>
  <c r="K305" i="56"/>
  <c r="X304" i="56"/>
  <c r="W304" i="56"/>
  <c r="V304" i="56"/>
  <c r="U304" i="56"/>
  <c r="T304" i="56"/>
  <c r="S304" i="56"/>
  <c r="Q304" i="56"/>
  <c r="O304" i="56"/>
  <c r="M304" i="56"/>
  <c r="K304" i="56"/>
  <c r="X303" i="56"/>
  <c r="W303" i="56"/>
  <c r="V303" i="56"/>
  <c r="U303" i="56"/>
  <c r="T303" i="56"/>
  <c r="S303" i="56"/>
  <c r="Q303" i="56"/>
  <c r="O303" i="56"/>
  <c r="M303" i="56"/>
  <c r="K303" i="56"/>
  <c r="X302" i="56"/>
  <c r="W302" i="56"/>
  <c r="V302" i="56"/>
  <c r="U302" i="56"/>
  <c r="T302" i="56"/>
  <c r="S302" i="56"/>
  <c r="Q302" i="56"/>
  <c r="O302" i="56"/>
  <c r="M302" i="56"/>
  <c r="K302" i="56"/>
  <c r="X301" i="56"/>
  <c r="W301" i="56"/>
  <c r="V301" i="56"/>
  <c r="U301" i="56"/>
  <c r="T301" i="56"/>
  <c r="S301" i="56"/>
  <c r="Q301" i="56"/>
  <c r="O301" i="56"/>
  <c r="M301" i="56"/>
  <c r="K301" i="56"/>
  <c r="X300" i="56"/>
  <c r="W300" i="56"/>
  <c r="V300" i="56"/>
  <c r="U300" i="56"/>
  <c r="T300" i="56"/>
  <c r="S300" i="56"/>
  <c r="Q300" i="56"/>
  <c r="O300" i="56"/>
  <c r="M300" i="56"/>
  <c r="K300" i="56"/>
  <c r="X299" i="56"/>
  <c r="W299" i="56"/>
  <c r="V299" i="56"/>
  <c r="U299" i="56"/>
  <c r="T299" i="56"/>
  <c r="S299" i="56"/>
  <c r="Q299" i="56"/>
  <c r="O299" i="56"/>
  <c r="M299" i="56"/>
  <c r="K299" i="56"/>
  <c r="X298" i="56"/>
  <c r="W298" i="56"/>
  <c r="V298" i="56"/>
  <c r="U298" i="56"/>
  <c r="T298" i="56"/>
  <c r="S298" i="56"/>
  <c r="Q298" i="56"/>
  <c r="O298" i="56"/>
  <c r="M298" i="56"/>
  <c r="K298" i="56"/>
  <c r="X297" i="56"/>
  <c r="W297" i="56"/>
  <c r="V297" i="56"/>
  <c r="U297" i="56"/>
  <c r="T297" i="56"/>
  <c r="S297" i="56"/>
  <c r="Q297" i="56"/>
  <c r="O297" i="56"/>
  <c r="M297" i="56"/>
  <c r="K297" i="56"/>
  <c r="X296" i="56"/>
  <c r="W296" i="56"/>
  <c r="V296" i="56"/>
  <c r="U296" i="56"/>
  <c r="T296" i="56"/>
  <c r="S296" i="56"/>
  <c r="Q296" i="56"/>
  <c r="O296" i="56"/>
  <c r="M296" i="56"/>
  <c r="K296" i="56"/>
  <c r="X295" i="56"/>
  <c r="W295" i="56"/>
  <c r="V295" i="56"/>
  <c r="U295" i="56"/>
  <c r="T295" i="56"/>
  <c r="S295" i="56"/>
  <c r="Q295" i="56"/>
  <c r="O295" i="56"/>
  <c r="M295" i="56"/>
  <c r="K295" i="56"/>
  <c r="X294" i="56"/>
  <c r="W294" i="56"/>
  <c r="V294" i="56"/>
  <c r="U294" i="56"/>
  <c r="T294" i="56"/>
  <c r="S294" i="56"/>
  <c r="Q294" i="56"/>
  <c r="O294" i="56"/>
  <c r="M294" i="56"/>
  <c r="K294" i="56"/>
  <c r="X293" i="56"/>
  <c r="W293" i="56"/>
  <c r="V293" i="56"/>
  <c r="U293" i="56"/>
  <c r="T293" i="56"/>
  <c r="S293" i="56"/>
  <c r="Q293" i="56"/>
  <c r="O293" i="56"/>
  <c r="M293" i="56"/>
  <c r="K293" i="56"/>
  <c r="X292" i="56"/>
  <c r="W292" i="56"/>
  <c r="V292" i="56"/>
  <c r="U292" i="56"/>
  <c r="T292" i="56"/>
  <c r="S292" i="56"/>
  <c r="Q292" i="56"/>
  <c r="O292" i="56"/>
  <c r="M292" i="56"/>
  <c r="K292" i="56"/>
  <c r="X291" i="56"/>
  <c r="W291" i="56"/>
  <c r="V291" i="56"/>
  <c r="U291" i="56"/>
  <c r="T291" i="56"/>
  <c r="S291" i="56"/>
  <c r="Q291" i="56"/>
  <c r="O291" i="56"/>
  <c r="M291" i="56"/>
  <c r="K291" i="56"/>
  <c r="X290" i="56"/>
  <c r="W290" i="56"/>
  <c r="V290" i="56"/>
  <c r="U290" i="56"/>
  <c r="T290" i="56"/>
  <c r="S290" i="56"/>
  <c r="Q290" i="56"/>
  <c r="O290" i="56"/>
  <c r="M290" i="56"/>
  <c r="K290" i="56"/>
  <c r="X289" i="56"/>
  <c r="W289" i="56"/>
  <c r="V289" i="56"/>
  <c r="U289" i="56"/>
  <c r="T289" i="56"/>
  <c r="S289" i="56"/>
  <c r="Q289" i="56"/>
  <c r="O289" i="56"/>
  <c r="M289" i="56"/>
  <c r="K289" i="56"/>
  <c r="X288" i="56"/>
  <c r="W288" i="56"/>
  <c r="V288" i="56"/>
  <c r="U288" i="56"/>
  <c r="T288" i="56"/>
  <c r="S288" i="56"/>
  <c r="Q288" i="56"/>
  <c r="O288" i="56"/>
  <c r="M288" i="56"/>
  <c r="K288" i="56"/>
  <c r="X287" i="56"/>
  <c r="W287" i="56"/>
  <c r="V287" i="56"/>
  <c r="U287" i="56"/>
  <c r="T287" i="56"/>
  <c r="S287" i="56"/>
  <c r="Q287" i="56"/>
  <c r="O287" i="56"/>
  <c r="M287" i="56"/>
  <c r="K287" i="56"/>
  <c r="X286" i="56"/>
  <c r="W286" i="56"/>
  <c r="V286" i="56"/>
  <c r="U286" i="56"/>
  <c r="T286" i="56"/>
  <c r="S286" i="56"/>
  <c r="Q286" i="56"/>
  <c r="O286" i="56"/>
  <c r="M286" i="56"/>
  <c r="K286" i="56"/>
  <c r="X285" i="56"/>
  <c r="W285" i="56"/>
  <c r="V285" i="56"/>
  <c r="U285" i="56"/>
  <c r="T285" i="56"/>
  <c r="S285" i="56"/>
  <c r="Q285" i="56"/>
  <c r="O285" i="56"/>
  <c r="M285" i="56"/>
  <c r="K285" i="56"/>
  <c r="X284" i="56"/>
  <c r="W284" i="56"/>
  <c r="V284" i="56"/>
  <c r="U284" i="56"/>
  <c r="T284" i="56"/>
  <c r="S284" i="56"/>
  <c r="Q284" i="56"/>
  <c r="O284" i="56"/>
  <c r="M284" i="56"/>
  <c r="K284" i="56"/>
  <c r="X283" i="56"/>
  <c r="W283" i="56"/>
  <c r="V283" i="56"/>
  <c r="U283" i="56"/>
  <c r="T283" i="56"/>
  <c r="S283" i="56"/>
  <c r="Q283" i="56"/>
  <c r="O283" i="56"/>
  <c r="M283" i="56"/>
  <c r="K283" i="56"/>
  <c r="X282" i="56"/>
  <c r="W282" i="56"/>
  <c r="V282" i="56"/>
  <c r="U282" i="56"/>
  <c r="T282" i="56"/>
  <c r="S282" i="56"/>
  <c r="Q282" i="56"/>
  <c r="O282" i="56"/>
  <c r="M282" i="56"/>
  <c r="K282" i="56"/>
  <c r="X281" i="56"/>
  <c r="W281" i="56"/>
  <c r="V281" i="56"/>
  <c r="U281" i="56"/>
  <c r="T281" i="56"/>
  <c r="S281" i="56"/>
  <c r="Q281" i="56"/>
  <c r="O281" i="56"/>
  <c r="M281" i="56"/>
  <c r="K281" i="56"/>
  <c r="X280" i="56"/>
  <c r="W280" i="56"/>
  <c r="V280" i="56"/>
  <c r="U280" i="56"/>
  <c r="T280" i="56"/>
  <c r="S280" i="56"/>
  <c r="Q280" i="56"/>
  <c r="O280" i="56"/>
  <c r="M280" i="56"/>
  <c r="K280" i="56"/>
  <c r="X279" i="56"/>
  <c r="W279" i="56"/>
  <c r="V279" i="56"/>
  <c r="U279" i="56"/>
  <c r="T279" i="56"/>
  <c r="S279" i="56"/>
  <c r="Q279" i="56"/>
  <c r="O279" i="56"/>
  <c r="M279" i="56"/>
  <c r="K279" i="56"/>
  <c r="X278" i="56"/>
  <c r="W278" i="56"/>
  <c r="V278" i="56"/>
  <c r="U278" i="56"/>
  <c r="T278" i="56"/>
  <c r="S278" i="56"/>
  <c r="Q278" i="56"/>
  <c r="O278" i="56"/>
  <c r="M278" i="56"/>
  <c r="K278" i="56"/>
  <c r="X277" i="56"/>
  <c r="W277" i="56"/>
  <c r="V277" i="56"/>
  <c r="U277" i="56"/>
  <c r="T277" i="56"/>
  <c r="S277" i="56"/>
  <c r="Q277" i="56"/>
  <c r="O277" i="56"/>
  <c r="M277" i="56"/>
  <c r="K277" i="56"/>
  <c r="X276" i="56"/>
  <c r="W276" i="56"/>
  <c r="V276" i="56"/>
  <c r="U276" i="56"/>
  <c r="T276" i="56"/>
  <c r="S276" i="56"/>
  <c r="Q276" i="56"/>
  <c r="O276" i="56"/>
  <c r="M276" i="56"/>
  <c r="K276" i="56"/>
  <c r="X275" i="56"/>
  <c r="W275" i="56"/>
  <c r="V275" i="56"/>
  <c r="U275" i="56"/>
  <c r="T275" i="56"/>
  <c r="S275" i="56"/>
  <c r="Q275" i="56"/>
  <c r="O275" i="56"/>
  <c r="M275" i="56"/>
  <c r="K275" i="56"/>
  <c r="X274" i="56"/>
  <c r="W274" i="56"/>
  <c r="V274" i="56"/>
  <c r="U274" i="56"/>
  <c r="T274" i="56"/>
  <c r="S274" i="56"/>
  <c r="Q274" i="56"/>
  <c r="O274" i="56"/>
  <c r="M274" i="56"/>
  <c r="K274" i="56"/>
  <c r="X273" i="56"/>
  <c r="W273" i="56"/>
  <c r="V273" i="56"/>
  <c r="U273" i="56"/>
  <c r="T273" i="56"/>
  <c r="S273" i="56"/>
  <c r="Q273" i="56"/>
  <c r="O273" i="56"/>
  <c r="M273" i="56"/>
  <c r="K273" i="56"/>
  <c r="X272" i="56"/>
  <c r="W272" i="56"/>
  <c r="V272" i="56"/>
  <c r="U272" i="56"/>
  <c r="T272" i="56"/>
  <c r="S272" i="56"/>
  <c r="Q272" i="56"/>
  <c r="O272" i="56"/>
  <c r="M272" i="56"/>
  <c r="K272" i="56"/>
  <c r="X271" i="56"/>
  <c r="W271" i="56"/>
  <c r="V271" i="56"/>
  <c r="U271" i="56"/>
  <c r="T271" i="56"/>
  <c r="S271" i="56"/>
  <c r="Q271" i="56"/>
  <c r="O271" i="56"/>
  <c r="M271" i="56"/>
  <c r="K271" i="56"/>
  <c r="X270" i="56"/>
  <c r="W270" i="56"/>
  <c r="V270" i="56"/>
  <c r="U270" i="56"/>
  <c r="T270" i="56"/>
  <c r="S270" i="56"/>
  <c r="Q270" i="56"/>
  <c r="O270" i="56"/>
  <c r="M270" i="56"/>
  <c r="K270" i="56"/>
  <c r="X269" i="56"/>
  <c r="W269" i="56"/>
  <c r="V269" i="56"/>
  <c r="U269" i="56"/>
  <c r="T269" i="56"/>
  <c r="S269" i="56"/>
  <c r="Q269" i="56"/>
  <c r="O269" i="56"/>
  <c r="M269" i="56"/>
  <c r="K269" i="56"/>
  <c r="X268" i="56"/>
  <c r="W268" i="56"/>
  <c r="V268" i="56"/>
  <c r="U268" i="56"/>
  <c r="T268" i="56"/>
  <c r="S268" i="56"/>
  <c r="Q268" i="56"/>
  <c r="O268" i="56"/>
  <c r="M268" i="56"/>
  <c r="K268" i="56"/>
  <c r="X267" i="56"/>
  <c r="W267" i="56"/>
  <c r="V267" i="56"/>
  <c r="U267" i="56"/>
  <c r="T267" i="56"/>
  <c r="S267" i="56"/>
  <c r="Q267" i="56"/>
  <c r="O267" i="56"/>
  <c r="M267" i="56"/>
  <c r="K267" i="56"/>
  <c r="X266" i="56"/>
  <c r="W266" i="56"/>
  <c r="V266" i="56"/>
  <c r="U266" i="56"/>
  <c r="T266" i="56"/>
  <c r="S266" i="56"/>
  <c r="Q266" i="56"/>
  <c r="O266" i="56"/>
  <c r="M266" i="56"/>
  <c r="K266" i="56"/>
  <c r="X265" i="56"/>
  <c r="W265" i="56"/>
  <c r="V265" i="56"/>
  <c r="U265" i="56"/>
  <c r="T265" i="56"/>
  <c r="S265" i="56"/>
  <c r="Q265" i="56"/>
  <c r="O265" i="56"/>
  <c r="M265" i="56"/>
  <c r="K265" i="56"/>
  <c r="X264" i="56"/>
  <c r="W264" i="56"/>
  <c r="V264" i="56"/>
  <c r="U264" i="56"/>
  <c r="T264" i="56"/>
  <c r="S264" i="56"/>
  <c r="Q264" i="56"/>
  <c r="O264" i="56"/>
  <c r="M264" i="56"/>
  <c r="K264" i="56"/>
  <c r="X263" i="56"/>
  <c r="W263" i="56"/>
  <c r="V263" i="56"/>
  <c r="U263" i="56"/>
  <c r="T263" i="56"/>
  <c r="S263" i="56"/>
  <c r="Q263" i="56"/>
  <c r="O263" i="56"/>
  <c r="M263" i="56"/>
  <c r="K263" i="56"/>
  <c r="X262" i="56"/>
  <c r="W262" i="56"/>
  <c r="V262" i="56"/>
  <c r="U262" i="56"/>
  <c r="T262" i="56"/>
  <c r="S262" i="56"/>
  <c r="Q262" i="56"/>
  <c r="O262" i="56"/>
  <c r="M262" i="56"/>
  <c r="K262" i="56"/>
  <c r="X261" i="56"/>
  <c r="W261" i="56"/>
  <c r="V261" i="56"/>
  <c r="U261" i="56"/>
  <c r="T261" i="56"/>
  <c r="S261" i="56"/>
  <c r="Q261" i="56"/>
  <c r="O261" i="56"/>
  <c r="M261" i="56"/>
  <c r="K261" i="56"/>
  <c r="X260" i="56"/>
  <c r="W260" i="56"/>
  <c r="V260" i="56"/>
  <c r="U260" i="56"/>
  <c r="T260" i="56"/>
  <c r="S260" i="56"/>
  <c r="Q260" i="56"/>
  <c r="O260" i="56"/>
  <c r="M260" i="56"/>
  <c r="K260" i="56"/>
  <c r="X259" i="56"/>
  <c r="W259" i="56"/>
  <c r="V259" i="56"/>
  <c r="U259" i="56"/>
  <c r="T259" i="56"/>
  <c r="S259" i="56"/>
  <c r="Q259" i="56"/>
  <c r="O259" i="56"/>
  <c r="M259" i="56"/>
  <c r="K259" i="56"/>
  <c r="X258" i="56"/>
  <c r="W258" i="56"/>
  <c r="V258" i="56"/>
  <c r="U258" i="56"/>
  <c r="T258" i="56"/>
  <c r="S258" i="56"/>
  <c r="Q258" i="56"/>
  <c r="O258" i="56"/>
  <c r="M258" i="56"/>
  <c r="K258" i="56"/>
  <c r="X257" i="56"/>
  <c r="W257" i="56"/>
  <c r="V257" i="56"/>
  <c r="U257" i="56"/>
  <c r="T257" i="56"/>
  <c r="S257" i="56"/>
  <c r="Q257" i="56"/>
  <c r="O257" i="56"/>
  <c r="M257" i="56"/>
  <c r="K257" i="56"/>
  <c r="X256" i="56"/>
  <c r="W256" i="56"/>
  <c r="V256" i="56"/>
  <c r="U256" i="56"/>
  <c r="T256" i="56"/>
  <c r="S256" i="56"/>
  <c r="Q256" i="56"/>
  <c r="O256" i="56"/>
  <c r="M256" i="56"/>
  <c r="K256" i="56"/>
  <c r="X255" i="56"/>
  <c r="W255" i="56"/>
  <c r="V255" i="56"/>
  <c r="U255" i="56"/>
  <c r="T255" i="56"/>
  <c r="S255" i="56"/>
  <c r="Q255" i="56"/>
  <c r="O255" i="56"/>
  <c r="M255" i="56"/>
  <c r="K255" i="56"/>
  <c r="X254" i="56"/>
  <c r="W254" i="56"/>
  <c r="V254" i="56"/>
  <c r="U254" i="56"/>
  <c r="T254" i="56"/>
  <c r="S254" i="56"/>
  <c r="Q254" i="56"/>
  <c r="O254" i="56"/>
  <c r="M254" i="56"/>
  <c r="K254" i="56"/>
  <c r="X253" i="56"/>
  <c r="W253" i="56"/>
  <c r="V253" i="56"/>
  <c r="U253" i="56"/>
  <c r="T253" i="56"/>
  <c r="S253" i="56"/>
  <c r="Q253" i="56"/>
  <c r="O253" i="56"/>
  <c r="M253" i="56"/>
  <c r="K253" i="56"/>
  <c r="X252" i="56"/>
  <c r="W252" i="56"/>
  <c r="V252" i="56"/>
  <c r="U252" i="56"/>
  <c r="T252" i="56"/>
  <c r="S252" i="56"/>
  <c r="Q252" i="56"/>
  <c r="O252" i="56"/>
  <c r="M252" i="56"/>
  <c r="K252" i="56"/>
  <c r="X251" i="56"/>
  <c r="W251" i="56"/>
  <c r="V251" i="56"/>
  <c r="U251" i="56"/>
  <c r="T251" i="56"/>
  <c r="S251" i="56"/>
  <c r="Q251" i="56"/>
  <c r="O251" i="56"/>
  <c r="M251" i="56"/>
  <c r="K251" i="56"/>
  <c r="X250" i="56"/>
  <c r="W250" i="56"/>
  <c r="V250" i="56"/>
  <c r="U250" i="56"/>
  <c r="T250" i="56"/>
  <c r="S250" i="56"/>
  <c r="Q250" i="56"/>
  <c r="O250" i="56"/>
  <c r="M250" i="56"/>
  <c r="K250" i="56"/>
  <c r="X249" i="56"/>
  <c r="W249" i="56"/>
  <c r="V249" i="56"/>
  <c r="U249" i="56"/>
  <c r="T249" i="56"/>
  <c r="S249" i="56"/>
  <c r="Q249" i="56"/>
  <c r="O249" i="56"/>
  <c r="M249" i="56"/>
  <c r="K249" i="56"/>
  <c r="X248" i="56"/>
  <c r="W248" i="56"/>
  <c r="V248" i="56"/>
  <c r="U248" i="56"/>
  <c r="T248" i="56"/>
  <c r="S248" i="56"/>
  <c r="Q248" i="56"/>
  <c r="O248" i="56"/>
  <c r="M248" i="56"/>
  <c r="K248" i="56"/>
  <c r="X247" i="56"/>
  <c r="W247" i="56"/>
  <c r="V247" i="56"/>
  <c r="U247" i="56"/>
  <c r="T247" i="56"/>
  <c r="S247" i="56"/>
  <c r="Q247" i="56"/>
  <c r="O247" i="56"/>
  <c r="M247" i="56"/>
  <c r="K247" i="56"/>
  <c r="X246" i="56"/>
  <c r="W246" i="56"/>
  <c r="V246" i="56"/>
  <c r="U246" i="56"/>
  <c r="T246" i="56"/>
  <c r="S246" i="56"/>
  <c r="Q246" i="56"/>
  <c r="O246" i="56"/>
  <c r="M246" i="56"/>
  <c r="K246" i="56"/>
  <c r="X245" i="56"/>
  <c r="W245" i="56"/>
  <c r="V245" i="56"/>
  <c r="U245" i="56"/>
  <c r="T245" i="56"/>
  <c r="S245" i="56"/>
  <c r="Q245" i="56"/>
  <c r="O245" i="56"/>
  <c r="M245" i="56"/>
  <c r="K245" i="56"/>
  <c r="X244" i="56"/>
  <c r="W244" i="56"/>
  <c r="V244" i="56"/>
  <c r="U244" i="56"/>
  <c r="T244" i="56"/>
  <c r="S244" i="56"/>
  <c r="Q244" i="56"/>
  <c r="O244" i="56"/>
  <c r="M244" i="56"/>
  <c r="K244" i="56"/>
  <c r="X243" i="56"/>
  <c r="W243" i="56"/>
  <c r="V243" i="56"/>
  <c r="U243" i="56"/>
  <c r="T243" i="56"/>
  <c r="S243" i="56"/>
  <c r="Q243" i="56"/>
  <c r="O243" i="56"/>
  <c r="M243" i="56"/>
  <c r="K243" i="56"/>
  <c r="X242" i="56"/>
  <c r="W242" i="56"/>
  <c r="V242" i="56"/>
  <c r="U242" i="56"/>
  <c r="T242" i="56"/>
  <c r="S242" i="56"/>
  <c r="Q242" i="56"/>
  <c r="O242" i="56"/>
  <c r="M242" i="56"/>
  <c r="K242" i="56"/>
  <c r="X241" i="56"/>
  <c r="W241" i="56"/>
  <c r="V241" i="56"/>
  <c r="U241" i="56"/>
  <c r="T241" i="56"/>
  <c r="S241" i="56"/>
  <c r="Q241" i="56"/>
  <c r="O241" i="56"/>
  <c r="M241" i="56"/>
  <c r="K241" i="56"/>
  <c r="X240" i="56"/>
  <c r="W240" i="56"/>
  <c r="V240" i="56"/>
  <c r="U240" i="56"/>
  <c r="T240" i="56"/>
  <c r="S240" i="56"/>
  <c r="Q240" i="56"/>
  <c r="O240" i="56"/>
  <c r="M240" i="56"/>
  <c r="K240" i="56"/>
  <c r="X239" i="56"/>
  <c r="W239" i="56"/>
  <c r="V239" i="56"/>
  <c r="U239" i="56"/>
  <c r="T239" i="56"/>
  <c r="S239" i="56"/>
  <c r="Q239" i="56"/>
  <c r="O239" i="56"/>
  <c r="M239" i="56"/>
  <c r="K239" i="56"/>
  <c r="X238" i="56"/>
  <c r="W238" i="56"/>
  <c r="V238" i="56"/>
  <c r="U238" i="56"/>
  <c r="T238" i="56"/>
  <c r="S238" i="56"/>
  <c r="Q238" i="56"/>
  <c r="O238" i="56"/>
  <c r="M238" i="56"/>
  <c r="K238" i="56"/>
  <c r="X237" i="56"/>
  <c r="W237" i="56"/>
  <c r="V237" i="56"/>
  <c r="U237" i="56"/>
  <c r="T237" i="56"/>
  <c r="S237" i="56"/>
  <c r="Q237" i="56"/>
  <c r="O237" i="56"/>
  <c r="M237" i="56"/>
  <c r="K237" i="56"/>
  <c r="X236" i="56"/>
  <c r="W236" i="56"/>
  <c r="V236" i="56"/>
  <c r="U236" i="56"/>
  <c r="T236" i="56"/>
  <c r="S236" i="56"/>
  <c r="Q236" i="56"/>
  <c r="O236" i="56"/>
  <c r="M236" i="56"/>
  <c r="K236" i="56"/>
  <c r="X235" i="56"/>
  <c r="W235" i="56"/>
  <c r="V235" i="56"/>
  <c r="U235" i="56"/>
  <c r="T235" i="56"/>
  <c r="S235" i="56"/>
  <c r="Q235" i="56"/>
  <c r="O235" i="56"/>
  <c r="M235" i="56"/>
  <c r="K235" i="56"/>
  <c r="X234" i="56"/>
  <c r="W234" i="56"/>
  <c r="V234" i="56"/>
  <c r="U234" i="56"/>
  <c r="T234" i="56"/>
  <c r="S234" i="56"/>
  <c r="Q234" i="56"/>
  <c r="O234" i="56"/>
  <c r="M234" i="56"/>
  <c r="K234" i="56"/>
  <c r="X233" i="56"/>
  <c r="W233" i="56"/>
  <c r="V233" i="56"/>
  <c r="U233" i="56"/>
  <c r="T233" i="56"/>
  <c r="S233" i="56"/>
  <c r="Q233" i="56"/>
  <c r="O233" i="56"/>
  <c r="M233" i="56"/>
  <c r="K233" i="56"/>
  <c r="X232" i="56"/>
  <c r="W232" i="56"/>
  <c r="V232" i="56"/>
  <c r="U232" i="56"/>
  <c r="T232" i="56"/>
  <c r="S232" i="56"/>
  <c r="Q232" i="56"/>
  <c r="O232" i="56"/>
  <c r="M232" i="56"/>
  <c r="K232" i="56"/>
  <c r="X231" i="56"/>
  <c r="W231" i="56"/>
  <c r="V231" i="56"/>
  <c r="U231" i="56"/>
  <c r="T231" i="56"/>
  <c r="S231" i="56"/>
  <c r="Q231" i="56"/>
  <c r="O231" i="56"/>
  <c r="M231" i="56"/>
  <c r="K231" i="56"/>
  <c r="X230" i="56"/>
  <c r="W230" i="56"/>
  <c r="V230" i="56"/>
  <c r="U230" i="56"/>
  <c r="T230" i="56"/>
  <c r="S230" i="56"/>
  <c r="Q230" i="56"/>
  <c r="O230" i="56"/>
  <c r="M230" i="56"/>
  <c r="K230" i="56"/>
  <c r="X229" i="56"/>
  <c r="W229" i="56"/>
  <c r="V229" i="56"/>
  <c r="U229" i="56"/>
  <c r="T229" i="56"/>
  <c r="S229" i="56"/>
  <c r="Q229" i="56"/>
  <c r="O229" i="56"/>
  <c r="M229" i="56"/>
  <c r="K229" i="56"/>
  <c r="X228" i="56"/>
  <c r="W228" i="56"/>
  <c r="V228" i="56"/>
  <c r="U228" i="56"/>
  <c r="T228" i="56"/>
  <c r="S228" i="56"/>
  <c r="Q228" i="56"/>
  <c r="O228" i="56"/>
  <c r="M228" i="56"/>
  <c r="K228" i="56"/>
  <c r="X227" i="56"/>
  <c r="W227" i="56"/>
  <c r="V227" i="56"/>
  <c r="U227" i="56"/>
  <c r="T227" i="56"/>
  <c r="S227" i="56"/>
  <c r="Q227" i="56"/>
  <c r="O227" i="56"/>
  <c r="M227" i="56"/>
  <c r="K227" i="56"/>
  <c r="X226" i="56"/>
  <c r="W226" i="56"/>
  <c r="V226" i="56"/>
  <c r="U226" i="56"/>
  <c r="T226" i="56"/>
  <c r="S226" i="56"/>
  <c r="Q226" i="56"/>
  <c r="O226" i="56"/>
  <c r="M226" i="56"/>
  <c r="K226" i="56"/>
  <c r="X225" i="56"/>
  <c r="W225" i="56"/>
  <c r="V225" i="56"/>
  <c r="U225" i="56"/>
  <c r="T225" i="56"/>
  <c r="S225" i="56"/>
  <c r="Q225" i="56"/>
  <c r="O225" i="56"/>
  <c r="M225" i="56"/>
  <c r="K225" i="56"/>
  <c r="X224" i="56"/>
  <c r="W224" i="56"/>
  <c r="V224" i="56"/>
  <c r="U224" i="56"/>
  <c r="T224" i="56"/>
  <c r="S224" i="56"/>
  <c r="Q224" i="56"/>
  <c r="O224" i="56"/>
  <c r="M224" i="56"/>
  <c r="K224" i="56"/>
  <c r="X223" i="56"/>
  <c r="W223" i="56"/>
  <c r="V223" i="56"/>
  <c r="U223" i="56"/>
  <c r="T223" i="56"/>
  <c r="S223" i="56"/>
  <c r="Q223" i="56"/>
  <c r="O223" i="56"/>
  <c r="M223" i="56"/>
  <c r="K223" i="56"/>
  <c r="X222" i="56"/>
  <c r="W222" i="56"/>
  <c r="V222" i="56"/>
  <c r="U222" i="56"/>
  <c r="T222" i="56"/>
  <c r="S222" i="56"/>
  <c r="Q222" i="56"/>
  <c r="O222" i="56"/>
  <c r="M222" i="56"/>
  <c r="K222" i="56"/>
  <c r="X221" i="56"/>
  <c r="W221" i="56"/>
  <c r="V221" i="56"/>
  <c r="U221" i="56"/>
  <c r="T221" i="56"/>
  <c r="S221" i="56"/>
  <c r="Q221" i="56"/>
  <c r="O221" i="56"/>
  <c r="M221" i="56"/>
  <c r="K221" i="56"/>
  <c r="X220" i="56"/>
  <c r="W220" i="56"/>
  <c r="V220" i="56"/>
  <c r="U220" i="56"/>
  <c r="T220" i="56"/>
  <c r="S220" i="56"/>
  <c r="Q220" i="56"/>
  <c r="O220" i="56"/>
  <c r="M220" i="56"/>
  <c r="K220" i="56"/>
  <c r="X219" i="56"/>
  <c r="W219" i="56"/>
  <c r="V219" i="56"/>
  <c r="U219" i="56"/>
  <c r="T219" i="56"/>
  <c r="S219" i="56"/>
  <c r="Q219" i="56"/>
  <c r="O219" i="56"/>
  <c r="M219" i="56"/>
  <c r="K219" i="56"/>
  <c r="X218" i="56"/>
  <c r="W218" i="56"/>
  <c r="V218" i="56"/>
  <c r="U218" i="56"/>
  <c r="T218" i="56"/>
  <c r="S218" i="56"/>
  <c r="Q218" i="56"/>
  <c r="O218" i="56"/>
  <c r="M218" i="56"/>
  <c r="K218" i="56"/>
  <c r="X217" i="56"/>
  <c r="W217" i="56"/>
  <c r="V217" i="56"/>
  <c r="U217" i="56"/>
  <c r="T217" i="56"/>
  <c r="S217" i="56"/>
  <c r="Q217" i="56"/>
  <c r="O217" i="56"/>
  <c r="M217" i="56"/>
  <c r="K217" i="56"/>
  <c r="X216" i="56"/>
  <c r="W216" i="56"/>
  <c r="V216" i="56"/>
  <c r="U216" i="56"/>
  <c r="T216" i="56"/>
  <c r="S216" i="56"/>
  <c r="Q216" i="56"/>
  <c r="O216" i="56"/>
  <c r="M216" i="56"/>
  <c r="K216" i="56"/>
  <c r="X215" i="56"/>
  <c r="W215" i="56"/>
  <c r="V215" i="56"/>
  <c r="U215" i="56"/>
  <c r="T215" i="56"/>
  <c r="S215" i="56"/>
  <c r="Q215" i="56"/>
  <c r="O215" i="56"/>
  <c r="M215" i="56"/>
  <c r="K215" i="56"/>
  <c r="X214" i="56"/>
  <c r="W214" i="56"/>
  <c r="V214" i="56"/>
  <c r="U214" i="56"/>
  <c r="T214" i="56"/>
  <c r="S214" i="56"/>
  <c r="Q214" i="56"/>
  <c r="O214" i="56"/>
  <c r="M214" i="56"/>
  <c r="K214" i="56"/>
  <c r="X213" i="56"/>
  <c r="W213" i="56"/>
  <c r="V213" i="56"/>
  <c r="U213" i="56"/>
  <c r="T213" i="56"/>
  <c r="S213" i="56"/>
  <c r="Q213" i="56"/>
  <c r="O213" i="56"/>
  <c r="M213" i="56"/>
  <c r="K213" i="56"/>
  <c r="X212" i="56"/>
  <c r="W212" i="56"/>
  <c r="V212" i="56"/>
  <c r="U212" i="56"/>
  <c r="T212" i="56"/>
  <c r="S212" i="56"/>
  <c r="Q212" i="56"/>
  <c r="O212" i="56"/>
  <c r="M212" i="56"/>
  <c r="K212" i="56"/>
  <c r="X211" i="56"/>
  <c r="W211" i="56"/>
  <c r="V211" i="56"/>
  <c r="U211" i="56"/>
  <c r="T211" i="56"/>
  <c r="S211" i="56"/>
  <c r="Q211" i="56"/>
  <c r="O211" i="56"/>
  <c r="M211" i="56"/>
  <c r="K211" i="56"/>
  <c r="X210" i="56"/>
  <c r="W210" i="56"/>
  <c r="V210" i="56"/>
  <c r="U210" i="56"/>
  <c r="T210" i="56"/>
  <c r="S210" i="56"/>
  <c r="Q210" i="56"/>
  <c r="O210" i="56"/>
  <c r="M210" i="56"/>
  <c r="K210" i="56"/>
  <c r="X209" i="56"/>
  <c r="W209" i="56"/>
  <c r="V209" i="56"/>
  <c r="U209" i="56"/>
  <c r="T209" i="56"/>
  <c r="S209" i="56"/>
  <c r="Q209" i="56"/>
  <c r="O209" i="56"/>
  <c r="M209" i="56"/>
  <c r="K209" i="56"/>
  <c r="X208" i="56"/>
  <c r="W208" i="56"/>
  <c r="V208" i="56"/>
  <c r="U208" i="56"/>
  <c r="T208" i="56"/>
  <c r="S208" i="56"/>
  <c r="Q208" i="56"/>
  <c r="O208" i="56"/>
  <c r="M208" i="56"/>
  <c r="K208" i="56"/>
  <c r="X207" i="56"/>
  <c r="W207" i="56"/>
  <c r="V207" i="56"/>
  <c r="U207" i="56"/>
  <c r="T207" i="56"/>
  <c r="S207" i="56"/>
  <c r="Q207" i="56"/>
  <c r="O207" i="56"/>
  <c r="M207" i="56"/>
  <c r="K207" i="56"/>
  <c r="X206" i="56"/>
  <c r="W206" i="56"/>
  <c r="V206" i="56"/>
  <c r="U206" i="56"/>
  <c r="T206" i="56"/>
  <c r="S206" i="56"/>
  <c r="Q206" i="56"/>
  <c r="O206" i="56"/>
  <c r="M206" i="56"/>
  <c r="K206" i="56"/>
  <c r="X205" i="56"/>
  <c r="W205" i="56"/>
  <c r="V205" i="56"/>
  <c r="U205" i="56"/>
  <c r="T205" i="56"/>
  <c r="S205" i="56"/>
  <c r="Q205" i="56"/>
  <c r="O205" i="56"/>
  <c r="M205" i="56"/>
  <c r="K205" i="56"/>
  <c r="X204" i="56"/>
  <c r="W204" i="56"/>
  <c r="V204" i="56"/>
  <c r="U204" i="56"/>
  <c r="T204" i="56"/>
  <c r="S204" i="56"/>
  <c r="Q204" i="56"/>
  <c r="O204" i="56"/>
  <c r="M204" i="56"/>
  <c r="K204" i="56"/>
  <c r="X203" i="56"/>
  <c r="W203" i="56"/>
  <c r="V203" i="56"/>
  <c r="U203" i="56"/>
  <c r="T203" i="56"/>
  <c r="S203" i="56"/>
  <c r="Q203" i="56"/>
  <c r="O203" i="56"/>
  <c r="M203" i="56"/>
  <c r="K203" i="56"/>
  <c r="X202" i="56"/>
  <c r="W202" i="56"/>
  <c r="V202" i="56"/>
  <c r="U202" i="56"/>
  <c r="T202" i="56"/>
  <c r="S202" i="56"/>
  <c r="Q202" i="56"/>
  <c r="O202" i="56"/>
  <c r="M202" i="56"/>
  <c r="K202" i="56"/>
  <c r="X201" i="56"/>
  <c r="W201" i="56"/>
  <c r="V201" i="56"/>
  <c r="U201" i="56"/>
  <c r="T201" i="56"/>
  <c r="S201" i="56"/>
  <c r="Q201" i="56"/>
  <c r="O201" i="56"/>
  <c r="M201" i="56"/>
  <c r="K201" i="56"/>
  <c r="X200" i="56"/>
  <c r="W200" i="56"/>
  <c r="V200" i="56"/>
  <c r="U200" i="56"/>
  <c r="T200" i="56"/>
  <c r="S200" i="56"/>
  <c r="Q200" i="56"/>
  <c r="O200" i="56"/>
  <c r="M200" i="56"/>
  <c r="K200" i="56"/>
  <c r="X199" i="56"/>
  <c r="W199" i="56"/>
  <c r="V199" i="56"/>
  <c r="U199" i="56"/>
  <c r="T199" i="56"/>
  <c r="S199" i="56"/>
  <c r="Q199" i="56"/>
  <c r="O199" i="56"/>
  <c r="M199" i="56"/>
  <c r="K199" i="56"/>
  <c r="X198" i="56"/>
  <c r="W198" i="56"/>
  <c r="V198" i="56"/>
  <c r="U198" i="56"/>
  <c r="T198" i="56"/>
  <c r="S198" i="56"/>
  <c r="Q198" i="56"/>
  <c r="O198" i="56"/>
  <c r="M198" i="56"/>
  <c r="K198" i="56"/>
  <c r="X197" i="56"/>
  <c r="W197" i="56"/>
  <c r="V197" i="56"/>
  <c r="U197" i="56"/>
  <c r="T197" i="56"/>
  <c r="S197" i="56"/>
  <c r="Q197" i="56"/>
  <c r="O197" i="56"/>
  <c r="M197" i="56"/>
  <c r="K197" i="56"/>
  <c r="X196" i="56"/>
  <c r="W196" i="56"/>
  <c r="V196" i="56"/>
  <c r="U196" i="56"/>
  <c r="T196" i="56"/>
  <c r="S196" i="56"/>
  <c r="Q196" i="56"/>
  <c r="O196" i="56"/>
  <c r="M196" i="56"/>
  <c r="K196" i="56"/>
  <c r="X195" i="56"/>
  <c r="W195" i="56"/>
  <c r="V195" i="56"/>
  <c r="U195" i="56"/>
  <c r="T195" i="56"/>
  <c r="S195" i="56"/>
  <c r="Q195" i="56"/>
  <c r="O195" i="56"/>
  <c r="M195" i="56"/>
  <c r="K195" i="56"/>
  <c r="X194" i="56"/>
  <c r="W194" i="56"/>
  <c r="V194" i="56"/>
  <c r="U194" i="56"/>
  <c r="T194" i="56"/>
  <c r="S194" i="56"/>
  <c r="Q194" i="56"/>
  <c r="O194" i="56"/>
  <c r="M194" i="56"/>
  <c r="K194" i="56"/>
  <c r="X193" i="56"/>
  <c r="W193" i="56"/>
  <c r="V193" i="56"/>
  <c r="U193" i="56"/>
  <c r="T193" i="56"/>
  <c r="S193" i="56"/>
  <c r="Q193" i="56"/>
  <c r="O193" i="56"/>
  <c r="M193" i="56"/>
  <c r="K193" i="56"/>
  <c r="X192" i="56"/>
  <c r="W192" i="56"/>
  <c r="V192" i="56"/>
  <c r="U192" i="56"/>
  <c r="T192" i="56"/>
  <c r="S192" i="56"/>
  <c r="Q192" i="56"/>
  <c r="O192" i="56"/>
  <c r="M192" i="56"/>
  <c r="K192" i="56"/>
  <c r="X191" i="56"/>
  <c r="W191" i="56"/>
  <c r="V191" i="56"/>
  <c r="U191" i="56"/>
  <c r="T191" i="56"/>
  <c r="S191" i="56"/>
  <c r="Q191" i="56"/>
  <c r="O191" i="56"/>
  <c r="M191" i="56"/>
  <c r="K191" i="56"/>
  <c r="X190" i="56"/>
  <c r="W190" i="56"/>
  <c r="V190" i="56"/>
  <c r="U190" i="56"/>
  <c r="T190" i="56"/>
  <c r="S190" i="56"/>
  <c r="Q190" i="56"/>
  <c r="O190" i="56"/>
  <c r="M190" i="56"/>
  <c r="K190" i="56"/>
  <c r="X189" i="56"/>
  <c r="W189" i="56"/>
  <c r="V189" i="56"/>
  <c r="U189" i="56"/>
  <c r="T189" i="56"/>
  <c r="S189" i="56"/>
  <c r="Q189" i="56"/>
  <c r="O189" i="56"/>
  <c r="M189" i="56"/>
  <c r="K189" i="56"/>
  <c r="X188" i="56"/>
  <c r="W188" i="56"/>
  <c r="V188" i="56"/>
  <c r="U188" i="56"/>
  <c r="T188" i="56"/>
  <c r="S188" i="56"/>
  <c r="Q188" i="56"/>
  <c r="O188" i="56"/>
  <c r="M188" i="56"/>
  <c r="K188" i="56"/>
  <c r="X187" i="56"/>
  <c r="W187" i="56"/>
  <c r="V187" i="56"/>
  <c r="U187" i="56"/>
  <c r="T187" i="56"/>
  <c r="S187" i="56"/>
  <c r="Q187" i="56"/>
  <c r="O187" i="56"/>
  <c r="M187" i="56"/>
  <c r="K187" i="56"/>
  <c r="X186" i="56"/>
  <c r="W186" i="56"/>
  <c r="V186" i="56"/>
  <c r="U186" i="56"/>
  <c r="T186" i="56"/>
  <c r="S186" i="56"/>
  <c r="Q186" i="56"/>
  <c r="O186" i="56"/>
  <c r="M186" i="56"/>
  <c r="K186" i="56"/>
  <c r="X185" i="56"/>
  <c r="W185" i="56"/>
  <c r="V185" i="56"/>
  <c r="U185" i="56"/>
  <c r="T185" i="56"/>
  <c r="S185" i="56"/>
  <c r="Q185" i="56"/>
  <c r="O185" i="56"/>
  <c r="M185" i="56"/>
  <c r="K185" i="56"/>
  <c r="X184" i="56"/>
  <c r="W184" i="56"/>
  <c r="V184" i="56"/>
  <c r="U184" i="56"/>
  <c r="T184" i="56"/>
  <c r="S184" i="56"/>
  <c r="Q184" i="56"/>
  <c r="O184" i="56"/>
  <c r="M184" i="56"/>
  <c r="K184" i="56"/>
  <c r="X183" i="56"/>
  <c r="W183" i="56"/>
  <c r="V183" i="56"/>
  <c r="U183" i="56"/>
  <c r="T183" i="56"/>
  <c r="S183" i="56"/>
  <c r="Q183" i="56"/>
  <c r="O183" i="56"/>
  <c r="M183" i="56"/>
  <c r="K183" i="56"/>
  <c r="X182" i="56"/>
  <c r="W182" i="56"/>
  <c r="V182" i="56"/>
  <c r="U182" i="56"/>
  <c r="T182" i="56"/>
  <c r="S182" i="56"/>
  <c r="Q182" i="56"/>
  <c r="O182" i="56"/>
  <c r="M182" i="56"/>
  <c r="K182" i="56"/>
  <c r="X181" i="56"/>
  <c r="W181" i="56"/>
  <c r="V181" i="56"/>
  <c r="U181" i="56"/>
  <c r="T181" i="56"/>
  <c r="S181" i="56"/>
  <c r="Q181" i="56"/>
  <c r="O181" i="56"/>
  <c r="M181" i="56"/>
  <c r="K181" i="56"/>
  <c r="X180" i="56"/>
  <c r="W180" i="56"/>
  <c r="V180" i="56"/>
  <c r="U180" i="56"/>
  <c r="T180" i="56"/>
  <c r="S180" i="56"/>
  <c r="Q180" i="56"/>
  <c r="O180" i="56"/>
  <c r="M180" i="56"/>
  <c r="K180" i="56"/>
  <c r="X179" i="56"/>
  <c r="W179" i="56"/>
  <c r="V179" i="56"/>
  <c r="U179" i="56"/>
  <c r="T179" i="56"/>
  <c r="S179" i="56"/>
  <c r="Q179" i="56"/>
  <c r="O179" i="56"/>
  <c r="M179" i="56"/>
  <c r="K179" i="56"/>
  <c r="X178" i="56"/>
  <c r="W178" i="56"/>
  <c r="V178" i="56"/>
  <c r="U178" i="56"/>
  <c r="T178" i="56"/>
  <c r="S178" i="56"/>
  <c r="Q178" i="56"/>
  <c r="O178" i="56"/>
  <c r="M178" i="56"/>
  <c r="K178" i="56"/>
  <c r="X177" i="56"/>
  <c r="W177" i="56"/>
  <c r="V177" i="56"/>
  <c r="U177" i="56"/>
  <c r="T177" i="56"/>
  <c r="S177" i="56"/>
  <c r="Q177" i="56"/>
  <c r="O177" i="56"/>
  <c r="M177" i="56"/>
  <c r="K177" i="56"/>
  <c r="X176" i="56"/>
  <c r="W176" i="56"/>
  <c r="V176" i="56"/>
  <c r="U176" i="56"/>
  <c r="T176" i="56"/>
  <c r="S176" i="56"/>
  <c r="Q176" i="56"/>
  <c r="O176" i="56"/>
  <c r="M176" i="56"/>
  <c r="K176" i="56"/>
  <c r="X175" i="56"/>
  <c r="W175" i="56"/>
  <c r="V175" i="56"/>
  <c r="U175" i="56"/>
  <c r="T175" i="56"/>
  <c r="S175" i="56"/>
  <c r="Q175" i="56"/>
  <c r="O175" i="56"/>
  <c r="M175" i="56"/>
  <c r="K175" i="56"/>
  <c r="X174" i="56"/>
  <c r="W174" i="56"/>
  <c r="V174" i="56"/>
  <c r="U174" i="56"/>
  <c r="T174" i="56"/>
  <c r="S174" i="56"/>
  <c r="Q174" i="56"/>
  <c r="O174" i="56"/>
  <c r="M174" i="56"/>
  <c r="K174" i="56"/>
  <c r="X173" i="56"/>
  <c r="W173" i="56"/>
  <c r="V173" i="56"/>
  <c r="U173" i="56"/>
  <c r="T173" i="56"/>
  <c r="S173" i="56"/>
  <c r="Q173" i="56"/>
  <c r="O173" i="56"/>
  <c r="M173" i="56"/>
  <c r="K173" i="56"/>
  <c r="X172" i="56"/>
  <c r="W172" i="56"/>
  <c r="V172" i="56"/>
  <c r="U172" i="56"/>
  <c r="T172" i="56"/>
  <c r="S172" i="56"/>
  <c r="Q172" i="56"/>
  <c r="O172" i="56"/>
  <c r="M172" i="56"/>
  <c r="K172" i="56"/>
  <c r="X171" i="56"/>
  <c r="W171" i="56"/>
  <c r="V171" i="56"/>
  <c r="U171" i="56"/>
  <c r="T171" i="56"/>
  <c r="S171" i="56"/>
  <c r="Q171" i="56"/>
  <c r="O171" i="56"/>
  <c r="M171" i="56"/>
  <c r="K171" i="56"/>
  <c r="X170" i="56"/>
  <c r="W170" i="56"/>
  <c r="V170" i="56"/>
  <c r="U170" i="56"/>
  <c r="T170" i="56"/>
  <c r="S170" i="56"/>
  <c r="Q170" i="56"/>
  <c r="O170" i="56"/>
  <c r="M170" i="56"/>
  <c r="K170" i="56"/>
  <c r="X169" i="56"/>
  <c r="W169" i="56"/>
  <c r="V169" i="56"/>
  <c r="U169" i="56"/>
  <c r="T169" i="56"/>
  <c r="S169" i="56"/>
  <c r="Q169" i="56"/>
  <c r="O169" i="56"/>
  <c r="M169" i="56"/>
  <c r="K169" i="56"/>
  <c r="X168" i="56"/>
  <c r="W168" i="56"/>
  <c r="V168" i="56"/>
  <c r="U168" i="56"/>
  <c r="T168" i="56"/>
  <c r="S168" i="56"/>
  <c r="Q168" i="56"/>
  <c r="O168" i="56"/>
  <c r="M168" i="56"/>
  <c r="K168" i="56"/>
  <c r="X167" i="56"/>
  <c r="W167" i="56"/>
  <c r="V167" i="56"/>
  <c r="U167" i="56"/>
  <c r="T167" i="56"/>
  <c r="S167" i="56"/>
  <c r="Q167" i="56"/>
  <c r="O167" i="56"/>
  <c r="M167" i="56"/>
  <c r="K167" i="56"/>
  <c r="X166" i="56"/>
  <c r="W166" i="56"/>
  <c r="V166" i="56"/>
  <c r="U166" i="56"/>
  <c r="T166" i="56"/>
  <c r="S166" i="56"/>
  <c r="Q166" i="56"/>
  <c r="O166" i="56"/>
  <c r="M166" i="56"/>
  <c r="K166" i="56"/>
  <c r="X165" i="56"/>
  <c r="W165" i="56"/>
  <c r="V165" i="56"/>
  <c r="U165" i="56"/>
  <c r="T165" i="56"/>
  <c r="S165" i="56"/>
  <c r="Q165" i="56"/>
  <c r="O165" i="56"/>
  <c r="M165" i="56"/>
  <c r="K165" i="56"/>
  <c r="X164" i="56"/>
  <c r="W164" i="56"/>
  <c r="V164" i="56"/>
  <c r="U164" i="56"/>
  <c r="T164" i="56"/>
  <c r="S164" i="56"/>
  <c r="Q164" i="56"/>
  <c r="O164" i="56"/>
  <c r="M164" i="56"/>
  <c r="K164" i="56"/>
  <c r="X163" i="56"/>
  <c r="W163" i="56"/>
  <c r="V163" i="56"/>
  <c r="U163" i="56"/>
  <c r="T163" i="56"/>
  <c r="S163" i="56"/>
  <c r="Q163" i="56"/>
  <c r="O163" i="56"/>
  <c r="M163" i="56"/>
  <c r="K163" i="56"/>
  <c r="X162" i="56"/>
  <c r="W162" i="56"/>
  <c r="V162" i="56"/>
  <c r="U162" i="56"/>
  <c r="T162" i="56"/>
  <c r="S162" i="56"/>
  <c r="Q162" i="56"/>
  <c r="O162" i="56"/>
  <c r="M162" i="56"/>
  <c r="K162" i="56"/>
  <c r="X161" i="56"/>
  <c r="W161" i="56"/>
  <c r="V161" i="56"/>
  <c r="U161" i="56"/>
  <c r="T161" i="56"/>
  <c r="S161" i="56"/>
  <c r="Q161" i="56"/>
  <c r="O161" i="56"/>
  <c r="M161" i="56"/>
  <c r="K161" i="56"/>
  <c r="X160" i="56"/>
  <c r="W160" i="56"/>
  <c r="V160" i="56"/>
  <c r="U160" i="56"/>
  <c r="T160" i="56"/>
  <c r="S160" i="56"/>
  <c r="Q160" i="56"/>
  <c r="O160" i="56"/>
  <c r="M160" i="56"/>
  <c r="K160" i="56"/>
  <c r="X159" i="56"/>
  <c r="W159" i="56"/>
  <c r="V159" i="56"/>
  <c r="U159" i="56"/>
  <c r="T159" i="56"/>
  <c r="S159" i="56"/>
  <c r="Q159" i="56"/>
  <c r="O159" i="56"/>
  <c r="M159" i="56"/>
  <c r="K159" i="56"/>
  <c r="X158" i="56"/>
  <c r="W158" i="56"/>
  <c r="V158" i="56"/>
  <c r="U158" i="56"/>
  <c r="T158" i="56"/>
  <c r="S158" i="56"/>
  <c r="Q158" i="56"/>
  <c r="O158" i="56"/>
  <c r="M158" i="56"/>
  <c r="K158" i="56"/>
  <c r="X157" i="56"/>
  <c r="W157" i="56"/>
  <c r="V157" i="56"/>
  <c r="U157" i="56"/>
  <c r="T157" i="56"/>
  <c r="S157" i="56"/>
  <c r="Q157" i="56"/>
  <c r="O157" i="56"/>
  <c r="M157" i="56"/>
  <c r="K157" i="56"/>
  <c r="X156" i="56"/>
  <c r="W156" i="56"/>
  <c r="V156" i="56"/>
  <c r="U156" i="56"/>
  <c r="T156" i="56"/>
  <c r="S156" i="56"/>
  <c r="Q156" i="56"/>
  <c r="O156" i="56"/>
  <c r="M156" i="56"/>
  <c r="K156" i="56"/>
  <c r="X155" i="56"/>
  <c r="W155" i="56"/>
  <c r="V155" i="56"/>
  <c r="U155" i="56"/>
  <c r="T155" i="56"/>
  <c r="S155" i="56"/>
  <c r="Q155" i="56"/>
  <c r="O155" i="56"/>
  <c r="M155" i="56"/>
  <c r="K155" i="56"/>
  <c r="X154" i="56"/>
  <c r="W154" i="56"/>
  <c r="V154" i="56"/>
  <c r="U154" i="56"/>
  <c r="T154" i="56"/>
  <c r="S154" i="56"/>
  <c r="Q154" i="56"/>
  <c r="O154" i="56"/>
  <c r="M154" i="56"/>
  <c r="K154" i="56"/>
  <c r="X153" i="56"/>
  <c r="W153" i="56"/>
  <c r="V153" i="56"/>
  <c r="U153" i="56"/>
  <c r="T153" i="56"/>
  <c r="S153" i="56"/>
  <c r="Q153" i="56"/>
  <c r="O153" i="56"/>
  <c r="M153" i="56"/>
  <c r="K153" i="56"/>
  <c r="X152" i="56"/>
  <c r="W152" i="56"/>
  <c r="V152" i="56"/>
  <c r="U152" i="56"/>
  <c r="T152" i="56"/>
  <c r="S152" i="56"/>
  <c r="Q152" i="56"/>
  <c r="O152" i="56"/>
  <c r="M152" i="56"/>
  <c r="K152" i="56"/>
  <c r="X151" i="56"/>
  <c r="W151" i="56"/>
  <c r="V151" i="56"/>
  <c r="U151" i="56"/>
  <c r="T151" i="56"/>
  <c r="S151" i="56"/>
  <c r="Q151" i="56"/>
  <c r="O151" i="56"/>
  <c r="M151" i="56"/>
  <c r="K151" i="56"/>
  <c r="X150" i="56"/>
  <c r="W150" i="56"/>
  <c r="V150" i="56"/>
  <c r="U150" i="56"/>
  <c r="T150" i="56"/>
  <c r="S150" i="56"/>
  <c r="Q150" i="56"/>
  <c r="O150" i="56"/>
  <c r="M150" i="56"/>
  <c r="K150" i="56"/>
  <c r="X149" i="56"/>
  <c r="W149" i="56"/>
  <c r="V149" i="56"/>
  <c r="U149" i="56"/>
  <c r="T149" i="56"/>
  <c r="S149" i="56"/>
  <c r="Q149" i="56"/>
  <c r="O149" i="56"/>
  <c r="M149" i="56"/>
  <c r="K149" i="56"/>
  <c r="X148" i="56"/>
  <c r="W148" i="56"/>
  <c r="V148" i="56"/>
  <c r="U148" i="56"/>
  <c r="T148" i="56"/>
  <c r="S148" i="56"/>
  <c r="Q148" i="56"/>
  <c r="O148" i="56"/>
  <c r="M148" i="56"/>
  <c r="K148" i="56"/>
  <c r="X147" i="56"/>
  <c r="W147" i="56"/>
  <c r="V147" i="56"/>
  <c r="U147" i="56"/>
  <c r="T147" i="56"/>
  <c r="S147" i="56"/>
  <c r="Q147" i="56"/>
  <c r="O147" i="56"/>
  <c r="M147" i="56"/>
  <c r="K147" i="56"/>
  <c r="X146" i="56"/>
  <c r="W146" i="56"/>
  <c r="V146" i="56"/>
  <c r="U146" i="56"/>
  <c r="T146" i="56"/>
  <c r="S146" i="56"/>
  <c r="Q146" i="56"/>
  <c r="O146" i="56"/>
  <c r="M146" i="56"/>
  <c r="K146" i="56"/>
  <c r="X145" i="56"/>
  <c r="W145" i="56"/>
  <c r="V145" i="56"/>
  <c r="U145" i="56"/>
  <c r="T145" i="56"/>
  <c r="S145" i="56"/>
  <c r="Q145" i="56"/>
  <c r="O145" i="56"/>
  <c r="M145" i="56"/>
  <c r="K145" i="56"/>
  <c r="X144" i="56"/>
  <c r="W144" i="56"/>
  <c r="V144" i="56"/>
  <c r="U144" i="56"/>
  <c r="T144" i="56"/>
  <c r="S144" i="56"/>
  <c r="Q144" i="56"/>
  <c r="O144" i="56"/>
  <c r="M144" i="56"/>
  <c r="K144" i="56"/>
  <c r="X143" i="56"/>
  <c r="W143" i="56"/>
  <c r="V143" i="56"/>
  <c r="U143" i="56"/>
  <c r="T143" i="56"/>
  <c r="S143" i="56"/>
  <c r="Q143" i="56"/>
  <c r="O143" i="56"/>
  <c r="M143" i="56"/>
  <c r="K143" i="56"/>
  <c r="X142" i="56"/>
  <c r="W142" i="56"/>
  <c r="V142" i="56"/>
  <c r="U142" i="56"/>
  <c r="T142" i="56"/>
  <c r="S142" i="56"/>
  <c r="Q142" i="56"/>
  <c r="O142" i="56"/>
  <c r="M142" i="56"/>
  <c r="K142" i="56"/>
  <c r="X141" i="56"/>
  <c r="W141" i="56"/>
  <c r="V141" i="56"/>
  <c r="U141" i="56"/>
  <c r="T141" i="56"/>
  <c r="S141" i="56"/>
  <c r="Q141" i="56"/>
  <c r="O141" i="56"/>
  <c r="M141" i="56"/>
  <c r="K141" i="56"/>
  <c r="X140" i="56"/>
  <c r="W140" i="56"/>
  <c r="V140" i="56"/>
  <c r="U140" i="56"/>
  <c r="T140" i="56"/>
  <c r="S140" i="56"/>
  <c r="Q140" i="56"/>
  <c r="O140" i="56"/>
  <c r="M140" i="56"/>
  <c r="K140" i="56"/>
  <c r="X139" i="56"/>
  <c r="W139" i="56"/>
  <c r="V139" i="56"/>
  <c r="U139" i="56"/>
  <c r="T139" i="56"/>
  <c r="S139" i="56"/>
  <c r="Q139" i="56"/>
  <c r="O139" i="56"/>
  <c r="M139" i="56"/>
  <c r="K139" i="56"/>
  <c r="X138" i="56"/>
  <c r="W138" i="56"/>
  <c r="V138" i="56"/>
  <c r="U138" i="56"/>
  <c r="T138" i="56"/>
  <c r="S138" i="56"/>
  <c r="Q138" i="56"/>
  <c r="O138" i="56"/>
  <c r="M138" i="56"/>
  <c r="K138" i="56"/>
  <c r="X137" i="56"/>
  <c r="W137" i="56"/>
  <c r="V137" i="56"/>
  <c r="U137" i="56"/>
  <c r="T137" i="56"/>
  <c r="S137" i="56"/>
  <c r="Q137" i="56"/>
  <c r="O137" i="56"/>
  <c r="M137" i="56"/>
  <c r="K137" i="56"/>
  <c r="X136" i="56"/>
  <c r="W136" i="56"/>
  <c r="V136" i="56"/>
  <c r="U136" i="56"/>
  <c r="T136" i="56"/>
  <c r="S136" i="56"/>
  <c r="Q136" i="56"/>
  <c r="O136" i="56"/>
  <c r="M136" i="56"/>
  <c r="K136" i="56"/>
  <c r="X135" i="56"/>
  <c r="W135" i="56"/>
  <c r="V135" i="56"/>
  <c r="U135" i="56"/>
  <c r="T135" i="56"/>
  <c r="S135" i="56"/>
  <c r="Q135" i="56"/>
  <c r="O135" i="56"/>
  <c r="M135" i="56"/>
  <c r="K135" i="56"/>
  <c r="X134" i="56"/>
  <c r="W134" i="56"/>
  <c r="V134" i="56"/>
  <c r="U134" i="56"/>
  <c r="T134" i="56"/>
  <c r="S134" i="56"/>
  <c r="Q134" i="56"/>
  <c r="O134" i="56"/>
  <c r="M134" i="56"/>
  <c r="K134" i="56"/>
  <c r="X133" i="56"/>
  <c r="W133" i="56"/>
  <c r="V133" i="56"/>
  <c r="U133" i="56"/>
  <c r="T133" i="56"/>
  <c r="S133" i="56"/>
  <c r="Q133" i="56"/>
  <c r="O133" i="56"/>
  <c r="M133" i="56"/>
  <c r="K133" i="56"/>
  <c r="X132" i="56"/>
  <c r="W132" i="56"/>
  <c r="V132" i="56"/>
  <c r="U132" i="56"/>
  <c r="T132" i="56"/>
  <c r="S132" i="56"/>
  <c r="Q132" i="56"/>
  <c r="O132" i="56"/>
  <c r="M132" i="56"/>
  <c r="K132" i="56"/>
  <c r="X131" i="56"/>
  <c r="W131" i="56"/>
  <c r="V131" i="56"/>
  <c r="U131" i="56"/>
  <c r="T131" i="56"/>
  <c r="S131" i="56"/>
  <c r="Q131" i="56"/>
  <c r="O131" i="56"/>
  <c r="M131" i="56"/>
  <c r="K131" i="56"/>
  <c r="X130" i="56"/>
  <c r="W130" i="56"/>
  <c r="V130" i="56"/>
  <c r="U130" i="56"/>
  <c r="T130" i="56"/>
  <c r="S130" i="56"/>
  <c r="Q130" i="56"/>
  <c r="O130" i="56"/>
  <c r="M130" i="56"/>
  <c r="K130" i="56"/>
  <c r="X129" i="56"/>
  <c r="W129" i="56"/>
  <c r="V129" i="56"/>
  <c r="U129" i="56"/>
  <c r="T129" i="56"/>
  <c r="S129" i="56"/>
  <c r="Q129" i="56"/>
  <c r="O129" i="56"/>
  <c r="M129" i="56"/>
  <c r="K129" i="56"/>
  <c r="X128" i="56"/>
  <c r="W128" i="56"/>
  <c r="V128" i="56"/>
  <c r="U128" i="56"/>
  <c r="T128" i="56"/>
  <c r="S128" i="56"/>
  <c r="Q128" i="56"/>
  <c r="O128" i="56"/>
  <c r="M128" i="56"/>
  <c r="K128" i="56"/>
  <c r="X127" i="56"/>
  <c r="W127" i="56"/>
  <c r="V127" i="56"/>
  <c r="U127" i="56"/>
  <c r="T127" i="56"/>
  <c r="S127" i="56"/>
  <c r="Q127" i="56"/>
  <c r="O127" i="56"/>
  <c r="M127" i="56"/>
  <c r="K127" i="56"/>
  <c r="X126" i="56"/>
  <c r="W126" i="56"/>
  <c r="V126" i="56"/>
  <c r="U126" i="56"/>
  <c r="T126" i="56"/>
  <c r="S126" i="56"/>
  <c r="Q126" i="56"/>
  <c r="O126" i="56"/>
  <c r="M126" i="56"/>
  <c r="K126" i="56"/>
  <c r="X125" i="56"/>
  <c r="W125" i="56"/>
  <c r="V125" i="56"/>
  <c r="U125" i="56"/>
  <c r="T125" i="56"/>
  <c r="S125" i="56"/>
  <c r="Q125" i="56"/>
  <c r="O125" i="56"/>
  <c r="M125" i="56"/>
  <c r="K125" i="56"/>
  <c r="X124" i="56"/>
  <c r="W124" i="56"/>
  <c r="V124" i="56"/>
  <c r="U124" i="56"/>
  <c r="T124" i="56"/>
  <c r="S124" i="56"/>
  <c r="Q124" i="56"/>
  <c r="O124" i="56"/>
  <c r="M124" i="56"/>
  <c r="K124" i="56"/>
  <c r="X123" i="56"/>
  <c r="W123" i="56"/>
  <c r="V123" i="56"/>
  <c r="U123" i="56"/>
  <c r="T123" i="56"/>
  <c r="S123" i="56"/>
  <c r="Q123" i="56"/>
  <c r="O123" i="56"/>
  <c r="M123" i="56"/>
  <c r="K123" i="56"/>
  <c r="X122" i="56"/>
  <c r="W122" i="56"/>
  <c r="V122" i="56"/>
  <c r="U122" i="56"/>
  <c r="T122" i="56"/>
  <c r="S122" i="56"/>
  <c r="Q122" i="56"/>
  <c r="O122" i="56"/>
  <c r="M122" i="56"/>
  <c r="K122" i="56"/>
  <c r="X121" i="56"/>
  <c r="W121" i="56"/>
  <c r="V121" i="56"/>
  <c r="U121" i="56"/>
  <c r="T121" i="56"/>
  <c r="S121" i="56"/>
  <c r="Q121" i="56"/>
  <c r="O121" i="56"/>
  <c r="M121" i="56"/>
  <c r="K121" i="56"/>
  <c r="X120" i="56"/>
  <c r="W120" i="56"/>
  <c r="V120" i="56"/>
  <c r="U120" i="56"/>
  <c r="T120" i="56"/>
  <c r="S120" i="56"/>
  <c r="Q120" i="56"/>
  <c r="O120" i="56"/>
  <c r="M120" i="56"/>
  <c r="K120" i="56"/>
  <c r="X119" i="56"/>
  <c r="W119" i="56"/>
  <c r="V119" i="56"/>
  <c r="U119" i="56"/>
  <c r="T119" i="56"/>
  <c r="S119" i="56"/>
  <c r="Q119" i="56"/>
  <c r="O119" i="56"/>
  <c r="M119" i="56"/>
  <c r="K119" i="56"/>
  <c r="X118" i="56"/>
  <c r="W118" i="56"/>
  <c r="V118" i="56"/>
  <c r="U118" i="56"/>
  <c r="T118" i="56"/>
  <c r="S118" i="56"/>
  <c r="Q118" i="56"/>
  <c r="O118" i="56"/>
  <c r="M118" i="56"/>
  <c r="K118" i="56"/>
  <c r="X117" i="56"/>
  <c r="W117" i="56"/>
  <c r="V117" i="56"/>
  <c r="U117" i="56"/>
  <c r="T117" i="56"/>
  <c r="S117" i="56"/>
  <c r="Q117" i="56"/>
  <c r="O117" i="56"/>
  <c r="M117" i="56"/>
  <c r="K117" i="56"/>
  <c r="X116" i="56"/>
  <c r="W116" i="56"/>
  <c r="V116" i="56"/>
  <c r="U116" i="56"/>
  <c r="T116" i="56"/>
  <c r="S116" i="56"/>
  <c r="Q116" i="56"/>
  <c r="O116" i="56"/>
  <c r="M116" i="56"/>
  <c r="K116" i="56"/>
  <c r="X115" i="56"/>
  <c r="W115" i="56"/>
  <c r="V115" i="56"/>
  <c r="U115" i="56"/>
  <c r="T115" i="56"/>
  <c r="S115" i="56"/>
  <c r="Q115" i="56"/>
  <c r="O115" i="56"/>
  <c r="M115" i="56"/>
  <c r="K115" i="56"/>
  <c r="X114" i="56"/>
  <c r="W114" i="56"/>
  <c r="V114" i="56"/>
  <c r="U114" i="56"/>
  <c r="T114" i="56"/>
  <c r="S114" i="56"/>
  <c r="Q114" i="56"/>
  <c r="O114" i="56"/>
  <c r="M114" i="56"/>
  <c r="K114" i="56"/>
  <c r="X113" i="56"/>
  <c r="W113" i="56"/>
  <c r="V113" i="56"/>
  <c r="U113" i="56"/>
  <c r="T113" i="56"/>
  <c r="S113" i="56"/>
  <c r="Q113" i="56"/>
  <c r="O113" i="56"/>
  <c r="M113" i="56"/>
  <c r="K113" i="56"/>
  <c r="X112" i="56"/>
  <c r="W112" i="56"/>
  <c r="V112" i="56"/>
  <c r="U112" i="56"/>
  <c r="T112" i="56"/>
  <c r="S112" i="56"/>
  <c r="Q112" i="56"/>
  <c r="O112" i="56"/>
  <c r="M112" i="56"/>
  <c r="K112" i="56"/>
  <c r="X111" i="56"/>
  <c r="W111" i="56"/>
  <c r="V111" i="56"/>
  <c r="U111" i="56"/>
  <c r="T111" i="56"/>
  <c r="S111" i="56"/>
  <c r="Q111" i="56"/>
  <c r="O111" i="56"/>
  <c r="M111" i="56"/>
  <c r="K111" i="56"/>
  <c r="X110" i="56"/>
  <c r="W110" i="56"/>
  <c r="V110" i="56"/>
  <c r="U110" i="56"/>
  <c r="T110" i="56"/>
  <c r="S110" i="56"/>
  <c r="Q110" i="56"/>
  <c r="O110" i="56"/>
  <c r="M110" i="56"/>
  <c r="K110" i="56"/>
  <c r="X109" i="56"/>
  <c r="W109" i="56"/>
  <c r="V109" i="56"/>
  <c r="U109" i="56"/>
  <c r="T109" i="56"/>
  <c r="S109" i="56"/>
  <c r="Q109" i="56"/>
  <c r="O109" i="56"/>
  <c r="M109" i="56"/>
  <c r="K109" i="56"/>
  <c r="X108" i="56"/>
  <c r="W108" i="56"/>
  <c r="V108" i="56"/>
  <c r="U108" i="56"/>
  <c r="T108" i="56"/>
  <c r="S108" i="56"/>
  <c r="Q108" i="56"/>
  <c r="O108" i="56"/>
  <c r="M108" i="56"/>
  <c r="K108" i="56"/>
  <c r="X107" i="56"/>
  <c r="W107" i="56"/>
  <c r="V107" i="56"/>
  <c r="U107" i="56"/>
  <c r="T107" i="56"/>
  <c r="S107" i="56"/>
  <c r="Q107" i="56"/>
  <c r="O107" i="56"/>
  <c r="M107" i="56"/>
  <c r="K107" i="56"/>
  <c r="X106" i="56"/>
  <c r="W106" i="56"/>
  <c r="V106" i="56"/>
  <c r="U106" i="56"/>
  <c r="T106" i="56"/>
  <c r="S106" i="56"/>
  <c r="Q106" i="56"/>
  <c r="O106" i="56"/>
  <c r="M106" i="56"/>
  <c r="K106" i="56"/>
  <c r="X105" i="56"/>
  <c r="W105" i="56"/>
  <c r="V105" i="56"/>
  <c r="U105" i="56"/>
  <c r="T105" i="56"/>
  <c r="S105" i="56"/>
  <c r="Q105" i="56"/>
  <c r="O105" i="56"/>
  <c r="M105" i="56"/>
  <c r="K105" i="56"/>
  <c r="X104" i="56"/>
  <c r="W104" i="56"/>
  <c r="V104" i="56"/>
  <c r="U104" i="56"/>
  <c r="T104" i="56"/>
  <c r="S104" i="56"/>
  <c r="Q104" i="56"/>
  <c r="O104" i="56"/>
  <c r="M104" i="56"/>
  <c r="K104" i="56"/>
  <c r="X103" i="56"/>
  <c r="W103" i="56"/>
  <c r="V103" i="56"/>
  <c r="U103" i="56"/>
  <c r="T103" i="56"/>
  <c r="S103" i="56"/>
  <c r="Q103" i="56"/>
  <c r="O103" i="56"/>
  <c r="M103" i="56"/>
  <c r="K103" i="56"/>
  <c r="X102" i="56"/>
  <c r="W102" i="56"/>
  <c r="V102" i="56"/>
  <c r="U102" i="56"/>
  <c r="T102" i="56"/>
  <c r="S102" i="56"/>
  <c r="Q102" i="56"/>
  <c r="O102" i="56"/>
  <c r="M102" i="56"/>
  <c r="K102" i="56"/>
  <c r="X101" i="56"/>
  <c r="W101" i="56"/>
  <c r="V101" i="56"/>
  <c r="U101" i="56"/>
  <c r="T101" i="56"/>
  <c r="S101" i="56"/>
  <c r="Q101" i="56"/>
  <c r="O101" i="56"/>
  <c r="M101" i="56"/>
  <c r="K101" i="56"/>
  <c r="X100" i="56"/>
  <c r="W100" i="56"/>
  <c r="V100" i="56"/>
  <c r="U100" i="56"/>
  <c r="T100" i="56"/>
  <c r="S100" i="56"/>
  <c r="Q100" i="56"/>
  <c r="O100" i="56"/>
  <c r="M100" i="56"/>
  <c r="K100" i="56"/>
  <c r="X99" i="56"/>
  <c r="W99" i="56"/>
  <c r="V99" i="56"/>
  <c r="U99" i="56"/>
  <c r="T99" i="56"/>
  <c r="S99" i="56"/>
  <c r="Q99" i="56"/>
  <c r="O99" i="56"/>
  <c r="M99" i="56"/>
  <c r="K99" i="56"/>
  <c r="X98" i="56"/>
  <c r="W98" i="56"/>
  <c r="V98" i="56"/>
  <c r="U98" i="56"/>
  <c r="T98" i="56"/>
  <c r="S98" i="56"/>
  <c r="Q98" i="56"/>
  <c r="O98" i="56"/>
  <c r="M98" i="56"/>
  <c r="K98" i="56"/>
  <c r="X97" i="56"/>
  <c r="W97" i="56"/>
  <c r="V97" i="56"/>
  <c r="U97" i="56"/>
  <c r="T97" i="56"/>
  <c r="S97" i="56"/>
  <c r="Q97" i="56"/>
  <c r="O97" i="56"/>
  <c r="M97" i="56"/>
  <c r="K97" i="56"/>
  <c r="X96" i="56"/>
  <c r="W96" i="56"/>
  <c r="V96" i="56"/>
  <c r="U96" i="56"/>
  <c r="T96" i="56"/>
  <c r="S96" i="56"/>
  <c r="Q96" i="56"/>
  <c r="O96" i="56"/>
  <c r="M96" i="56"/>
  <c r="K96" i="56"/>
  <c r="X95" i="56"/>
  <c r="W95" i="56"/>
  <c r="V95" i="56"/>
  <c r="U95" i="56"/>
  <c r="T95" i="56"/>
  <c r="S95" i="56"/>
  <c r="Q95" i="56"/>
  <c r="O95" i="56"/>
  <c r="M95" i="56"/>
  <c r="K95" i="56"/>
  <c r="X94" i="56"/>
  <c r="W94" i="56"/>
  <c r="V94" i="56"/>
  <c r="U94" i="56"/>
  <c r="T94" i="56"/>
  <c r="S94" i="56"/>
  <c r="Q94" i="56"/>
  <c r="O94" i="56"/>
  <c r="M94" i="56"/>
  <c r="K94" i="56"/>
  <c r="X93" i="56"/>
  <c r="W93" i="56"/>
  <c r="V93" i="56"/>
  <c r="U93" i="56"/>
  <c r="T93" i="56"/>
  <c r="S93" i="56"/>
  <c r="Q93" i="56"/>
  <c r="O93" i="56"/>
  <c r="M93" i="56"/>
  <c r="K93" i="56"/>
  <c r="X92" i="56"/>
  <c r="W92" i="56"/>
  <c r="V92" i="56"/>
  <c r="U92" i="56"/>
  <c r="T92" i="56"/>
  <c r="S92" i="56"/>
  <c r="Q92" i="56"/>
  <c r="O92" i="56"/>
  <c r="M92" i="56"/>
  <c r="K92" i="56"/>
  <c r="X91" i="56"/>
  <c r="W91" i="56"/>
  <c r="V91" i="56"/>
  <c r="U91" i="56"/>
  <c r="T91" i="56"/>
  <c r="S91" i="56"/>
  <c r="Q91" i="56"/>
  <c r="O91" i="56"/>
  <c r="M91" i="56"/>
  <c r="K91" i="56"/>
  <c r="X90" i="56"/>
  <c r="W90" i="56"/>
  <c r="V90" i="56"/>
  <c r="U90" i="56"/>
  <c r="T90" i="56"/>
  <c r="S90" i="56"/>
  <c r="Q90" i="56"/>
  <c r="O90" i="56"/>
  <c r="M90" i="56"/>
  <c r="K90" i="56"/>
  <c r="X89" i="56"/>
  <c r="W89" i="56"/>
  <c r="V89" i="56"/>
  <c r="U89" i="56"/>
  <c r="T89" i="56"/>
  <c r="S89" i="56"/>
  <c r="Q89" i="56"/>
  <c r="O89" i="56"/>
  <c r="M89" i="56"/>
  <c r="K89" i="56"/>
  <c r="X88" i="56"/>
  <c r="W88" i="56"/>
  <c r="V88" i="56"/>
  <c r="U88" i="56"/>
  <c r="T88" i="56"/>
  <c r="S88" i="56"/>
  <c r="Q88" i="56"/>
  <c r="O88" i="56"/>
  <c r="M88" i="56"/>
  <c r="K88" i="56"/>
  <c r="X87" i="56"/>
  <c r="W87" i="56"/>
  <c r="V87" i="56"/>
  <c r="U87" i="56"/>
  <c r="T87" i="56"/>
  <c r="S87" i="56"/>
  <c r="Q87" i="56"/>
  <c r="O87" i="56"/>
  <c r="M87" i="56"/>
  <c r="K87" i="56"/>
  <c r="X86" i="56"/>
  <c r="W86" i="56"/>
  <c r="V86" i="56"/>
  <c r="U86" i="56"/>
  <c r="T86" i="56"/>
  <c r="S86" i="56"/>
  <c r="Q86" i="56"/>
  <c r="O86" i="56"/>
  <c r="M86" i="56"/>
  <c r="K86" i="56"/>
  <c r="X85" i="56"/>
  <c r="W85" i="56"/>
  <c r="V85" i="56"/>
  <c r="U85" i="56"/>
  <c r="T85" i="56"/>
  <c r="S85" i="56"/>
  <c r="Q85" i="56"/>
  <c r="O85" i="56"/>
  <c r="M85" i="56"/>
  <c r="K85" i="56"/>
  <c r="X84" i="56"/>
  <c r="W84" i="56"/>
  <c r="V84" i="56"/>
  <c r="U84" i="56"/>
  <c r="T84" i="56"/>
  <c r="S84" i="56"/>
  <c r="Q84" i="56"/>
  <c r="O84" i="56"/>
  <c r="M84" i="56"/>
  <c r="K84" i="56"/>
  <c r="X83" i="56"/>
  <c r="W83" i="56"/>
  <c r="V83" i="56"/>
  <c r="U83" i="56"/>
  <c r="T83" i="56"/>
  <c r="S83" i="56"/>
  <c r="Q83" i="56"/>
  <c r="O83" i="56"/>
  <c r="M83" i="56"/>
  <c r="K83" i="56"/>
  <c r="X82" i="56"/>
  <c r="W82" i="56"/>
  <c r="V82" i="56"/>
  <c r="U82" i="56"/>
  <c r="T82" i="56"/>
  <c r="S82" i="56"/>
  <c r="Q82" i="56"/>
  <c r="O82" i="56"/>
  <c r="M82" i="56"/>
  <c r="K82" i="56"/>
  <c r="X81" i="56"/>
  <c r="W81" i="56"/>
  <c r="V81" i="56"/>
  <c r="U81" i="56"/>
  <c r="T81" i="56"/>
  <c r="S81" i="56"/>
  <c r="Q81" i="56"/>
  <c r="O81" i="56"/>
  <c r="M81" i="56"/>
  <c r="K81" i="56"/>
  <c r="X80" i="56"/>
  <c r="W80" i="56"/>
  <c r="V80" i="56"/>
  <c r="U80" i="56"/>
  <c r="T80" i="56"/>
  <c r="S80" i="56"/>
  <c r="Q80" i="56"/>
  <c r="O80" i="56"/>
  <c r="M80" i="56"/>
  <c r="K80" i="56"/>
  <c r="X79" i="56"/>
  <c r="W79" i="56"/>
  <c r="V79" i="56"/>
  <c r="U79" i="56"/>
  <c r="T79" i="56"/>
  <c r="S79" i="56"/>
  <c r="Q79" i="56"/>
  <c r="O79" i="56"/>
  <c r="M79" i="56"/>
  <c r="K79" i="56"/>
  <c r="X78" i="56"/>
  <c r="W78" i="56"/>
  <c r="V78" i="56"/>
  <c r="U78" i="56"/>
  <c r="T78" i="56"/>
  <c r="S78" i="56"/>
  <c r="Q78" i="56"/>
  <c r="O78" i="56"/>
  <c r="M78" i="56"/>
  <c r="K78" i="56"/>
  <c r="X77" i="56"/>
  <c r="W77" i="56"/>
  <c r="V77" i="56"/>
  <c r="U77" i="56"/>
  <c r="T77" i="56"/>
  <c r="S77" i="56"/>
  <c r="Q77" i="56"/>
  <c r="O77" i="56"/>
  <c r="M77" i="56"/>
  <c r="K77" i="56"/>
  <c r="X76" i="56"/>
  <c r="W76" i="56"/>
  <c r="V76" i="56"/>
  <c r="U76" i="56"/>
  <c r="T76" i="56"/>
  <c r="S76" i="56"/>
  <c r="Q76" i="56"/>
  <c r="O76" i="56"/>
  <c r="M76" i="56"/>
  <c r="K76" i="56"/>
  <c r="X75" i="56"/>
  <c r="W75" i="56"/>
  <c r="V75" i="56"/>
  <c r="U75" i="56"/>
  <c r="T75" i="56"/>
  <c r="S75" i="56"/>
  <c r="Q75" i="56"/>
  <c r="O75" i="56"/>
  <c r="M75" i="56"/>
  <c r="K75" i="56"/>
  <c r="X74" i="56"/>
  <c r="W74" i="56"/>
  <c r="V74" i="56"/>
  <c r="U74" i="56"/>
  <c r="T74" i="56"/>
  <c r="S74" i="56"/>
  <c r="Q74" i="56"/>
  <c r="O74" i="56"/>
  <c r="M74" i="56"/>
  <c r="K74" i="56"/>
  <c r="X73" i="56"/>
  <c r="W73" i="56"/>
  <c r="V73" i="56"/>
  <c r="U73" i="56"/>
  <c r="T73" i="56"/>
  <c r="S73" i="56"/>
  <c r="Q73" i="56"/>
  <c r="O73" i="56"/>
  <c r="M73" i="56"/>
  <c r="K73" i="56"/>
  <c r="X72" i="56"/>
  <c r="W72" i="56"/>
  <c r="V72" i="56"/>
  <c r="U72" i="56"/>
  <c r="T72" i="56"/>
  <c r="S72" i="56"/>
  <c r="Q72" i="56"/>
  <c r="O72" i="56"/>
  <c r="M72" i="56"/>
  <c r="K72" i="56"/>
  <c r="X71" i="56"/>
  <c r="W71" i="56"/>
  <c r="V71" i="56"/>
  <c r="U71" i="56"/>
  <c r="T71" i="56"/>
  <c r="S71" i="56"/>
  <c r="Q71" i="56"/>
  <c r="O71" i="56"/>
  <c r="M71" i="56"/>
  <c r="K71" i="56"/>
  <c r="X70" i="56"/>
  <c r="W70" i="56"/>
  <c r="V70" i="56"/>
  <c r="U70" i="56"/>
  <c r="T70" i="56"/>
  <c r="S70" i="56"/>
  <c r="Q70" i="56"/>
  <c r="O70" i="56"/>
  <c r="M70" i="56"/>
  <c r="K70" i="56"/>
  <c r="X69" i="56"/>
  <c r="W69" i="56"/>
  <c r="V69" i="56"/>
  <c r="U69" i="56"/>
  <c r="T69" i="56"/>
  <c r="S69" i="56"/>
  <c r="Q69" i="56"/>
  <c r="O69" i="56"/>
  <c r="M69" i="56"/>
  <c r="K69" i="56"/>
  <c r="X68" i="56"/>
  <c r="W68" i="56"/>
  <c r="V68" i="56"/>
  <c r="U68" i="56"/>
  <c r="T68" i="56"/>
  <c r="S68" i="56"/>
  <c r="Q68" i="56"/>
  <c r="O68" i="56"/>
  <c r="M68" i="56"/>
  <c r="K68" i="56"/>
  <c r="X67" i="56"/>
  <c r="W67" i="56"/>
  <c r="V67" i="56"/>
  <c r="U67" i="56"/>
  <c r="T67" i="56"/>
  <c r="S67" i="56"/>
  <c r="Q67" i="56"/>
  <c r="O67" i="56"/>
  <c r="M67" i="56"/>
  <c r="K67" i="56"/>
  <c r="X66" i="56"/>
  <c r="W66" i="56"/>
  <c r="V66" i="56"/>
  <c r="U66" i="56"/>
  <c r="T66" i="56"/>
  <c r="S66" i="56"/>
  <c r="Q66" i="56"/>
  <c r="O66" i="56"/>
  <c r="M66" i="56"/>
  <c r="K66" i="56"/>
  <c r="X65" i="56"/>
  <c r="W65" i="56"/>
  <c r="V65" i="56"/>
  <c r="U65" i="56"/>
  <c r="T65" i="56"/>
  <c r="S65" i="56"/>
  <c r="Q65" i="56"/>
  <c r="O65" i="56"/>
  <c r="M65" i="56"/>
  <c r="K65" i="56"/>
  <c r="X64" i="56"/>
  <c r="W64" i="56"/>
  <c r="V64" i="56"/>
  <c r="U64" i="56"/>
  <c r="T64" i="56"/>
  <c r="S64" i="56"/>
  <c r="Q64" i="56"/>
  <c r="O64" i="56"/>
  <c r="M64" i="56"/>
  <c r="K64" i="56"/>
  <c r="X63" i="56"/>
  <c r="W63" i="56"/>
  <c r="V63" i="56"/>
  <c r="U63" i="56"/>
  <c r="T63" i="56"/>
  <c r="S63" i="56"/>
  <c r="Q63" i="56"/>
  <c r="O63" i="56"/>
  <c r="M63" i="56"/>
  <c r="K63" i="56"/>
  <c r="X62" i="56"/>
  <c r="W62" i="56"/>
  <c r="V62" i="56"/>
  <c r="U62" i="56"/>
  <c r="T62" i="56"/>
  <c r="S62" i="56"/>
  <c r="Q62" i="56"/>
  <c r="O62" i="56"/>
  <c r="M62" i="56"/>
  <c r="K62" i="56"/>
  <c r="X61" i="56"/>
  <c r="W61" i="56"/>
  <c r="V61" i="56"/>
  <c r="U61" i="56"/>
  <c r="T61" i="56"/>
  <c r="S61" i="56"/>
  <c r="Q61" i="56"/>
  <c r="O61" i="56"/>
  <c r="M61" i="56"/>
  <c r="K61" i="56"/>
  <c r="X60" i="56"/>
  <c r="W60" i="56"/>
  <c r="V60" i="56"/>
  <c r="U60" i="56"/>
  <c r="T60" i="56"/>
  <c r="S60" i="56"/>
  <c r="Q60" i="56"/>
  <c r="O60" i="56"/>
  <c r="M60" i="56"/>
  <c r="K60" i="56"/>
  <c r="X59" i="56"/>
  <c r="W59" i="56"/>
  <c r="V59" i="56"/>
  <c r="U59" i="56"/>
  <c r="T59" i="56"/>
  <c r="S59" i="56"/>
  <c r="Q59" i="56"/>
  <c r="O59" i="56"/>
  <c r="M59" i="56"/>
  <c r="K59" i="56"/>
  <c r="X58" i="56"/>
  <c r="W58" i="56"/>
  <c r="V58" i="56"/>
  <c r="U58" i="56"/>
  <c r="T58" i="56"/>
  <c r="S58" i="56"/>
  <c r="Q58" i="56"/>
  <c r="O58" i="56"/>
  <c r="M58" i="56"/>
  <c r="K58" i="56"/>
  <c r="X57" i="56"/>
  <c r="W57" i="56"/>
  <c r="V57" i="56"/>
  <c r="U57" i="56"/>
  <c r="T57" i="56"/>
  <c r="S57" i="56"/>
  <c r="Q57" i="56"/>
  <c r="O57" i="56"/>
  <c r="M57" i="56"/>
  <c r="K57" i="56"/>
  <c r="X56" i="56"/>
  <c r="W56" i="56"/>
  <c r="V56" i="56"/>
  <c r="U56" i="56"/>
  <c r="T56" i="56"/>
  <c r="S56" i="56"/>
  <c r="Q56" i="56"/>
  <c r="O56" i="56"/>
  <c r="M56" i="56"/>
  <c r="K56" i="56"/>
  <c r="X55" i="56"/>
  <c r="W55" i="56"/>
  <c r="V55" i="56"/>
  <c r="U55" i="56"/>
  <c r="T55" i="56"/>
  <c r="S55" i="56"/>
  <c r="Q55" i="56"/>
  <c r="O55" i="56"/>
  <c r="M55" i="56"/>
  <c r="K55" i="56"/>
  <c r="X54" i="56"/>
  <c r="W54" i="56"/>
  <c r="V54" i="56"/>
  <c r="U54" i="56"/>
  <c r="T54" i="56"/>
  <c r="S54" i="56"/>
  <c r="Q54" i="56"/>
  <c r="O54" i="56"/>
  <c r="M54" i="56"/>
  <c r="K54" i="56"/>
  <c r="X53" i="56"/>
  <c r="W53" i="56"/>
  <c r="V53" i="56"/>
  <c r="U53" i="56"/>
  <c r="T53" i="56"/>
  <c r="S53" i="56"/>
  <c r="Q53" i="56"/>
  <c r="O53" i="56"/>
  <c r="M53" i="56"/>
  <c r="K53" i="56"/>
  <c r="X52" i="56"/>
  <c r="W52" i="56"/>
  <c r="V52" i="56"/>
  <c r="U52" i="56"/>
  <c r="T52" i="56"/>
  <c r="S52" i="56"/>
  <c r="Q52" i="56"/>
  <c r="O52" i="56"/>
  <c r="M52" i="56"/>
  <c r="K52" i="56"/>
  <c r="X51" i="56"/>
  <c r="W51" i="56"/>
  <c r="V51" i="56"/>
  <c r="U51" i="56"/>
  <c r="T51" i="56"/>
  <c r="S51" i="56"/>
  <c r="Q51" i="56"/>
  <c r="O51" i="56"/>
  <c r="M51" i="56"/>
  <c r="K51" i="56"/>
  <c r="X50" i="56"/>
  <c r="W50" i="56"/>
  <c r="V50" i="56"/>
  <c r="U50" i="56"/>
  <c r="T50" i="56"/>
  <c r="S50" i="56"/>
  <c r="Q50" i="56"/>
  <c r="O50" i="56"/>
  <c r="M50" i="56"/>
  <c r="K50" i="56"/>
  <c r="X49" i="56"/>
  <c r="W49" i="56"/>
  <c r="V49" i="56"/>
  <c r="U49" i="56"/>
  <c r="T49" i="56"/>
  <c r="S49" i="56"/>
  <c r="Q49" i="56"/>
  <c r="O49" i="56"/>
  <c r="M49" i="56"/>
  <c r="K49" i="56"/>
  <c r="X48" i="56"/>
  <c r="W48" i="56"/>
  <c r="V48" i="56"/>
  <c r="U48" i="56"/>
  <c r="T48" i="56"/>
  <c r="S48" i="56"/>
  <c r="Q48" i="56"/>
  <c r="O48" i="56"/>
  <c r="M48" i="56"/>
  <c r="K48" i="56"/>
  <c r="X47" i="56"/>
  <c r="W47" i="56"/>
  <c r="V47" i="56"/>
  <c r="U47" i="56"/>
  <c r="T47" i="56"/>
  <c r="S47" i="56"/>
  <c r="Q47" i="56"/>
  <c r="O47" i="56"/>
  <c r="M47" i="56"/>
  <c r="K47" i="56"/>
  <c r="X46" i="56"/>
  <c r="W46" i="56"/>
  <c r="V46" i="56"/>
  <c r="U46" i="56"/>
  <c r="T46" i="56"/>
  <c r="S46" i="56"/>
  <c r="Q46" i="56"/>
  <c r="O46" i="56"/>
  <c r="M46" i="56"/>
  <c r="K46" i="56"/>
  <c r="X45" i="56"/>
  <c r="W45" i="56"/>
  <c r="V45" i="56"/>
  <c r="U45" i="56"/>
  <c r="T45" i="56"/>
  <c r="S45" i="56"/>
  <c r="Q45" i="56"/>
  <c r="O45" i="56"/>
  <c r="M45" i="56"/>
  <c r="K45" i="56"/>
  <c r="X44" i="56"/>
  <c r="W44" i="56"/>
  <c r="V44" i="56"/>
  <c r="U44" i="56"/>
  <c r="T44" i="56"/>
  <c r="S44" i="56"/>
  <c r="Q44" i="56"/>
  <c r="O44" i="56"/>
  <c r="M44" i="56"/>
  <c r="K44" i="56"/>
  <c r="X43" i="56"/>
  <c r="W43" i="56"/>
  <c r="V43" i="56"/>
  <c r="U43" i="56"/>
  <c r="T43" i="56"/>
  <c r="S43" i="56"/>
  <c r="Q43" i="56"/>
  <c r="O43" i="56"/>
  <c r="M43" i="56"/>
  <c r="K43" i="56"/>
  <c r="X42" i="56"/>
  <c r="W42" i="56"/>
  <c r="V42" i="56"/>
  <c r="U42" i="56"/>
  <c r="T42" i="56"/>
  <c r="S42" i="56"/>
  <c r="Q42" i="56"/>
  <c r="O42" i="56"/>
  <c r="M42" i="56"/>
  <c r="K42" i="56"/>
  <c r="X41" i="56"/>
  <c r="W41" i="56"/>
  <c r="V41" i="56"/>
  <c r="U41" i="56"/>
  <c r="T41" i="56"/>
  <c r="S41" i="56"/>
  <c r="Q41" i="56"/>
  <c r="O41" i="56"/>
  <c r="M41" i="56"/>
  <c r="K41" i="56"/>
  <c r="X40" i="56"/>
  <c r="W40" i="56"/>
  <c r="V40" i="56"/>
  <c r="U40" i="56"/>
  <c r="T40" i="56"/>
  <c r="S40" i="56"/>
  <c r="Q40" i="56"/>
  <c r="O40" i="56"/>
  <c r="M40" i="56"/>
  <c r="K40" i="56"/>
  <c r="X39" i="56"/>
  <c r="W39" i="56"/>
  <c r="V39" i="56"/>
  <c r="U39" i="56"/>
  <c r="T39" i="56"/>
  <c r="S39" i="56"/>
  <c r="Q39" i="56"/>
  <c r="O39" i="56"/>
  <c r="M39" i="56"/>
  <c r="K39" i="56"/>
  <c r="X38" i="56"/>
  <c r="W38" i="56"/>
  <c r="V38" i="56"/>
  <c r="U38" i="56"/>
  <c r="T38" i="56"/>
  <c r="S38" i="56"/>
  <c r="Q38" i="56"/>
  <c r="O38" i="56"/>
  <c r="M38" i="56"/>
  <c r="K38" i="56"/>
  <c r="X37" i="56"/>
  <c r="W37" i="56"/>
  <c r="V37" i="56"/>
  <c r="U37" i="56"/>
  <c r="T37" i="56"/>
  <c r="S37" i="56"/>
  <c r="Q37" i="56"/>
  <c r="O37" i="56"/>
  <c r="M37" i="56"/>
  <c r="K37" i="56"/>
  <c r="X36" i="56"/>
  <c r="W36" i="56"/>
  <c r="V36" i="56"/>
  <c r="U36" i="56"/>
  <c r="T36" i="56"/>
  <c r="S36" i="56"/>
  <c r="Q36" i="56"/>
  <c r="O36" i="56"/>
  <c r="M36" i="56"/>
  <c r="K36" i="56"/>
  <c r="X35" i="56"/>
  <c r="W35" i="56"/>
  <c r="V35" i="56"/>
  <c r="U35" i="56"/>
  <c r="T35" i="56"/>
  <c r="S35" i="56"/>
  <c r="Q35" i="56"/>
  <c r="O35" i="56"/>
  <c r="M35" i="56"/>
  <c r="K35" i="56"/>
  <c r="X34" i="56"/>
  <c r="W34" i="56"/>
  <c r="V34" i="56"/>
  <c r="U34" i="56"/>
  <c r="T34" i="56"/>
  <c r="S34" i="56"/>
  <c r="Q34" i="56"/>
  <c r="O34" i="56"/>
  <c r="M34" i="56"/>
  <c r="K34" i="56"/>
  <c r="X33" i="56"/>
  <c r="W33" i="56"/>
  <c r="V33" i="56"/>
  <c r="U33" i="56"/>
  <c r="T33" i="56"/>
  <c r="S33" i="56"/>
  <c r="Q33" i="56"/>
  <c r="O33" i="56"/>
  <c r="M33" i="56"/>
  <c r="K33" i="56"/>
  <c r="X32" i="56"/>
  <c r="W32" i="56"/>
  <c r="V32" i="56"/>
  <c r="U32" i="56"/>
  <c r="T32" i="56"/>
  <c r="S32" i="56"/>
  <c r="Q32" i="56"/>
  <c r="O32" i="56"/>
  <c r="M32" i="56"/>
  <c r="K32" i="56"/>
  <c r="X31" i="56"/>
  <c r="W31" i="56"/>
  <c r="V31" i="56"/>
  <c r="U31" i="56"/>
  <c r="T31" i="56"/>
  <c r="S31" i="56"/>
  <c r="Q31" i="56"/>
  <c r="O31" i="56"/>
  <c r="M31" i="56"/>
  <c r="K31" i="56"/>
  <c r="X30" i="56"/>
  <c r="W30" i="56"/>
  <c r="V30" i="56"/>
  <c r="U30" i="56"/>
  <c r="T30" i="56"/>
  <c r="S30" i="56"/>
  <c r="Q30" i="56"/>
  <c r="O30" i="56"/>
  <c r="M30" i="56"/>
  <c r="K30" i="56"/>
  <c r="X29" i="56"/>
  <c r="W29" i="56"/>
  <c r="V29" i="56"/>
  <c r="U29" i="56"/>
  <c r="T29" i="56"/>
  <c r="S29" i="56"/>
  <c r="Q29" i="56"/>
  <c r="O29" i="56"/>
  <c r="M29" i="56"/>
  <c r="K29" i="56"/>
  <c r="X28" i="56"/>
  <c r="W28" i="56"/>
  <c r="V28" i="56"/>
  <c r="U28" i="56"/>
  <c r="T28" i="56"/>
  <c r="S28" i="56"/>
  <c r="Q28" i="56"/>
  <c r="O28" i="56"/>
  <c r="M28" i="56"/>
  <c r="K28" i="56"/>
  <c r="X27" i="56"/>
  <c r="W27" i="56"/>
  <c r="V27" i="56"/>
  <c r="U27" i="56"/>
  <c r="T27" i="56"/>
  <c r="S27" i="56"/>
  <c r="Q27" i="56"/>
  <c r="O27" i="56"/>
  <c r="M27" i="56"/>
  <c r="K27" i="56"/>
  <c r="X26" i="56"/>
  <c r="W26" i="56"/>
  <c r="V26" i="56"/>
  <c r="U26" i="56"/>
  <c r="T26" i="56"/>
  <c r="S26" i="56"/>
  <c r="Q26" i="56"/>
  <c r="O26" i="56"/>
  <c r="M26" i="56"/>
  <c r="K26" i="56"/>
  <c r="X25" i="56"/>
  <c r="W25" i="56"/>
  <c r="V25" i="56"/>
  <c r="U25" i="56"/>
  <c r="T25" i="56"/>
  <c r="S25" i="56"/>
  <c r="Q25" i="56"/>
  <c r="O25" i="56"/>
  <c r="M25" i="56"/>
  <c r="K25" i="56"/>
  <c r="X24" i="56"/>
  <c r="W24" i="56"/>
  <c r="V24" i="56"/>
  <c r="U24" i="56"/>
  <c r="T24" i="56"/>
  <c r="S24" i="56"/>
  <c r="Q24" i="56"/>
  <c r="O24" i="56"/>
  <c r="M24" i="56"/>
  <c r="K24" i="56"/>
  <c r="X23" i="56"/>
  <c r="W23" i="56"/>
  <c r="V23" i="56"/>
  <c r="U23" i="56"/>
  <c r="T23" i="56"/>
  <c r="S23" i="56"/>
  <c r="Q23" i="56"/>
  <c r="O23" i="56"/>
  <c r="M23" i="56"/>
  <c r="K23" i="56"/>
  <c r="X22" i="56"/>
  <c r="W22" i="56"/>
  <c r="V22" i="56"/>
  <c r="U22" i="56"/>
  <c r="T22" i="56"/>
  <c r="S22" i="56"/>
  <c r="Q22" i="56"/>
  <c r="O22" i="56"/>
  <c r="M22" i="56"/>
  <c r="K22" i="56"/>
  <c r="X21" i="56"/>
  <c r="W21" i="56"/>
  <c r="V21" i="56"/>
  <c r="U21" i="56"/>
  <c r="T21" i="56"/>
  <c r="S21" i="56"/>
  <c r="Q21" i="56"/>
  <c r="O21" i="56"/>
  <c r="M21" i="56"/>
  <c r="K21" i="56"/>
  <c r="X20" i="56"/>
  <c r="W20" i="56"/>
  <c r="V20" i="56"/>
  <c r="U20" i="56"/>
  <c r="T20" i="56"/>
  <c r="S20" i="56"/>
  <c r="Q20" i="56"/>
  <c r="O20" i="56"/>
  <c r="M20" i="56"/>
  <c r="K20" i="56"/>
  <c r="X19" i="56"/>
  <c r="W19" i="56"/>
  <c r="V19" i="56"/>
  <c r="U19" i="56"/>
  <c r="T19" i="56"/>
  <c r="S19" i="56"/>
  <c r="Q19" i="56"/>
  <c r="O19" i="56"/>
  <c r="M19" i="56"/>
  <c r="K19" i="56"/>
  <c r="X18" i="56"/>
  <c r="W18" i="56"/>
  <c r="V18" i="56"/>
  <c r="U18" i="56"/>
  <c r="T18" i="56"/>
  <c r="S18" i="56"/>
  <c r="Q18" i="56"/>
  <c r="O18" i="56"/>
  <c r="M18" i="56"/>
  <c r="K18" i="56"/>
  <c r="X17" i="56"/>
  <c r="W17" i="56"/>
  <c r="V17" i="56"/>
  <c r="U17" i="56"/>
  <c r="T17" i="56"/>
  <c r="S17" i="56"/>
  <c r="Q17" i="56"/>
  <c r="O17" i="56"/>
  <c r="M17" i="56"/>
  <c r="K17" i="56"/>
  <c r="X16" i="56"/>
  <c r="W16" i="56"/>
  <c r="V16" i="56"/>
  <c r="U16" i="56"/>
  <c r="T16" i="56"/>
  <c r="S16" i="56"/>
  <c r="Q16" i="56"/>
  <c r="O16" i="56"/>
  <c r="M16" i="56"/>
  <c r="K16" i="56"/>
  <c r="X15" i="56"/>
  <c r="W15" i="56"/>
  <c r="V15" i="56"/>
  <c r="U15" i="56"/>
  <c r="T15" i="56"/>
  <c r="S15" i="56"/>
  <c r="Q15" i="56"/>
  <c r="O15" i="56"/>
  <c r="M15" i="56"/>
  <c r="K15" i="56"/>
  <c r="X14" i="56"/>
  <c r="W14" i="56"/>
  <c r="V14" i="56"/>
  <c r="U14" i="56"/>
  <c r="T14" i="56"/>
  <c r="S14" i="56"/>
  <c r="Q14" i="56"/>
  <c r="O14" i="56"/>
  <c r="M14" i="56"/>
  <c r="K14" i="56"/>
  <c r="X13" i="56"/>
  <c r="W13" i="56"/>
  <c r="V13" i="56"/>
  <c r="U13" i="56"/>
  <c r="T13" i="56"/>
  <c r="S13" i="56"/>
  <c r="Q13" i="56"/>
  <c r="O13" i="56"/>
  <c r="M13" i="56"/>
  <c r="K13" i="56"/>
  <c r="X12" i="56"/>
  <c r="W12" i="56"/>
  <c r="V12" i="56"/>
  <c r="U12" i="56"/>
  <c r="T12" i="56"/>
  <c r="S12" i="56"/>
  <c r="Q12" i="56"/>
  <c r="O12" i="56"/>
  <c r="M12" i="56"/>
  <c r="K12" i="56"/>
  <c r="X11" i="56"/>
  <c r="W11" i="56"/>
  <c r="V11" i="56"/>
  <c r="U11" i="56"/>
  <c r="T11" i="56"/>
  <c r="S11" i="56"/>
  <c r="Q11" i="56"/>
  <c r="O11" i="56"/>
  <c r="M11" i="56"/>
  <c r="K11" i="56"/>
  <c r="X10" i="56"/>
  <c r="W10" i="56"/>
  <c r="V10" i="56"/>
  <c r="U10" i="56"/>
  <c r="T10" i="56"/>
  <c r="S10" i="56"/>
  <c r="Q10" i="56"/>
  <c r="O10" i="56"/>
  <c r="M10" i="56"/>
  <c r="K10" i="56"/>
  <c r="X9" i="56"/>
  <c r="W9" i="56"/>
  <c r="V9" i="56"/>
  <c r="U9" i="56"/>
  <c r="T9" i="56"/>
  <c r="S9" i="56"/>
  <c r="Q9" i="56"/>
  <c r="O9" i="56"/>
  <c r="M9" i="56"/>
  <c r="K9" i="56"/>
  <c r="X8" i="56"/>
  <c r="W8" i="56"/>
  <c r="V8" i="56"/>
  <c r="U8" i="56"/>
  <c r="T8" i="56"/>
  <c r="S8" i="56"/>
  <c r="Q8" i="56"/>
  <c r="O8" i="56"/>
  <c r="M8" i="56"/>
  <c r="K8" i="56"/>
  <c r="X7" i="56"/>
  <c r="W7" i="56"/>
  <c r="V7" i="56"/>
  <c r="U7" i="56"/>
  <c r="T7" i="56"/>
  <c r="S7" i="56"/>
  <c r="Q7" i="56"/>
  <c r="O7" i="56"/>
  <c r="M7" i="56"/>
  <c r="K7" i="56"/>
  <c r="K7" i="54"/>
  <c r="M7" i="54"/>
  <c r="O7" i="54"/>
  <c r="Q7" i="54"/>
  <c r="S7" i="54"/>
  <c r="T7" i="54"/>
  <c r="U7" i="54"/>
  <c r="V7" i="54"/>
  <c r="W7" i="54"/>
  <c r="X7" i="54"/>
  <c r="K8" i="54"/>
  <c r="M8" i="54"/>
  <c r="O8" i="54"/>
  <c r="Q8" i="54"/>
  <c r="S8" i="54"/>
  <c r="T8" i="54"/>
  <c r="U8" i="54"/>
  <c r="V8" i="54"/>
  <c r="W8" i="54"/>
  <c r="X8" i="54"/>
  <c r="K9" i="54"/>
  <c r="M9" i="54"/>
  <c r="O9" i="54"/>
  <c r="Q9" i="54"/>
  <c r="S9" i="54"/>
  <c r="T9" i="54"/>
  <c r="U9" i="54"/>
  <c r="V9" i="54"/>
  <c r="W9" i="54"/>
  <c r="X9" i="54"/>
  <c r="K10" i="54"/>
  <c r="M10" i="54"/>
  <c r="O10" i="54"/>
  <c r="Q10" i="54"/>
  <c r="S10" i="54"/>
  <c r="T10" i="54"/>
  <c r="U10" i="54"/>
  <c r="V10" i="54"/>
  <c r="W10" i="54"/>
  <c r="X10" i="54"/>
  <c r="K11" i="54"/>
  <c r="M11" i="54"/>
  <c r="O11" i="54"/>
  <c r="Q11" i="54"/>
  <c r="S11" i="54"/>
  <c r="T11" i="54"/>
  <c r="U11" i="54"/>
  <c r="V11" i="54"/>
  <c r="W11" i="54"/>
  <c r="X11" i="54"/>
  <c r="K12" i="54"/>
  <c r="M12" i="54"/>
  <c r="O12" i="54"/>
  <c r="Q12" i="54"/>
  <c r="S12" i="54"/>
  <c r="T12" i="54"/>
  <c r="U12" i="54"/>
  <c r="V12" i="54"/>
  <c r="W12" i="54"/>
  <c r="X12" i="54"/>
  <c r="K13" i="54"/>
  <c r="M13" i="54"/>
  <c r="O13" i="54"/>
  <c r="Q13" i="54"/>
  <c r="S13" i="54"/>
  <c r="T13" i="54"/>
  <c r="U13" i="54"/>
  <c r="V13" i="54"/>
  <c r="W13" i="54"/>
  <c r="X13" i="54"/>
  <c r="K14" i="54"/>
  <c r="M14" i="54"/>
  <c r="O14" i="54"/>
  <c r="Q14" i="54"/>
  <c r="S14" i="54"/>
  <c r="T14" i="54"/>
  <c r="U14" i="54"/>
  <c r="V14" i="54"/>
  <c r="W14" i="54"/>
  <c r="X14" i="54"/>
  <c r="K15" i="54"/>
  <c r="M15" i="54"/>
  <c r="O15" i="54"/>
  <c r="Q15" i="54"/>
  <c r="S15" i="54"/>
  <c r="T15" i="54"/>
  <c r="U15" i="54"/>
  <c r="V15" i="54"/>
  <c r="W15" i="54"/>
  <c r="X15" i="54"/>
  <c r="K16" i="54"/>
  <c r="M16" i="54"/>
  <c r="O16" i="54"/>
  <c r="Q16" i="54"/>
  <c r="S16" i="54"/>
  <c r="T16" i="54"/>
  <c r="U16" i="54"/>
  <c r="V16" i="54"/>
  <c r="W16" i="54"/>
  <c r="X16" i="54"/>
  <c r="K17" i="54"/>
  <c r="M17" i="54"/>
  <c r="O17" i="54"/>
  <c r="Q17" i="54"/>
  <c r="S17" i="54"/>
  <c r="T17" i="54"/>
  <c r="U17" i="54"/>
  <c r="V17" i="54"/>
  <c r="W17" i="54"/>
  <c r="X17" i="54"/>
  <c r="K18" i="54"/>
  <c r="M18" i="54"/>
  <c r="O18" i="54"/>
  <c r="Q18" i="54"/>
  <c r="S18" i="54"/>
  <c r="T18" i="54"/>
  <c r="U18" i="54"/>
  <c r="V18" i="54"/>
  <c r="W18" i="54"/>
  <c r="X18" i="54"/>
  <c r="K19" i="54"/>
  <c r="M19" i="54"/>
  <c r="O19" i="54"/>
  <c r="Q19" i="54"/>
  <c r="S19" i="54"/>
  <c r="T19" i="54"/>
  <c r="U19" i="54"/>
  <c r="V19" i="54"/>
  <c r="W19" i="54"/>
  <c r="X19" i="54"/>
  <c r="K20" i="54"/>
  <c r="M20" i="54"/>
  <c r="O20" i="54"/>
  <c r="Q20" i="54"/>
  <c r="S20" i="54"/>
  <c r="T20" i="54"/>
  <c r="U20" i="54"/>
  <c r="V20" i="54"/>
  <c r="W20" i="54"/>
  <c r="X20" i="54"/>
  <c r="K21" i="54"/>
  <c r="M21" i="54"/>
  <c r="O21" i="54"/>
  <c r="Q21" i="54"/>
  <c r="S21" i="54"/>
  <c r="T21" i="54"/>
  <c r="U21" i="54"/>
  <c r="V21" i="54"/>
  <c r="W21" i="54"/>
  <c r="X21" i="54"/>
  <c r="K22" i="54"/>
  <c r="M22" i="54"/>
  <c r="O22" i="54"/>
  <c r="Q22" i="54"/>
  <c r="S22" i="54"/>
  <c r="T22" i="54"/>
  <c r="U22" i="54"/>
  <c r="V22" i="54"/>
  <c r="W22" i="54"/>
  <c r="X22" i="54"/>
  <c r="K23" i="54"/>
  <c r="M23" i="54"/>
  <c r="O23" i="54"/>
  <c r="Q23" i="54"/>
  <c r="S23" i="54"/>
  <c r="T23" i="54"/>
  <c r="U23" i="54"/>
  <c r="V23" i="54"/>
  <c r="W23" i="54"/>
  <c r="X23" i="54"/>
  <c r="K24" i="54"/>
  <c r="M24" i="54"/>
  <c r="O24" i="54"/>
  <c r="Q24" i="54"/>
  <c r="S24" i="54"/>
  <c r="T24" i="54"/>
  <c r="U24" i="54"/>
  <c r="V24" i="54"/>
  <c r="W24" i="54"/>
  <c r="X24" i="54"/>
  <c r="K25" i="54"/>
  <c r="M25" i="54"/>
  <c r="O25" i="54"/>
  <c r="Q25" i="54"/>
  <c r="S25" i="54"/>
  <c r="T25" i="54"/>
  <c r="U25" i="54"/>
  <c r="V25" i="54"/>
  <c r="W25" i="54"/>
  <c r="X25" i="54"/>
  <c r="K26" i="54"/>
  <c r="M26" i="54"/>
  <c r="O26" i="54"/>
  <c r="Q26" i="54"/>
  <c r="S26" i="54"/>
  <c r="T26" i="54"/>
  <c r="U26" i="54"/>
  <c r="V26" i="54"/>
  <c r="W26" i="54"/>
  <c r="X26" i="54"/>
  <c r="K27" i="54"/>
  <c r="M27" i="54"/>
  <c r="O27" i="54"/>
  <c r="Q27" i="54"/>
  <c r="S27" i="54"/>
  <c r="T27" i="54"/>
  <c r="U27" i="54"/>
  <c r="V27" i="54"/>
  <c r="W27" i="54"/>
  <c r="X27" i="54"/>
  <c r="K28" i="54"/>
  <c r="M28" i="54"/>
  <c r="O28" i="54"/>
  <c r="Q28" i="54"/>
  <c r="S28" i="54"/>
  <c r="T28" i="54"/>
  <c r="U28" i="54"/>
  <c r="V28" i="54"/>
  <c r="W28" i="54"/>
  <c r="X28" i="54"/>
  <c r="K29" i="54"/>
  <c r="M29" i="54"/>
  <c r="O29" i="54"/>
  <c r="Q29" i="54"/>
  <c r="S29" i="54"/>
  <c r="T29" i="54"/>
  <c r="U29" i="54"/>
  <c r="V29" i="54"/>
  <c r="W29" i="54"/>
  <c r="X29" i="54"/>
  <c r="K30" i="54"/>
  <c r="M30" i="54"/>
  <c r="O30" i="54"/>
  <c r="Q30" i="54"/>
  <c r="S30" i="54"/>
  <c r="T30" i="54"/>
  <c r="U30" i="54"/>
  <c r="V30" i="54"/>
  <c r="W30" i="54"/>
  <c r="X30" i="54"/>
  <c r="K31" i="54"/>
  <c r="M31" i="54"/>
  <c r="O31" i="54"/>
  <c r="Q31" i="54"/>
  <c r="S31" i="54"/>
  <c r="T31" i="54"/>
  <c r="U31" i="54"/>
  <c r="V31" i="54"/>
  <c r="W31" i="54"/>
  <c r="X31" i="54"/>
  <c r="K32" i="54"/>
  <c r="M32" i="54"/>
  <c r="O32" i="54"/>
  <c r="Q32" i="54"/>
  <c r="S32" i="54"/>
  <c r="T32" i="54"/>
  <c r="U32" i="54"/>
  <c r="V32" i="54"/>
  <c r="W32" i="54"/>
  <c r="X32" i="54"/>
  <c r="K33" i="54"/>
  <c r="M33" i="54"/>
  <c r="O33" i="54"/>
  <c r="Q33" i="54"/>
  <c r="S33" i="54"/>
  <c r="T33" i="54"/>
  <c r="U33" i="54"/>
  <c r="V33" i="54"/>
  <c r="W33" i="54"/>
  <c r="X33" i="54"/>
  <c r="K34" i="54"/>
  <c r="M34" i="54"/>
  <c r="O34" i="54"/>
  <c r="Q34" i="54"/>
  <c r="S34" i="54"/>
  <c r="T34" i="54"/>
  <c r="U34" i="54"/>
  <c r="V34" i="54"/>
  <c r="W34" i="54"/>
  <c r="X34" i="54"/>
  <c r="K35" i="54"/>
  <c r="M35" i="54"/>
  <c r="O35" i="54"/>
  <c r="Q35" i="54"/>
  <c r="S35" i="54"/>
  <c r="T35" i="54"/>
  <c r="U35" i="54"/>
  <c r="V35" i="54"/>
  <c r="W35" i="54"/>
  <c r="X35" i="54"/>
  <c r="K36" i="54"/>
  <c r="M36" i="54"/>
  <c r="O36" i="54"/>
  <c r="Q36" i="54"/>
  <c r="S36" i="54"/>
  <c r="T36" i="54"/>
  <c r="U36" i="54"/>
  <c r="V36" i="54"/>
  <c r="W36" i="54"/>
  <c r="X36" i="54"/>
  <c r="K37" i="54"/>
  <c r="M37" i="54"/>
  <c r="O37" i="54"/>
  <c r="Q37" i="54"/>
  <c r="S37" i="54"/>
  <c r="T37" i="54"/>
  <c r="U37" i="54"/>
  <c r="V37" i="54"/>
  <c r="W37" i="54"/>
  <c r="X37" i="54"/>
  <c r="K38" i="54"/>
  <c r="M38" i="54"/>
  <c r="O38" i="54"/>
  <c r="Q38" i="54"/>
  <c r="S38" i="54"/>
  <c r="T38" i="54"/>
  <c r="U38" i="54"/>
  <c r="V38" i="54"/>
  <c r="W38" i="54"/>
  <c r="X38" i="54"/>
  <c r="K39" i="54"/>
  <c r="M39" i="54"/>
  <c r="O39" i="54"/>
  <c r="Q39" i="54"/>
  <c r="S39" i="54"/>
  <c r="T39" i="54"/>
  <c r="U39" i="54"/>
  <c r="V39" i="54"/>
  <c r="W39" i="54"/>
  <c r="X39" i="54"/>
  <c r="K40" i="54"/>
  <c r="M40" i="54"/>
  <c r="O40" i="54"/>
  <c r="Q40" i="54"/>
  <c r="S40" i="54"/>
  <c r="T40" i="54"/>
  <c r="U40" i="54"/>
  <c r="V40" i="54"/>
  <c r="W40" i="54"/>
  <c r="X40" i="54"/>
  <c r="K41" i="54"/>
  <c r="M41" i="54"/>
  <c r="O41" i="54"/>
  <c r="Q41" i="54"/>
  <c r="S41" i="54"/>
  <c r="T41" i="54"/>
  <c r="U41" i="54"/>
  <c r="V41" i="54"/>
  <c r="W41" i="54"/>
  <c r="X41" i="54"/>
  <c r="K42" i="54"/>
  <c r="M42" i="54"/>
  <c r="O42" i="54"/>
  <c r="Q42" i="54"/>
  <c r="S42" i="54"/>
  <c r="T42" i="54"/>
  <c r="U42" i="54"/>
  <c r="V42" i="54"/>
  <c r="W42" i="54"/>
  <c r="X42" i="54"/>
  <c r="K43" i="54"/>
  <c r="M43" i="54"/>
  <c r="O43" i="54"/>
  <c r="Q43" i="54"/>
  <c r="S43" i="54"/>
  <c r="T43" i="54"/>
  <c r="U43" i="54"/>
  <c r="V43" i="54"/>
  <c r="W43" i="54"/>
  <c r="X43" i="54"/>
  <c r="K44" i="54"/>
  <c r="M44" i="54"/>
  <c r="O44" i="54"/>
  <c r="Q44" i="54"/>
  <c r="S44" i="54"/>
  <c r="T44" i="54"/>
  <c r="U44" i="54"/>
  <c r="V44" i="54"/>
  <c r="W44" i="54"/>
  <c r="X44" i="54"/>
  <c r="K45" i="54"/>
  <c r="M45" i="54"/>
  <c r="O45" i="54"/>
  <c r="Q45" i="54"/>
  <c r="S45" i="54"/>
  <c r="T45" i="54"/>
  <c r="U45" i="54"/>
  <c r="V45" i="54"/>
  <c r="W45" i="54"/>
  <c r="X45" i="54"/>
  <c r="K46" i="54"/>
  <c r="M46" i="54"/>
  <c r="O46" i="54"/>
  <c r="Q46" i="54"/>
  <c r="S46" i="54"/>
  <c r="T46" i="54"/>
  <c r="U46" i="54"/>
  <c r="V46" i="54"/>
  <c r="W46" i="54"/>
  <c r="X46" i="54"/>
  <c r="K47" i="54"/>
  <c r="M47" i="54"/>
  <c r="O47" i="54"/>
  <c r="Q47" i="54"/>
  <c r="S47" i="54"/>
  <c r="T47" i="54"/>
  <c r="U47" i="54"/>
  <c r="V47" i="54"/>
  <c r="W47" i="54"/>
  <c r="X47" i="54"/>
  <c r="K48" i="54"/>
  <c r="M48" i="54"/>
  <c r="O48" i="54"/>
  <c r="Q48" i="54"/>
  <c r="S48" i="54"/>
  <c r="T48" i="54"/>
  <c r="U48" i="54"/>
  <c r="V48" i="54"/>
  <c r="W48" i="54"/>
  <c r="X48" i="54"/>
  <c r="K49" i="54"/>
  <c r="M49" i="54"/>
  <c r="O49" i="54"/>
  <c r="Q49" i="54"/>
  <c r="S49" i="54"/>
  <c r="T49" i="54"/>
  <c r="U49" i="54"/>
  <c r="V49" i="54"/>
  <c r="W49" i="54"/>
  <c r="X49" i="54"/>
  <c r="K50" i="54"/>
  <c r="M50" i="54"/>
  <c r="O50" i="54"/>
  <c r="Q50" i="54"/>
  <c r="S50" i="54"/>
  <c r="T50" i="54"/>
  <c r="U50" i="54"/>
  <c r="V50" i="54"/>
  <c r="W50" i="54"/>
  <c r="X50" i="54"/>
  <c r="K51" i="54"/>
  <c r="M51" i="54"/>
  <c r="O51" i="54"/>
  <c r="Q51" i="54"/>
  <c r="S51" i="54"/>
  <c r="T51" i="54"/>
  <c r="U51" i="54"/>
  <c r="V51" i="54"/>
  <c r="W51" i="54"/>
  <c r="X51" i="54"/>
  <c r="K52" i="54"/>
  <c r="M52" i="54"/>
  <c r="O52" i="54"/>
  <c r="Q52" i="54"/>
  <c r="S52" i="54"/>
  <c r="T52" i="54"/>
  <c r="U52" i="54"/>
  <c r="V52" i="54"/>
  <c r="W52" i="54"/>
  <c r="X52" i="54"/>
  <c r="K53" i="54"/>
  <c r="M53" i="54"/>
  <c r="O53" i="54"/>
  <c r="Q53" i="54"/>
  <c r="S53" i="54"/>
  <c r="T53" i="54"/>
  <c r="U53" i="54"/>
  <c r="V53" i="54"/>
  <c r="W53" i="54"/>
  <c r="X53" i="54"/>
  <c r="K54" i="54"/>
  <c r="M54" i="54"/>
  <c r="O54" i="54"/>
  <c r="Q54" i="54"/>
  <c r="S54" i="54"/>
  <c r="T54" i="54"/>
  <c r="U54" i="54"/>
  <c r="V54" i="54"/>
  <c r="W54" i="54"/>
  <c r="X54" i="54"/>
  <c r="K55" i="54"/>
  <c r="M55" i="54"/>
  <c r="O55" i="54"/>
  <c r="Q55" i="54"/>
  <c r="S55" i="54"/>
  <c r="T55" i="54"/>
  <c r="U55" i="54"/>
  <c r="V55" i="54"/>
  <c r="W55" i="54"/>
  <c r="X55" i="54"/>
  <c r="K56" i="54"/>
  <c r="M56" i="54"/>
  <c r="O56" i="54"/>
  <c r="Q56" i="54"/>
  <c r="S56" i="54"/>
  <c r="T56" i="54"/>
  <c r="U56" i="54"/>
  <c r="V56" i="54"/>
  <c r="W56" i="54"/>
  <c r="X56" i="54"/>
  <c r="K57" i="54"/>
  <c r="M57" i="54"/>
  <c r="O57" i="54"/>
  <c r="Q57" i="54"/>
  <c r="S57" i="54"/>
  <c r="T57" i="54"/>
  <c r="U57" i="54"/>
  <c r="V57" i="54"/>
  <c r="W57" i="54"/>
  <c r="X57" i="54"/>
  <c r="K58" i="54"/>
  <c r="M58" i="54"/>
  <c r="O58" i="54"/>
  <c r="Q58" i="54"/>
  <c r="S58" i="54"/>
  <c r="T58" i="54"/>
  <c r="U58" i="54"/>
  <c r="V58" i="54"/>
  <c r="W58" i="54"/>
  <c r="X58" i="54"/>
  <c r="K59" i="54"/>
  <c r="M59" i="54"/>
  <c r="O59" i="54"/>
  <c r="Q59" i="54"/>
  <c r="S59" i="54"/>
  <c r="T59" i="54"/>
  <c r="U59" i="54"/>
  <c r="V59" i="54"/>
  <c r="W59" i="54"/>
  <c r="X59" i="54"/>
  <c r="K60" i="54"/>
  <c r="M60" i="54"/>
  <c r="O60" i="54"/>
  <c r="Q60" i="54"/>
  <c r="S60" i="54"/>
  <c r="T60" i="54"/>
  <c r="U60" i="54"/>
  <c r="V60" i="54"/>
  <c r="W60" i="54"/>
  <c r="X60" i="54"/>
  <c r="K61" i="54"/>
  <c r="M61" i="54"/>
  <c r="O61" i="54"/>
  <c r="Q61" i="54"/>
  <c r="S61" i="54"/>
  <c r="T61" i="54"/>
  <c r="U61" i="54"/>
  <c r="V61" i="54"/>
  <c r="W61" i="54"/>
  <c r="X61" i="54"/>
  <c r="K62" i="54"/>
  <c r="M62" i="54"/>
  <c r="O62" i="54"/>
  <c r="Q62" i="54"/>
  <c r="S62" i="54"/>
  <c r="T62" i="54"/>
  <c r="U62" i="54"/>
  <c r="V62" i="54"/>
  <c r="W62" i="54"/>
  <c r="X62" i="54"/>
  <c r="K63" i="54"/>
  <c r="M63" i="54"/>
  <c r="O63" i="54"/>
  <c r="Q63" i="54"/>
  <c r="S63" i="54"/>
  <c r="T63" i="54"/>
  <c r="U63" i="54"/>
  <c r="V63" i="54"/>
  <c r="W63" i="54"/>
  <c r="X63" i="54"/>
  <c r="K64" i="54"/>
  <c r="M64" i="54"/>
  <c r="O64" i="54"/>
  <c r="Q64" i="54"/>
  <c r="S64" i="54"/>
  <c r="T64" i="54"/>
  <c r="U64" i="54"/>
  <c r="V64" i="54"/>
  <c r="W64" i="54"/>
  <c r="X64" i="54"/>
  <c r="K65" i="54"/>
  <c r="M65" i="54"/>
  <c r="O65" i="54"/>
  <c r="Q65" i="54"/>
  <c r="S65" i="54"/>
  <c r="T65" i="54"/>
  <c r="U65" i="54"/>
  <c r="V65" i="54"/>
  <c r="W65" i="54"/>
  <c r="X65" i="54"/>
  <c r="K66" i="54"/>
  <c r="M66" i="54"/>
  <c r="O66" i="54"/>
  <c r="Q66" i="54"/>
  <c r="S66" i="54"/>
  <c r="T66" i="54"/>
  <c r="U66" i="54"/>
  <c r="V66" i="54"/>
  <c r="W66" i="54"/>
  <c r="X66" i="54"/>
  <c r="K67" i="54"/>
  <c r="M67" i="54"/>
  <c r="O67" i="54"/>
  <c r="Q67" i="54"/>
  <c r="S67" i="54"/>
  <c r="T67" i="54"/>
  <c r="U67" i="54"/>
  <c r="V67" i="54"/>
  <c r="W67" i="54"/>
  <c r="X67" i="54"/>
  <c r="K68" i="54"/>
  <c r="M68" i="54"/>
  <c r="O68" i="54"/>
  <c r="Q68" i="54"/>
  <c r="S68" i="54"/>
  <c r="T68" i="54"/>
  <c r="U68" i="54"/>
  <c r="V68" i="54"/>
  <c r="W68" i="54"/>
  <c r="X68" i="54"/>
  <c r="K69" i="54"/>
  <c r="M69" i="54"/>
  <c r="O69" i="54"/>
  <c r="Q69" i="54"/>
  <c r="S69" i="54"/>
  <c r="T69" i="54"/>
  <c r="U69" i="54"/>
  <c r="V69" i="54"/>
  <c r="W69" i="54"/>
  <c r="X69" i="54"/>
  <c r="K70" i="54"/>
  <c r="M70" i="54"/>
  <c r="O70" i="54"/>
  <c r="Q70" i="54"/>
  <c r="S70" i="54"/>
  <c r="T70" i="54"/>
  <c r="U70" i="54"/>
  <c r="V70" i="54"/>
  <c r="W70" i="54"/>
  <c r="X70" i="54"/>
  <c r="K71" i="54"/>
  <c r="M71" i="54"/>
  <c r="O71" i="54"/>
  <c r="Q71" i="54"/>
  <c r="S71" i="54"/>
  <c r="T71" i="54"/>
  <c r="U71" i="54"/>
  <c r="V71" i="54"/>
  <c r="W71" i="54"/>
  <c r="X71" i="54"/>
  <c r="K72" i="54"/>
  <c r="M72" i="54"/>
  <c r="O72" i="54"/>
  <c r="Q72" i="54"/>
  <c r="S72" i="54"/>
  <c r="T72" i="54"/>
  <c r="U72" i="54"/>
  <c r="V72" i="54"/>
  <c r="W72" i="54"/>
  <c r="X72" i="54"/>
  <c r="K73" i="54"/>
  <c r="M73" i="54"/>
  <c r="O73" i="54"/>
  <c r="Q73" i="54"/>
  <c r="S73" i="54"/>
  <c r="T73" i="54"/>
  <c r="U73" i="54"/>
  <c r="V73" i="54"/>
  <c r="W73" i="54"/>
  <c r="X73" i="54"/>
  <c r="K74" i="54"/>
  <c r="M74" i="54"/>
  <c r="O74" i="54"/>
  <c r="Q74" i="54"/>
  <c r="S74" i="54"/>
  <c r="T74" i="54"/>
  <c r="U74" i="54"/>
  <c r="V74" i="54"/>
  <c r="W74" i="54"/>
  <c r="X74" i="54"/>
  <c r="K75" i="54"/>
  <c r="M75" i="54"/>
  <c r="O75" i="54"/>
  <c r="Q75" i="54"/>
  <c r="S75" i="54"/>
  <c r="T75" i="54"/>
  <c r="U75" i="54"/>
  <c r="V75" i="54"/>
  <c r="W75" i="54"/>
  <c r="X75" i="54"/>
  <c r="K76" i="54"/>
  <c r="M76" i="54"/>
  <c r="O76" i="54"/>
  <c r="Q76" i="54"/>
  <c r="S76" i="54"/>
  <c r="T76" i="54"/>
  <c r="U76" i="54"/>
  <c r="V76" i="54"/>
  <c r="W76" i="54"/>
  <c r="X76" i="54"/>
  <c r="K77" i="54"/>
  <c r="M77" i="54"/>
  <c r="O77" i="54"/>
  <c r="Q77" i="54"/>
  <c r="S77" i="54"/>
  <c r="T77" i="54"/>
  <c r="U77" i="54"/>
  <c r="V77" i="54"/>
  <c r="W77" i="54"/>
  <c r="X77" i="54"/>
  <c r="K78" i="54"/>
  <c r="M78" i="54"/>
  <c r="O78" i="54"/>
  <c r="Q78" i="54"/>
  <c r="S78" i="54"/>
  <c r="T78" i="54"/>
  <c r="U78" i="54"/>
  <c r="V78" i="54"/>
  <c r="W78" i="54"/>
  <c r="X78" i="54"/>
  <c r="K79" i="54"/>
  <c r="M79" i="54"/>
  <c r="O79" i="54"/>
  <c r="Q79" i="54"/>
  <c r="S79" i="54"/>
  <c r="T79" i="54"/>
  <c r="U79" i="54"/>
  <c r="V79" i="54"/>
  <c r="W79" i="54"/>
  <c r="X79" i="54"/>
  <c r="K80" i="54"/>
  <c r="M80" i="54"/>
  <c r="O80" i="54"/>
  <c r="Q80" i="54"/>
  <c r="S80" i="54"/>
  <c r="T80" i="54"/>
  <c r="U80" i="54"/>
  <c r="V80" i="54"/>
  <c r="W80" i="54"/>
  <c r="X80" i="54"/>
  <c r="K81" i="54"/>
  <c r="M81" i="54"/>
  <c r="O81" i="54"/>
  <c r="Q81" i="54"/>
  <c r="S81" i="54"/>
  <c r="T81" i="54"/>
  <c r="U81" i="54"/>
  <c r="V81" i="54"/>
  <c r="W81" i="54"/>
  <c r="X81" i="54"/>
  <c r="K82" i="54"/>
  <c r="M82" i="54"/>
  <c r="O82" i="54"/>
  <c r="Q82" i="54"/>
  <c r="S82" i="54"/>
  <c r="T82" i="54"/>
  <c r="U82" i="54"/>
  <c r="V82" i="54"/>
  <c r="W82" i="54"/>
  <c r="X82" i="54"/>
  <c r="K83" i="54"/>
  <c r="M83" i="54"/>
  <c r="O83" i="54"/>
  <c r="Q83" i="54"/>
  <c r="S83" i="54"/>
  <c r="T83" i="54"/>
  <c r="U83" i="54"/>
  <c r="V83" i="54"/>
  <c r="W83" i="54"/>
  <c r="X83" i="54"/>
  <c r="K84" i="54"/>
  <c r="M84" i="54"/>
  <c r="O84" i="54"/>
  <c r="Q84" i="54"/>
  <c r="S84" i="54"/>
  <c r="T84" i="54"/>
  <c r="U84" i="54"/>
  <c r="V84" i="54"/>
  <c r="W84" i="54"/>
  <c r="X84" i="54"/>
  <c r="K85" i="54"/>
  <c r="M85" i="54"/>
  <c r="O85" i="54"/>
  <c r="Q85" i="54"/>
  <c r="S85" i="54"/>
  <c r="T85" i="54"/>
  <c r="U85" i="54"/>
  <c r="V85" i="54"/>
  <c r="W85" i="54"/>
  <c r="X85" i="54"/>
  <c r="K86" i="54"/>
  <c r="M86" i="54"/>
  <c r="O86" i="54"/>
  <c r="Q86" i="54"/>
  <c r="S86" i="54"/>
  <c r="T86" i="54"/>
  <c r="U86" i="54"/>
  <c r="V86" i="54"/>
  <c r="W86" i="54"/>
  <c r="X86" i="54"/>
  <c r="K87" i="54"/>
  <c r="M87" i="54"/>
  <c r="O87" i="54"/>
  <c r="Q87" i="54"/>
  <c r="S87" i="54"/>
  <c r="T87" i="54"/>
  <c r="U87" i="54"/>
  <c r="V87" i="54"/>
  <c r="W87" i="54"/>
  <c r="X87" i="54"/>
  <c r="K88" i="54"/>
  <c r="M88" i="54"/>
  <c r="O88" i="54"/>
  <c r="Q88" i="54"/>
  <c r="S88" i="54"/>
  <c r="T88" i="54"/>
  <c r="U88" i="54"/>
  <c r="V88" i="54"/>
  <c r="W88" i="54"/>
  <c r="X88" i="54"/>
  <c r="K89" i="54"/>
  <c r="M89" i="54"/>
  <c r="O89" i="54"/>
  <c r="Q89" i="54"/>
  <c r="S89" i="54"/>
  <c r="T89" i="54"/>
  <c r="U89" i="54"/>
  <c r="V89" i="54"/>
  <c r="W89" i="54"/>
  <c r="X89" i="54"/>
  <c r="K90" i="54"/>
  <c r="M90" i="54"/>
  <c r="O90" i="54"/>
  <c r="Q90" i="54"/>
  <c r="S90" i="54"/>
  <c r="T90" i="54"/>
  <c r="U90" i="54"/>
  <c r="V90" i="54"/>
  <c r="W90" i="54"/>
  <c r="X90" i="54"/>
  <c r="K91" i="54"/>
  <c r="M91" i="54"/>
  <c r="O91" i="54"/>
  <c r="Q91" i="54"/>
  <c r="S91" i="54"/>
  <c r="T91" i="54"/>
  <c r="U91" i="54"/>
  <c r="V91" i="54"/>
  <c r="W91" i="54"/>
  <c r="X91" i="54"/>
  <c r="K92" i="54"/>
  <c r="M92" i="54"/>
  <c r="O92" i="54"/>
  <c r="Q92" i="54"/>
  <c r="S92" i="54"/>
  <c r="T92" i="54"/>
  <c r="U92" i="54"/>
  <c r="V92" i="54"/>
  <c r="W92" i="54"/>
  <c r="X92" i="54"/>
  <c r="K93" i="54"/>
  <c r="M93" i="54"/>
  <c r="O93" i="54"/>
  <c r="Q93" i="54"/>
  <c r="S93" i="54"/>
  <c r="T93" i="54"/>
  <c r="U93" i="54"/>
  <c r="V93" i="54"/>
  <c r="W93" i="54"/>
  <c r="X93" i="54"/>
  <c r="K94" i="54"/>
  <c r="M94" i="54"/>
  <c r="O94" i="54"/>
  <c r="Q94" i="54"/>
  <c r="S94" i="54"/>
  <c r="T94" i="54"/>
  <c r="U94" i="54"/>
  <c r="V94" i="54"/>
  <c r="W94" i="54"/>
  <c r="X94" i="54"/>
  <c r="K95" i="54"/>
  <c r="M95" i="54"/>
  <c r="O95" i="54"/>
  <c r="Q95" i="54"/>
  <c r="S95" i="54"/>
  <c r="T95" i="54"/>
  <c r="U95" i="54"/>
  <c r="V95" i="54"/>
  <c r="W95" i="54"/>
  <c r="X95" i="54"/>
  <c r="K96" i="54"/>
  <c r="M96" i="54"/>
  <c r="O96" i="54"/>
  <c r="Q96" i="54"/>
  <c r="S96" i="54"/>
  <c r="T96" i="54"/>
  <c r="U96" i="54"/>
  <c r="V96" i="54"/>
  <c r="W96" i="54"/>
  <c r="X96" i="54"/>
  <c r="K97" i="54"/>
  <c r="M97" i="54"/>
  <c r="O97" i="54"/>
  <c r="Q97" i="54"/>
  <c r="S97" i="54"/>
  <c r="T97" i="54"/>
  <c r="U97" i="54"/>
  <c r="V97" i="54"/>
  <c r="W97" i="54"/>
  <c r="X97" i="54"/>
  <c r="K98" i="54"/>
  <c r="M98" i="54"/>
  <c r="O98" i="54"/>
  <c r="Q98" i="54"/>
  <c r="S98" i="54"/>
  <c r="T98" i="54"/>
  <c r="U98" i="54"/>
  <c r="V98" i="54"/>
  <c r="W98" i="54"/>
  <c r="X98" i="54"/>
  <c r="K99" i="54"/>
  <c r="M99" i="54"/>
  <c r="O99" i="54"/>
  <c r="Q99" i="54"/>
  <c r="S99" i="54"/>
  <c r="T99" i="54"/>
  <c r="U99" i="54"/>
  <c r="V99" i="54"/>
  <c r="W99" i="54"/>
  <c r="X99" i="54"/>
  <c r="K100" i="54"/>
  <c r="M100" i="54"/>
  <c r="O100" i="54"/>
  <c r="Q100" i="54"/>
  <c r="S100" i="54"/>
  <c r="T100" i="54"/>
  <c r="U100" i="54"/>
  <c r="V100" i="54"/>
  <c r="W100" i="54"/>
  <c r="X100" i="54"/>
  <c r="K101" i="54"/>
  <c r="M101" i="54"/>
  <c r="O101" i="54"/>
  <c r="Q101" i="54"/>
  <c r="S101" i="54"/>
  <c r="T101" i="54"/>
  <c r="U101" i="54"/>
  <c r="V101" i="54"/>
  <c r="W101" i="54"/>
  <c r="X101" i="54"/>
  <c r="K102" i="54"/>
  <c r="M102" i="54"/>
  <c r="O102" i="54"/>
  <c r="Q102" i="54"/>
  <c r="S102" i="54"/>
  <c r="T102" i="54"/>
  <c r="U102" i="54"/>
  <c r="V102" i="54"/>
  <c r="W102" i="54"/>
  <c r="X102" i="54"/>
  <c r="K103" i="54"/>
  <c r="M103" i="54"/>
  <c r="O103" i="54"/>
  <c r="Q103" i="54"/>
  <c r="S103" i="54"/>
  <c r="T103" i="54"/>
  <c r="U103" i="54"/>
  <c r="V103" i="54"/>
  <c r="W103" i="54"/>
  <c r="X103" i="54"/>
  <c r="K104" i="54"/>
  <c r="M104" i="54"/>
  <c r="O104" i="54"/>
  <c r="Q104" i="54"/>
  <c r="S104" i="54"/>
  <c r="T104" i="54"/>
  <c r="U104" i="54"/>
  <c r="V104" i="54"/>
  <c r="W104" i="54"/>
  <c r="X104" i="54"/>
  <c r="K105" i="54"/>
  <c r="M105" i="54"/>
  <c r="O105" i="54"/>
  <c r="Q105" i="54"/>
  <c r="S105" i="54"/>
  <c r="T105" i="54"/>
  <c r="U105" i="54"/>
  <c r="V105" i="54"/>
  <c r="W105" i="54"/>
  <c r="X105" i="54"/>
  <c r="K106" i="54"/>
  <c r="M106" i="54"/>
  <c r="O106" i="54"/>
  <c r="Q106" i="54"/>
  <c r="S106" i="54"/>
  <c r="T106" i="54"/>
  <c r="U106" i="54"/>
  <c r="V106" i="54"/>
  <c r="W106" i="54"/>
  <c r="X106" i="54"/>
  <c r="K107" i="54"/>
  <c r="M107" i="54"/>
  <c r="O107" i="54"/>
  <c r="Q107" i="54"/>
  <c r="S107" i="54"/>
  <c r="T107" i="54"/>
  <c r="U107" i="54"/>
  <c r="V107" i="54"/>
  <c r="W107" i="54"/>
  <c r="X107" i="54"/>
  <c r="K108" i="54"/>
  <c r="M108" i="54"/>
  <c r="O108" i="54"/>
  <c r="Q108" i="54"/>
  <c r="S108" i="54"/>
  <c r="T108" i="54"/>
  <c r="U108" i="54"/>
  <c r="V108" i="54"/>
  <c r="W108" i="54"/>
  <c r="X108" i="54"/>
  <c r="K109" i="54"/>
  <c r="M109" i="54"/>
  <c r="O109" i="54"/>
  <c r="Q109" i="54"/>
  <c r="S109" i="54"/>
  <c r="T109" i="54"/>
  <c r="U109" i="54"/>
  <c r="V109" i="54"/>
  <c r="W109" i="54"/>
  <c r="X109" i="54"/>
  <c r="K110" i="54"/>
  <c r="M110" i="54"/>
  <c r="O110" i="54"/>
  <c r="Q110" i="54"/>
  <c r="S110" i="54"/>
  <c r="T110" i="54"/>
  <c r="U110" i="54"/>
  <c r="V110" i="54"/>
  <c r="W110" i="54"/>
  <c r="X110" i="54"/>
  <c r="K111" i="54"/>
  <c r="M111" i="54"/>
  <c r="O111" i="54"/>
  <c r="Q111" i="54"/>
  <c r="S111" i="54"/>
  <c r="T111" i="54"/>
  <c r="U111" i="54"/>
  <c r="V111" i="54"/>
  <c r="W111" i="54"/>
  <c r="X111" i="54"/>
  <c r="K112" i="54"/>
  <c r="M112" i="54"/>
  <c r="O112" i="54"/>
  <c r="Q112" i="54"/>
  <c r="S112" i="54"/>
  <c r="T112" i="54"/>
  <c r="U112" i="54"/>
  <c r="V112" i="54"/>
  <c r="W112" i="54"/>
  <c r="X112" i="54"/>
  <c r="K113" i="54"/>
  <c r="M113" i="54"/>
  <c r="O113" i="54"/>
  <c r="Q113" i="54"/>
  <c r="S113" i="54"/>
  <c r="T113" i="54"/>
  <c r="U113" i="54"/>
  <c r="V113" i="54"/>
  <c r="W113" i="54"/>
  <c r="X113" i="54"/>
  <c r="K114" i="54"/>
  <c r="M114" i="54"/>
  <c r="O114" i="54"/>
  <c r="Q114" i="54"/>
  <c r="S114" i="54"/>
  <c r="T114" i="54"/>
  <c r="U114" i="54"/>
  <c r="V114" i="54"/>
  <c r="W114" i="54"/>
  <c r="X114" i="54"/>
  <c r="K115" i="54"/>
  <c r="M115" i="54"/>
  <c r="O115" i="54"/>
  <c r="Q115" i="54"/>
  <c r="S115" i="54"/>
  <c r="T115" i="54"/>
  <c r="U115" i="54"/>
  <c r="V115" i="54"/>
  <c r="W115" i="54"/>
  <c r="X115" i="54"/>
  <c r="K116" i="54"/>
  <c r="M116" i="54"/>
  <c r="O116" i="54"/>
  <c r="Q116" i="54"/>
  <c r="S116" i="54"/>
  <c r="T116" i="54"/>
  <c r="U116" i="54"/>
  <c r="V116" i="54"/>
  <c r="W116" i="54"/>
  <c r="X116" i="54"/>
  <c r="K117" i="54"/>
  <c r="M117" i="54"/>
  <c r="O117" i="54"/>
  <c r="Q117" i="54"/>
  <c r="S117" i="54"/>
  <c r="T117" i="54"/>
  <c r="U117" i="54"/>
  <c r="V117" i="54"/>
  <c r="W117" i="54"/>
  <c r="X117" i="54"/>
  <c r="K118" i="54"/>
  <c r="M118" i="54"/>
  <c r="O118" i="54"/>
  <c r="Q118" i="54"/>
  <c r="S118" i="54"/>
  <c r="T118" i="54"/>
  <c r="U118" i="54"/>
  <c r="V118" i="54"/>
  <c r="W118" i="54"/>
  <c r="X118" i="54"/>
  <c r="K119" i="54"/>
  <c r="M119" i="54"/>
  <c r="O119" i="54"/>
  <c r="Q119" i="54"/>
  <c r="S119" i="54"/>
  <c r="T119" i="54"/>
  <c r="U119" i="54"/>
  <c r="V119" i="54"/>
  <c r="W119" i="54"/>
  <c r="X119" i="54"/>
  <c r="K120" i="54"/>
  <c r="M120" i="54"/>
  <c r="O120" i="54"/>
  <c r="Q120" i="54"/>
  <c r="S120" i="54"/>
  <c r="T120" i="54"/>
  <c r="U120" i="54"/>
  <c r="V120" i="54"/>
  <c r="W120" i="54"/>
  <c r="X120" i="54"/>
  <c r="K121" i="54"/>
  <c r="M121" i="54"/>
  <c r="O121" i="54"/>
  <c r="Q121" i="54"/>
  <c r="S121" i="54"/>
  <c r="T121" i="54"/>
  <c r="U121" i="54"/>
  <c r="V121" i="54"/>
  <c r="W121" i="54"/>
  <c r="X121" i="54"/>
  <c r="K122" i="54"/>
  <c r="M122" i="54"/>
  <c r="O122" i="54"/>
  <c r="Q122" i="54"/>
  <c r="S122" i="54"/>
  <c r="T122" i="54"/>
  <c r="U122" i="54"/>
  <c r="V122" i="54"/>
  <c r="W122" i="54"/>
  <c r="X122" i="54"/>
  <c r="K123" i="54"/>
  <c r="M123" i="54"/>
  <c r="O123" i="54"/>
  <c r="Q123" i="54"/>
  <c r="S123" i="54"/>
  <c r="T123" i="54"/>
  <c r="U123" i="54"/>
  <c r="V123" i="54"/>
  <c r="W123" i="54"/>
  <c r="X123" i="54"/>
  <c r="K124" i="54"/>
  <c r="M124" i="54"/>
  <c r="O124" i="54"/>
  <c r="Q124" i="54"/>
  <c r="S124" i="54"/>
  <c r="T124" i="54"/>
  <c r="U124" i="54"/>
  <c r="V124" i="54"/>
  <c r="W124" i="54"/>
  <c r="X124" i="54"/>
  <c r="K125" i="54"/>
  <c r="M125" i="54"/>
  <c r="O125" i="54"/>
  <c r="Q125" i="54"/>
  <c r="S125" i="54"/>
  <c r="T125" i="54"/>
  <c r="U125" i="54"/>
  <c r="V125" i="54"/>
  <c r="W125" i="54"/>
  <c r="X125" i="54"/>
  <c r="K126" i="54"/>
  <c r="M126" i="54"/>
  <c r="O126" i="54"/>
  <c r="Q126" i="54"/>
  <c r="S126" i="54"/>
  <c r="T126" i="54"/>
  <c r="U126" i="54"/>
  <c r="V126" i="54"/>
  <c r="W126" i="54"/>
  <c r="X126" i="54"/>
  <c r="K127" i="54"/>
  <c r="M127" i="54"/>
  <c r="O127" i="54"/>
  <c r="Q127" i="54"/>
  <c r="S127" i="54"/>
  <c r="T127" i="54"/>
  <c r="U127" i="54"/>
  <c r="V127" i="54"/>
  <c r="W127" i="54"/>
  <c r="X127" i="54"/>
  <c r="K128" i="54"/>
  <c r="M128" i="54"/>
  <c r="O128" i="54"/>
  <c r="Q128" i="54"/>
  <c r="S128" i="54"/>
  <c r="T128" i="54"/>
  <c r="U128" i="54"/>
  <c r="V128" i="54"/>
  <c r="W128" i="54"/>
  <c r="X128" i="54"/>
  <c r="K129" i="54"/>
  <c r="M129" i="54"/>
  <c r="O129" i="54"/>
  <c r="Q129" i="54"/>
  <c r="S129" i="54"/>
  <c r="T129" i="54"/>
  <c r="U129" i="54"/>
  <c r="V129" i="54"/>
  <c r="W129" i="54"/>
  <c r="X129" i="54"/>
  <c r="K130" i="54"/>
  <c r="M130" i="54"/>
  <c r="O130" i="54"/>
  <c r="Q130" i="54"/>
  <c r="S130" i="54"/>
  <c r="T130" i="54"/>
  <c r="U130" i="54"/>
  <c r="V130" i="54"/>
  <c r="W130" i="54"/>
  <c r="X130" i="54"/>
  <c r="K131" i="54"/>
  <c r="M131" i="54"/>
  <c r="O131" i="54"/>
  <c r="Q131" i="54"/>
  <c r="S131" i="54"/>
  <c r="T131" i="54"/>
  <c r="U131" i="54"/>
  <c r="V131" i="54"/>
  <c r="W131" i="54"/>
  <c r="X131" i="54"/>
  <c r="K132" i="54"/>
  <c r="M132" i="54"/>
  <c r="O132" i="54"/>
  <c r="Q132" i="54"/>
  <c r="S132" i="54"/>
  <c r="T132" i="54"/>
  <c r="U132" i="54"/>
  <c r="V132" i="54"/>
  <c r="W132" i="54"/>
  <c r="X132" i="54"/>
  <c r="K133" i="54"/>
  <c r="M133" i="54"/>
  <c r="O133" i="54"/>
  <c r="Q133" i="54"/>
  <c r="S133" i="54"/>
  <c r="T133" i="54"/>
  <c r="U133" i="54"/>
  <c r="V133" i="54"/>
  <c r="W133" i="54"/>
  <c r="X133" i="54"/>
  <c r="K134" i="54"/>
  <c r="M134" i="54"/>
  <c r="O134" i="54"/>
  <c r="Q134" i="54"/>
  <c r="S134" i="54"/>
  <c r="T134" i="54"/>
  <c r="U134" i="54"/>
  <c r="V134" i="54"/>
  <c r="W134" i="54"/>
  <c r="X134" i="54"/>
  <c r="K135" i="54"/>
  <c r="M135" i="54"/>
  <c r="O135" i="54"/>
  <c r="Q135" i="54"/>
  <c r="S135" i="54"/>
  <c r="T135" i="54"/>
  <c r="U135" i="54"/>
  <c r="V135" i="54"/>
  <c r="W135" i="54"/>
  <c r="X135" i="54"/>
  <c r="K136" i="54"/>
  <c r="M136" i="54"/>
  <c r="O136" i="54"/>
  <c r="Q136" i="54"/>
  <c r="S136" i="54"/>
  <c r="T136" i="54"/>
  <c r="U136" i="54"/>
  <c r="V136" i="54"/>
  <c r="W136" i="54"/>
  <c r="X136" i="54"/>
  <c r="K137" i="54"/>
  <c r="M137" i="54"/>
  <c r="O137" i="54"/>
  <c r="Q137" i="54"/>
  <c r="S137" i="54"/>
  <c r="T137" i="54"/>
  <c r="U137" i="54"/>
  <c r="V137" i="54"/>
  <c r="W137" i="54"/>
  <c r="X137" i="54"/>
  <c r="K138" i="54"/>
  <c r="M138" i="54"/>
  <c r="O138" i="54"/>
  <c r="Q138" i="54"/>
  <c r="S138" i="54"/>
  <c r="T138" i="54"/>
  <c r="U138" i="54"/>
  <c r="V138" i="54"/>
  <c r="W138" i="54"/>
  <c r="X138" i="54"/>
  <c r="K139" i="54"/>
  <c r="M139" i="54"/>
  <c r="O139" i="54"/>
  <c r="Q139" i="54"/>
  <c r="S139" i="54"/>
  <c r="T139" i="54"/>
  <c r="U139" i="54"/>
  <c r="V139" i="54"/>
  <c r="W139" i="54"/>
  <c r="X139" i="54"/>
  <c r="K140" i="54"/>
  <c r="M140" i="54"/>
  <c r="O140" i="54"/>
  <c r="Q140" i="54"/>
  <c r="S140" i="54"/>
  <c r="T140" i="54"/>
  <c r="U140" i="54"/>
  <c r="V140" i="54"/>
  <c r="W140" i="54"/>
  <c r="X140" i="54"/>
  <c r="K141" i="54"/>
  <c r="M141" i="54"/>
  <c r="O141" i="54"/>
  <c r="Q141" i="54"/>
  <c r="S141" i="54"/>
  <c r="T141" i="54"/>
  <c r="U141" i="54"/>
  <c r="V141" i="54"/>
  <c r="W141" i="54"/>
  <c r="X141" i="54"/>
  <c r="K142" i="54"/>
  <c r="M142" i="54"/>
  <c r="O142" i="54"/>
  <c r="Q142" i="54"/>
  <c r="S142" i="54"/>
  <c r="T142" i="54"/>
  <c r="U142" i="54"/>
  <c r="V142" i="54"/>
  <c r="W142" i="54"/>
  <c r="X142" i="54"/>
  <c r="K143" i="54"/>
  <c r="M143" i="54"/>
  <c r="O143" i="54"/>
  <c r="Q143" i="54"/>
  <c r="S143" i="54"/>
  <c r="T143" i="54"/>
  <c r="U143" i="54"/>
  <c r="V143" i="54"/>
  <c r="W143" i="54"/>
  <c r="X143" i="54"/>
  <c r="K144" i="54"/>
  <c r="M144" i="54"/>
  <c r="O144" i="54"/>
  <c r="Q144" i="54"/>
  <c r="S144" i="54"/>
  <c r="T144" i="54"/>
  <c r="U144" i="54"/>
  <c r="V144" i="54"/>
  <c r="W144" i="54"/>
  <c r="X144" i="54"/>
  <c r="K145" i="54"/>
  <c r="M145" i="54"/>
  <c r="O145" i="54"/>
  <c r="Q145" i="54"/>
  <c r="S145" i="54"/>
  <c r="T145" i="54"/>
  <c r="U145" i="54"/>
  <c r="V145" i="54"/>
  <c r="W145" i="54"/>
  <c r="X145" i="54"/>
  <c r="K146" i="54"/>
  <c r="M146" i="54"/>
  <c r="O146" i="54"/>
  <c r="Q146" i="54"/>
  <c r="S146" i="54"/>
  <c r="T146" i="54"/>
  <c r="U146" i="54"/>
  <c r="V146" i="54"/>
  <c r="W146" i="54"/>
  <c r="X146" i="54"/>
  <c r="K147" i="54"/>
  <c r="M147" i="54"/>
  <c r="O147" i="54"/>
  <c r="Q147" i="54"/>
  <c r="S147" i="54"/>
  <c r="T147" i="54"/>
  <c r="U147" i="54"/>
  <c r="V147" i="54"/>
  <c r="W147" i="54"/>
  <c r="X147" i="54"/>
  <c r="K148" i="54"/>
  <c r="M148" i="54"/>
  <c r="O148" i="54"/>
  <c r="Q148" i="54"/>
  <c r="S148" i="54"/>
  <c r="T148" i="54"/>
  <c r="U148" i="54"/>
  <c r="V148" i="54"/>
  <c r="W148" i="54"/>
  <c r="X148" i="54"/>
  <c r="K149" i="54"/>
  <c r="M149" i="54"/>
  <c r="O149" i="54"/>
  <c r="Q149" i="54"/>
  <c r="S149" i="54"/>
  <c r="T149" i="54"/>
  <c r="U149" i="54"/>
  <c r="V149" i="54"/>
  <c r="W149" i="54"/>
  <c r="X149" i="54"/>
  <c r="K150" i="54"/>
  <c r="M150" i="54"/>
  <c r="O150" i="54"/>
  <c r="Q150" i="54"/>
  <c r="S150" i="54"/>
  <c r="T150" i="54"/>
  <c r="U150" i="54"/>
  <c r="V150" i="54"/>
  <c r="W150" i="54"/>
  <c r="X150" i="54"/>
  <c r="K151" i="54"/>
  <c r="M151" i="54"/>
  <c r="O151" i="54"/>
  <c r="Q151" i="54"/>
  <c r="S151" i="54"/>
  <c r="T151" i="54"/>
  <c r="U151" i="54"/>
  <c r="V151" i="54"/>
  <c r="W151" i="54"/>
  <c r="X151" i="54"/>
  <c r="K152" i="54"/>
  <c r="M152" i="54"/>
  <c r="O152" i="54"/>
  <c r="Q152" i="54"/>
  <c r="S152" i="54"/>
  <c r="T152" i="54"/>
  <c r="U152" i="54"/>
  <c r="V152" i="54"/>
  <c r="W152" i="54"/>
  <c r="X152" i="54"/>
  <c r="K153" i="54"/>
  <c r="M153" i="54"/>
  <c r="O153" i="54"/>
  <c r="Q153" i="54"/>
  <c r="S153" i="54"/>
  <c r="T153" i="54"/>
  <c r="U153" i="54"/>
  <c r="V153" i="54"/>
  <c r="W153" i="54"/>
  <c r="X153" i="54"/>
  <c r="K154" i="54"/>
  <c r="M154" i="54"/>
  <c r="O154" i="54"/>
  <c r="Q154" i="54"/>
  <c r="S154" i="54"/>
  <c r="T154" i="54"/>
  <c r="U154" i="54"/>
  <c r="V154" i="54"/>
  <c r="W154" i="54"/>
  <c r="X154" i="54"/>
  <c r="K155" i="54"/>
  <c r="M155" i="54"/>
  <c r="O155" i="54"/>
  <c r="Q155" i="54"/>
  <c r="S155" i="54"/>
  <c r="T155" i="54"/>
  <c r="U155" i="54"/>
  <c r="V155" i="54"/>
  <c r="W155" i="54"/>
  <c r="X155" i="54"/>
  <c r="K156" i="54"/>
  <c r="M156" i="54"/>
  <c r="O156" i="54"/>
  <c r="Q156" i="54"/>
  <c r="S156" i="54"/>
  <c r="T156" i="54"/>
  <c r="U156" i="54"/>
  <c r="V156" i="54"/>
  <c r="W156" i="54"/>
  <c r="X156" i="54"/>
  <c r="K157" i="54"/>
  <c r="M157" i="54"/>
  <c r="O157" i="54"/>
  <c r="Q157" i="54"/>
  <c r="S157" i="54"/>
  <c r="T157" i="54"/>
  <c r="U157" i="54"/>
  <c r="V157" i="54"/>
  <c r="W157" i="54"/>
  <c r="X157" i="54"/>
  <c r="K158" i="54"/>
  <c r="M158" i="54"/>
  <c r="O158" i="54"/>
  <c r="Q158" i="54"/>
  <c r="S158" i="54"/>
  <c r="T158" i="54"/>
  <c r="U158" i="54"/>
  <c r="V158" i="54"/>
  <c r="W158" i="54"/>
  <c r="X158" i="54"/>
  <c r="K159" i="54"/>
  <c r="M159" i="54"/>
  <c r="O159" i="54"/>
  <c r="Q159" i="54"/>
  <c r="S159" i="54"/>
  <c r="T159" i="54"/>
  <c r="U159" i="54"/>
  <c r="V159" i="54"/>
  <c r="W159" i="54"/>
  <c r="X159" i="54"/>
  <c r="K160" i="54"/>
  <c r="M160" i="54"/>
  <c r="O160" i="54"/>
  <c r="Q160" i="54"/>
  <c r="S160" i="54"/>
  <c r="T160" i="54"/>
  <c r="U160" i="54"/>
  <c r="V160" i="54"/>
  <c r="W160" i="54"/>
  <c r="X160" i="54"/>
  <c r="K161" i="54"/>
  <c r="M161" i="54"/>
  <c r="O161" i="54"/>
  <c r="Q161" i="54"/>
  <c r="S161" i="54"/>
  <c r="T161" i="54"/>
  <c r="U161" i="54"/>
  <c r="V161" i="54"/>
  <c r="W161" i="54"/>
  <c r="X161" i="54"/>
  <c r="K162" i="54"/>
  <c r="M162" i="54"/>
  <c r="O162" i="54"/>
  <c r="Q162" i="54"/>
  <c r="S162" i="54"/>
  <c r="T162" i="54"/>
  <c r="U162" i="54"/>
  <c r="V162" i="54"/>
  <c r="W162" i="54"/>
  <c r="X162" i="54"/>
  <c r="K163" i="54"/>
  <c r="M163" i="54"/>
  <c r="O163" i="54"/>
  <c r="Q163" i="54"/>
  <c r="S163" i="54"/>
  <c r="T163" i="54"/>
  <c r="U163" i="54"/>
  <c r="V163" i="54"/>
  <c r="W163" i="54"/>
  <c r="X163" i="54"/>
  <c r="K164" i="54"/>
  <c r="M164" i="54"/>
  <c r="O164" i="54"/>
  <c r="Q164" i="54"/>
  <c r="S164" i="54"/>
  <c r="T164" i="54"/>
  <c r="U164" i="54"/>
  <c r="V164" i="54"/>
  <c r="W164" i="54"/>
  <c r="X164" i="54"/>
  <c r="K165" i="54"/>
  <c r="M165" i="54"/>
  <c r="O165" i="54"/>
  <c r="Q165" i="54"/>
  <c r="S165" i="54"/>
  <c r="T165" i="54"/>
  <c r="U165" i="54"/>
  <c r="V165" i="54"/>
  <c r="W165" i="54"/>
  <c r="X165" i="54"/>
  <c r="K166" i="54"/>
  <c r="M166" i="54"/>
  <c r="O166" i="54"/>
  <c r="Q166" i="54"/>
  <c r="S166" i="54"/>
  <c r="T166" i="54"/>
  <c r="U166" i="54"/>
  <c r="V166" i="54"/>
  <c r="W166" i="54"/>
  <c r="X166" i="54"/>
  <c r="K167" i="54"/>
  <c r="M167" i="54"/>
  <c r="O167" i="54"/>
  <c r="Q167" i="54"/>
  <c r="S167" i="54"/>
  <c r="T167" i="54"/>
  <c r="U167" i="54"/>
  <c r="V167" i="54"/>
  <c r="W167" i="54"/>
  <c r="X167" i="54"/>
  <c r="K168" i="54"/>
  <c r="M168" i="54"/>
  <c r="O168" i="54"/>
  <c r="Q168" i="54"/>
  <c r="S168" i="54"/>
  <c r="T168" i="54"/>
  <c r="U168" i="54"/>
  <c r="V168" i="54"/>
  <c r="W168" i="54"/>
  <c r="X168" i="54"/>
  <c r="K169" i="54"/>
  <c r="M169" i="54"/>
  <c r="O169" i="54"/>
  <c r="Q169" i="54"/>
  <c r="S169" i="54"/>
  <c r="T169" i="54"/>
  <c r="U169" i="54"/>
  <c r="V169" i="54"/>
  <c r="W169" i="54"/>
  <c r="X169" i="54"/>
  <c r="K170" i="54"/>
  <c r="M170" i="54"/>
  <c r="O170" i="54"/>
  <c r="Q170" i="54"/>
  <c r="S170" i="54"/>
  <c r="T170" i="54"/>
  <c r="U170" i="54"/>
  <c r="V170" i="54"/>
  <c r="W170" i="54"/>
  <c r="X170" i="54"/>
  <c r="K171" i="54"/>
  <c r="M171" i="54"/>
  <c r="O171" i="54"/>
  <c r="Q171" i="54"/>
  <c r="S171" i="54"/>
  <c r="T171" i="54"/>
  <c r="U171" i="54"/>
  <c r="V171" i="54"/>
  <c r="W171" i="54"/>
  <c r="X171" i="54"/>
  <c r="K172" i="54"/>
  <c r="M172" i="54"/>
  <c r="O172" i="54"/>
  <c r="Q172" i="54"/>
  <c r="S172" i="54"/>
  <c r="T172" i="54"/>
  <c r="U172" i="54"/>
  <c r="V172" i="54"/>
  <c r="W172" i="54"/>
  <c r="X172" i="54"/>
  <c r="K173" i="54"/>
  <c r="M173" i="54"/>
  <c r="O173" i="54"/>
  <c r="Q173" i="54"/>
  <c r="S173" i="54"/>
  <c r="T173" i="54"/>
  <c r="U173" i="54"/>
  <c r="V173" i="54"/>
  <c r="W173" i="54"/>
  <c r="X173" i="54"/>
  <c r="K174" i="54"/>
  <c r="M174" i="54"/>
  <c r="O174" i="54"/>
  <c r="Q174" i="54"/>
  <c r="S174" i="54"/>
  <c r="T174" i="54"/>
  <c r="U174" i="54"/>
  <c r="V174" i="54"/>
  <c r="W174" i="54"/>
  <c r="X174" i="54"/>
  <c r="K175" i="54"/>
  <c r="M175" i="54"/>
  <c r="O175" i="54"/>
  <c r="Q175" i="54"/>
  <c r="S175" i="54"/>
  <c r="T175" i="54"/>
  <c r="U175" i="54"/>
  <c r="V175" i="54"/>
  <c r="W175" i="54"/>
  <c r="X175" i="54"/>
  <c r="K176" i="54"/>
  <c r="M176" i="54"/>
  <c r="O176" i="54"/>
  <c r="Q176" i="54"/>
  <c r="S176" i="54"/>
  <c r="T176" i="54"/>
  <c r="U176" i="54"/>
  <c r="V176" i="54"/>
  <c r="W176" i="54"/>
  <c r="X176" i="54"/>
  <c r="K177" i="54"/>
  <c r="M177" i="54"/>
  <c r="O177" i="54"/>
  <c r="Q177" i="54"/>
  <c r="S177" i="54"/>
  <c r="T177" i="54"/>
  <c r="U177" i="54"/>
  <c r="V177" i="54"/>
  <c r="W177" i="54"/>
  <c r="X177" i="54"/>
  <c r="K178" i="54"/>
  <c r="M178" i="54"/>
  <c r="O178" i="54"/>
  <c r="Q178" i="54"/>
  <c r="S178" i="54"/>
  <c r="T178" i="54"/>
  <c r="U178" i="54"/>
  <c r="V178" i="54"/>
  <c r="W178" i="54"/>
  <c r="X178" i="54"/>
  <c r="K179" i="54"/>
  <c r="M179" i="54"/>
  <c r="O179" i="54"/>
  <c r="Q179" i="54"/>
  <c r="S179" i="54"/>
  <c r="T179" i="54"/>
  <c r="U179" i="54"/>
  <c r="V179" i="54"/>
  <c r="W179" i="54"/>
  <c r="X179" i="54"/>
  <c r="K180" i="54"/>
  <c r="M180" i="54"/>
  <c r="O180" i="54"/>
  <c r="Q180" i="54"/>
  <c r="S180" i="54"/>
  <c r="T180" i="54"/>
  <c r="U180" i="54"/>
  <c r="V180" i="54"/>
  <c r="W180" i="54"/>
  <c r="X180" i="54"/>
  <c r="K181" i="54"/>
  <c r="M181" i="54"/>
  <c r="O181" i="54"/>
  <c r="Q181" i="54"/>
  <c r="S181" i="54"/>
  <c r="T181" i="54"/>
  <c r="U181" i="54"/>
  <c r="V181" i="54"/>
  <c r="W181" i="54"/>
  <c r="X181" i="54"/>
  <c r="K182" i="54"/>
  <c r="M182" i="54"/>
  <c r="O182" i="54"/>
  <c r="Q182" i="54"/>
  <c r="S182" i="54"/>
  <c r="T182" i="54"/>
  <c r="U182" i="54"/>
  <c r="V182" i="54"/>
  <c r="W182" i="54"/>
  <c r="X182" i="54"/>
  <c r="K183" i="54"/>
  <c r="M183" i="54"/>
  <c r="O183" i="54"/>
  <c r="Q183" i="54"/>
  <c r="S183" i="54"/>
  <c r="T183" i="54"/>
  <c r="U183" i="54"/>
  <c r="V183" i="54"/>
  <c r="W183" i="54"/>
  <c r="X183" i="54"/>
  <c r="K184" i="54"/>
  <c r="M184" i="54"/>
  <c r="O184" i="54"/>
  <c r="Q184" i="54"/>
  <c r="S184" i="54"/>
  <c r="T184" i="54"/>
  <c r="U184" i="54"/>
  <c r="V184" i="54"/>
  <c r="W184" i="54"/>
  <c r="X184" i="54"/>
  <c r="K185" i="54"/>
  <c r="M185" i="54"/>
  <c r="O185" i="54"/>
  <c r="Q185" i="54"/>
  <c r="S185" i="54"/>
  <c r="T185" i="54"/>
  <c r="U185" i="54"/>
  <c r="V185" i="54"/>
  <c r="W185" i="54"/>
  <c r="X185" i="54"/>
  <c r="K186" i="54"/>
  <c r="M186" i="54"/>
  <c r="O186" i="54"/>
  <c r="Q186" i="54"/>
  <c r="S186" i="54"/>
  <c r="T186" i="54"/>
  <c r="U186" i="54"/>
  <c r="V186" i="54"/>
  <c r="W186" i="54"/>
  <c r="X186" i="54"/>
  <c r="K187" i="54"/>
  <c r="M187" i="54"/>
  <c r="O187" i="54"/>
  <c r="Q187" i="54"/>
  <c r="S187" i="54"/>
  <c r="T187" i="54"/>
  <c r="U187" i="54"/>
  <c r="V187" i="54"/>
  <c r="W187" i="54"/>
  <c r="X187" i="54"/>
  <c r="K188" i="54"/>
  <c r="M188" i="54"/>
  <c r="O188" i="54"/>
  <c r="Q188" i="54"/>
  <c r="S188" i="54"/>
  <c r="T188" i="54"/>
  <c r="U188" i="54"/>
  <c r="V188" i="54"/>
  <c r="W188" i="54"/>
  <c r="X188" i="54"/>
  <c r="K189" i="54"/>
  <c r="M189" i="54"/>
  <c r="O189" i="54"/>
  <c r="Q189" i="54"/>
  <c r="S189" i="54"/>
  <c r="T189" i="54"/>
  <c r="U189" i="54"/>
  <c r="V189" i="54"/>
  <c r="W189" i="54"/>
  <c r="X189" i="54"/>
  <c r="K190" i="54"/>
  <c r="M190" i="54"/>
  <c r="O190" i="54"/>
  <c r="Q190" i="54"/>
  <c r="S190" i="54"/>
  <c r="T190" i="54"/>
  <c r="U190" i="54"/>
  <c r="V190" i="54"/>
  <c r="W190" i="54"/>
  <c r="X190" i="54"/>
  <c r="K191" i="54"/>
  <c r="M191" i="54"/>
  <c r="O191" i="54"/>
  <c r="Q191" i="54"/>
  <c r="S191" i="54"/>
  <c r="T191" i="54"/>
  <c r="U191" i="54"/>
  <c r="V191" i="54"/>
  <c r="W191" i="54"/>
  <c r="X191" i="54"/>
  <c r="K192" i="54"/>
  <c r="M192" i="54"/>
  <c r="O192" i="54"/>
  <c r="Q192" i="54"/>
  <c r="S192" i="54"/>
  <c r="T192" i="54"/>
  <c r="U192" i="54"/>
  <c r="V192" i="54"/>
  <c r="W192" i="54"/>
  <c r="X192" i="54"/>
  <c r="K193" i="54"/>
  <c r="M193" i="54"/>
  <c r="O193" i="54"/>
  <c r="Q193" i="54"/>
  <c r="S193" i="54"/>
  <c r="T193" i="54"/>
  <c r="U193" i="54"/>
  <c r="V193" i="54"/>
  <c r="W193" i="54"/>
  <c r="X193" i="54"/>
  <c r="K194" i="54"/>
  <c r="M194" i="54"/>
  <c r="O194" i="54"/>
  <c r="Q194" i="54"/>
  <c r="S194" i="54"/>
  <c r="T194" i="54"/>
  <c r="U194" i="54"/>
  <c r="V194" i="54"/>
  <c r="W194" i="54"/>
  <c r="X194" i="54"/>
  <c r="K195" i="54"/>
  <c r="M195" i="54"/>
  <c r="O195" i="54"/>
  <c r="Q195" i="54"/>
  <c r="S195" i="54"/>
  <c r="T195" i="54"/>
  <c r="U195" i="54"/>
  <c r="V195" i="54"/>
  <c r="W195" i="54"/>
  <c r="X195" i="54"/>
  <c r="K196" i="54"/>
  <c r="M196" i="54"/>
  <c r="O196" i="54"/>
  <c r="Q196" i="54"/>
  <c r="S196" i="54"/>
  <c r="T196" i="54"/>
  <c r="U196" i="54"/>
  <c r="V196" i="54"/>
  <c r="W196" i="54"/>
  <c r="X196" i="54"/>
  <c r="K197" i="54"/>
  <c r="M197" i="54"/>
  <c r="O197" i="54"/>
  <c r="Q197" i="54"/>
  <c r="S197" i="54"/>
  <c r="T197" i="54"/>
  <c r="U197" i="54"/>
  <c r="V197" i="54"/>
  <c r="W197" i="54"/>
  <c r="X197" i="54"/>
  <c r="K198" i="54"/>
  <c r="M198" i="54"/>
  <c r="O198" i="54"/>
  <c r="Q198" i="54"/>
  <c r="S198" i="54"/>
  <c r="T198" i="54"/>
  <c r="U198" i="54"/>
  <c r="V198" i="54"/>
  <c r="W198" i="54"/>
  <c r="X198" i="54"/>
  <c r="K199" i="54"/>
  <c r="M199" i="54"/>
  <c r="O199" i="54"/>
  <c r="Q199" i="54"/>
  <c r="S199" i="54"/>
  <c r="T199" i="54"/>
  <c r="U199" i="54"/>
  <c r="V199" i="54"/>
  <c r="W199" i="54"/>
  <c r="X199" i="54"/>
  <c r="K200" i="54"/>
  <c r="M200" i="54"/>
  <c r="O200" i="54"/>
  <c r="Q200" i="54"/>
  <c r="S200" i="54"/>
  <c r="T200" i="54"/>
  <c r="U200" i="54"/>
  <c r="V200" i="54"/>
  <c r="W200" i="54"/>
  <c r="X200" i="54"/>
  <c r="K201" i="54"/>
  <c r="M201" i="54"/>
  <c r="O201" i="54"/>
  <c r="Q201" i="54"/>
  <c r="S201" i="54"/>
  <c r="T201" i="54"/>
  <c r="U201" i="54"/>
  <c r="V201" i="54"/>
  <c r="W201" i="54"/>
  <c r="X201" i="54"/>
  <c r="K202" i="54"/>
  <c r="M202" i="54"/>
  <c r="O202" i="54"/>
  <c r="Q202" i="54"/>
  <c r="S202" i="54"/>
  <c r="T202" i="54"/>
  <c r="U202" i="54"/>
  <c r="V202" i="54"/>
  <c r="W202" i="54"/>
  <c r="X202" i="54"/>
  <c r="K203" i="54"/>
  <c r="M203" i="54"/>
  <c r="O203" i="54"/>
  <c r="Q203" i="54"/>
  <c r="S203" i="54"/>
  <c r="T203" i="54"/>
  <c r="U203" i="54"/>
  <c r="V203" i="54"/>
  <c r="W203" i="54"/>
  <c r="X203" i="54"/>
  <c r="K204" i="54"/>
  <c r="M204" i="54"/>
  <c r="O204" i="54"/>
  <c r="Q204" i="54"/>
  <c r="S204" i="54"/>
  <c r="T204" i="54"/>
  <c r="U204" i="54"/>
  <c r="V204" i="54"/>
  <c r="W204" i="54"/>
  <c r="X204" i="54"/>
  <c r="K205" i="54"/>
  <c r="M205" i="54"/>
  <c r="O205" i="54"/>
  <c r="Q205" i="54"/>
  <c r="S205" i="54"/>
  <c r="T205" i="54"/>
  <c r="U205" i="54"/>
  <c r="V205" i="54"/>
  <c r="W205" i="54"/>
  <c r="X205" i="54"/>
  <c r="K206" i="54"/>
  <c r="M206" i="54"/>
  <c r="O206" i="54"/>
  <c r="Q206" i="54"/>
  <c r="S206" i="54"/>
  <c r="T206" i="54"/>
  <c r="U206" i="54"/>
  <c r="V206" i="54"/>
  <c r="W206" i="54"/>
  <c r="X206" i="54"/>
  <c r="K207" i="54"/>
  <c r="M207" i="54"/>
  <c r="O207" i="54"/>
  <c r="Q207" i="54"/>
  <c r="S207" i="54"/>
  <c r="T207" i="54"/>
  <c r="U207" i="54"/>
  <c r="V207" i="54"/>
  <c r="W207" i="54"/>
  <c r="X207" i="54"/>
  <c r="K208" i="54"/>
  <c r="M208" i="54"/>
  <c r="O208" i="54"/>
  <c r="Q208" i="54"/>
  <c r="S208" i="54"/>
  <c r="T208" i="54"/>
  <c r="U208" i="54"/>
  <c r="V208" i="54"/>
  <c r="W208" i="54"/>
  <c r="X208" i="54"/>
  <c r="K209" i="54"/>
  <c r="M209" i="54"/>
  <c r="O209" i="54"/>
  <c r="Q209" i="54"/>
  <c r="S209" i="54"/>
  <c r="T209" i="54"/>
  <c r="U209" i="54"/>
  <c r="V209" i="54"/>
  <c r="W209" i="54"/>
  <c r="X209" i="54"/>
  <c r="K210" i="54"/>
  <c r="M210" i="54"/>
  <c r="O210" i="54"/>
  <c r="Q210" i="54"/>
  <c r="S210" i="54"/>
  <c r="T210" i="54"/>
  <c r="U210" i="54"/>
  <c r="V210" i="54"/>
  <c r="W210" i="54"/>
  <c r="X210" i="54"/>
  <c r="K211" i="54"/>
  <c r="M211" i="54"/>
  <c r="O211" i="54"/>
  <c r="Q211" i="54"/>
  <c r="S211" i="54"/>
  <c r="T211" i="54"/>
  <c r="U211" i="54"/>
  <c r="V211" i="54"/>
  <c r="W211" i="54"/>
  <c r="X211" i="54"/>
  <c r="K212" i="54"/>
  <c r="M212" i="54"/>
  <c r="O212" i="54"/>
  <c r="Q212" i="54"/>
  <c r="S212" i="54"/>
  <c r="T212" i="54"/>
  <c r="U212" i="54"/>
  <c r="V212" i="54"/>
  <c r="W212" i="54"/>
  <c r="X212" i="54"/>
  <c r="K213" i="54"/>
  <c r="M213" i="54"/>
  <c r="O213" i="54"/>
  <c r="Q213" i="54"/>
  <c r="S213" i="54"/>
  <c r="T213" i="54"/>
  <c r="U213" i="54"/>
  <c r="V213" i="54"/>
  <c r="W213" i="54"/>
  <c r="X213" i="54"/>
  <c r="K214" i="54"/>
  <c r="M214" i="54"/>
  <c r="O214" i="54"/>
  <c r="Q214" i="54"/>
  <c r="S214" i="54"/>
  <c r="T214" i="54"/>
  <c r="U214" i="54"/>
  <c r="V214" i="54"/>
  <c r="W214" i="54"/>
  <c r="X214" i="54"/>
  <c r="K215" i="54"/>
  <c r="M215" i="54"/>
  <c r="O215" i="54"/>
  <c r="Q215" i="54"/>
  <c r="S215" i="54"/>
  <c r="T215" i="54"/>
  <c r="U215" i="54"/>
  <c r="V215" i="54"/>
  <c r="W215" i="54"/>
  <c r="X215" i="54"/>
  <c r="K216" i="54"/>
  <c r="M216" i="54"/>
  <c r="O216" i="54"/>
  <c r="Q216" i="54"/>
  <c r="S216" i="54"/>
  <c r="T216" i="54"/>
  <c r="U216" i="54"/>
  <c r="V216" i="54"/>
  <c r="W216" i="54"/>
  <c r="X216" i="54"/>
  <c r="K217" i="54"/>
  <c r="M217" i="54"/>
  <c r="O217" i="54"/>
  <c r="Q217" i="54"/>
  <c r="S217" i="54"/>
  <c r="T217" i="54"/>
  <c r="U217" i="54"/>
  <c r="V217" i="54"/>
  <c r="W217" i="54"/>
  <c r="X217" i="54"/>
  <c r="K218" i="54"/>
  <c r="M218" i="54"/>
  <c r="O218" i="54"/>
  <c r="Q218" i="54"/>
  <c r="S218" i="54"/>
  <c r="T218" i="54"/>
  <c r="U218" i="54"/>
  <c r="V218" i="54"/>
  <c r="W218" i="54"/>
  <c r="X218" i="54"/>
  <c r="K219" i="54"/>
  <c r="M219" i="54"/>
  <c r="O219" i="54"/>
  <c r="Q219" i="54"/>
  <c r="S219" i="54"/>
  <c r="T219" i="54"/>
  <c r="U219" i="54"/>
  <c r="V219" i="54"/>
  <c r="W219" i="54"/>
  <c r="X219" i="54"/>
  <c r="K220" i="54"/>
  <c r="M220" i="54"/>
  <c r="O220" i="54"/>
  <c r="Q220" i="54"/>
  <c r="S220" i="54"/>
  <c r="T220" i="54"/>
  <c r="U220" i="54"/>
  <c r="V220" i="54"/>
  <c r="W220" i="54"/>
  <c r="X220" i="54"/>
  <c r="K221" i="54"/>
  <c r="M221" i="54"/>
  <c r="O221" i="54"/>
  <c r="Q221" i="54"/>
  <c r="S221" i="54"/>
  <c r="T221" i="54"/>
  <c r="U221" i="54"/>
  <c r="V221" i="54"/>
  <c r="W221" i="54"/>
  <c r="X221" i="54"/>
  <c r="K222" i="54"/>
  <c r="M222" i="54"/>
  <c r="O222" i="54"/>
  <c r="Q222" i="54"/>
  <c r="S222" i="54"/>
  <c r="T222" i="54"/>
  <c r="U222" i="54"/>
  <c r="V222" i="54"/>
  <c r="W222" i="54"/>
  <c r="X222" i="54"/>
  <c r="K223" i="54"/>
  <c r="M223" i="54"/>
  <c r="O223" i="54"/>
  <c r="Q223" i="54"/>
  <c r="S223" i="54"/>
  <c r="T223" i="54"/>
  <c r="U223" i="54"/>
  <c r="V223" i="54"/>
  <c r="W223" i="54"/>
  <c r="X223" i="54"/>
  <c r="K224" i="54"/>
  <c r="M224" i="54"/>
  <c r="O224" i="54"/>
  <c r="Q224" i="54"/>
  <c r="S224" i="54"/>
  <c r="T224" i="54"/>
  <c r="U224" i="54"/>
  <c r="V224" i="54"/>
  <c r="W224" i="54"/>
  <c r="X224" i="54"/>
  <c r="K225" i="54"/>
  <c r="M225" i="54"/>
  <c r="O225" i="54"/>
  <c r="Q225" i="54"/>
  <c r="S225" i="54"/>
  <c r="T225" i="54"/>
  <c r="U225" i="54"/>
  <c r="V225" i="54"/>
  <c r="W225" i="54"/>
  <c r="X225" i="54"/>
  <c r="K226" i="54"/>
  <c r="M226" i="54"/>
  <c r="O226" i="54"/>
  <c r="Q226" i="54"/>
  <c r="S226" i="54"/>
  <c r="T226" i="54"/>
  <c r="U226" i="54"/>
  <c r="V226" i="54"/>
  <c r="W226" i="54"/>
  <c r="X226" i="54"/>
  <c r="K227" i="54"/>
  <c r="M227" i="54"/>
  <c r="O227" i="54"/>
  <c r="Q227" i="54"/>
  <c r="S227" i="54"/>
  <c r="T227" i="54"/>
  <c r="U227" i="54"/>
  <c r="V227" i="54"/>
  <c r="W227" i="54"/>
  <c r="X227" i="54"/>
  <c r="K228" i="54"/>
  <c r="M228" i="54"/>
  <c r="O228" i="54"/>
  <c r="Q228" i="54"/>
  <c r="S228" i="54"/>
  <c r="T228" i="54"/>
  <c r="U228" i="54"/>
  <c r="V228" i="54"/>
  <c r="W228" i="54"/>
  <c r="X228" i="54"/>
  <c r="K229" i="54"/>
  <c r="M229" i="54"/>
  <c r="O229" i="54"/>
  <c r="Q229" i="54"/>
  <c r="S229" i="54"/>
  <c r="T229" i="54"/>
  <c r="U229" i="54"/>
  <c r="V229" i="54"/>
  <c r="W229" i="54"/>
  <c r="X229" i="54"/>
  <c r="K230" i="54"/>
  <c r="M230" i="54"/>
  <c r="O230" i="54"/>
  <c r="Q230" i="54"/>
  <c r="S230" i="54"/>
  <c r="T230" i="54"/>
  <c r="U230" i="54"/>
  <c r="V230" i="54"/>
  <c r="W230" i="54"/>
  <c r="X230" i="54"/>
  <c r="K231" i="54"/>
  <c r="M231" i="54"/>
  <c r="O231" i="54"/>
  <c r="Q231" i="54"/>
  <c r="S231" i="54"/>
  <c r="T231" i="54"/>
  <c r="U231" i="54"/>
  <c r="V231" i="54"/>
  <c r="W231" i="54"/>
  <c r="X231" i="54"/>
  <c r="K232" i="54"/>
  <c r="M232" i="54"/>
  <c r="O232" i="54"/>
  <c r="Q232" i="54"/>
  <c r="S232" i="54"/>
  <c r="T232" i="54"/>
  <c r="U232" i="54"/>
  <c r="V232" i="54"/>
  <c r="W232" i="54"/>
  <c r="X232" i="54"/>
  <c r="K233" i="54"/>
  <c r="M233" i="54"/>
  <c r="O233" i="54"/>
  <c r="Q233" i="54"/>
  <c r="S233" i="54"/>
  <c r="T233" i="54"/>
  <c r="U233" i="54"/>
  <c r="V233" i="54"/>
  <c r="W233" i="54"/>
  <c r="X233" i="54"/>
  <c r="K234" i="54"/>
  <c r="M234" i="54"/>
  <c r="O234" i="54"/>
  <c r="Q234" i="54"/>
  <c r="S234" i="54"/>
  <c r="T234" i="54"/>
  <c r="U234" i="54"/>
  <c r="V234" i="54"/>
  <c r="W234" i="54"/>
  <c r="X234" i="54"/>
  <c r="K235" i="54"/>
  <c r="M235" i="54"/>
  <c r="O235" i="54"/>
  <c r="Q235" i="54"/>
  <c r="S235" i="54"/>
  <c r="T235" i="54"/>
  <c r="U235" i="54"/>
  <c r="V235" i="54"/>
  <c r="W235" i="54"/>
  <c r="X235" i="54"/>
  <c r="K236" i="54"/>
  <c r="M236" i="54"/>
  <c r="O236" i="54"/>
  <c r="Q236" i="54"/>
  <c r="S236" i="54"/>
  <c r="T236" i="54"/>
  <c r="U236" i="54"/>
  <c r="V236" i="54"/>
  <c r="W236" i="54"/>
  <c r="X236" i="54"/>
  <c r="K237" i="54"/>
  <c r="M237" i="54"/>
  <c r="O237" i="54"/>
  <c r="Q237" i="54"/>
  <c r="S237" i="54"/>
  <c r="T237" i="54"/>
  <c r="U237" i="54"/>
  <c r="V237" i="54"/>
  <c r="W237" i="54"/>
  <c r="X237" i="54"/>
  <c r="K238" i="54"/>
  <c r="M238" i="54"/>
  <c r="O238" i="54"/>
  <c r="Q238" i="54"/>
  <c r="S238" i="54"/>
  <c r="T238" i="54"/>
  <c r="U238" i="54"/>
  <c r="V238" i="54"/>
  <c r="W238" i="54"/>
  <c r="X238" i="54"/>
  <c r="K239" i="54"/>
  <c r="M239" i="54"/>
  <c r="O239" i="54"/>
  <c r="Q239" i="54"/>
  <c r="S239" i="54"/>
  <c r="T239" i="54"/>
  <c r="U239" i="54"/>
  <c r="V239" i="54"/>
  <c r="W239" i="54"/>
  <c r="X239" i="54"/>
  <c r="K240" i="54"/>
  <c r="M240" i="54"/>
  <c r="O240" i="54"/>
  <c r="Q240" i="54"/>
  <c r="S240" i="54"/>
  <c r="T240" i="54"/>
  <c r="U240" i="54"/>
  <c r="V240" i="54"/>
  <c r="W240" i="54"/>
  <c r="X240" i="54"/>
  <c r="K241" i="54"/>
  <c r="M241" i="54"/>
  <c r="O241" i="54"/>
  <c r="Q241" i="54"/>
  <c r="S241" i="54"/>
  <c r="T241" i="54"/>
  <c r="U241" i="54"/>
  <c r="V241" i="54"/>
  <c r="W241" i="54"/>
  <c r="X241" i="54"/>
  <c r="K242" i="54"/>
  <c r="M242" i="54"/>
  <c r="O242" i="54"/>
  <c r="Q242" i="54"/>
  <c r="S242" i="54"/>
  <c r="T242" i="54"/>
  <c r="U242" i="54"/>
  <c r="V242" i="54"/>
  <c r="W242" i="54"/>
  <c r="X242" i="54"/>
  <c r="K243" i="54"/>
  <c r="M243" i="54"/>
  <c r="O243" i="54"/>
  <c r="Q243" i="54"/>
  <c r="S243" i="54"/>
  <c r="T243" i="54"/>
  <c r="U243" i="54"/>
  <c r="V243" i="54"/>
  <c r="W243" i="54"/>
  <c r="X243" i="54"/>
  <c r="K244" i="54"/>
  <c r="M244" i="54"/>
  <c r="O244" i="54"/>
  <c r="Q244" i="54"/>
  <c r="S244" i="54"/>
  <c r="T244" i="54"/>
  <c r="U244" i="54"/>
  <c r="V244" i="54"/>
  <c r="W244" i="54"/>
  <c r="X244" i="54"/>
  <c r="K245" i="54"/>
  <c r="M245" i="54"/>
  <c r="O245" i="54"/>
  <c r="Q245" i="54"/>
  <c r="S245" i="54"/>
  <c r="T245" i="54"/>
  <c r="U245" i="54"/>
  <c r="V245" i="54"/>
  <c r="W245" i="54"/>
  <c r="X245" i="54"/>
  <c r="K246" i="54"/>
  <c r="M246" i="54"/>
  <c r="O246" i="54"/>
  <c r="Q246" i="54"/>
  <c r="S246" i="54"/>
  <c r="T246" i="54"/>
  <c r="U246" i="54"/>
  <c r="V246" i="54"/>
  <c r="W246" i="54"/>
  <c r="X246" i="54"/>
  <c r="K247" i="54"/>
  <c r="M247" i="54"/>
  <c r="O247" i="54"/>
  <c r="Q247" i="54"/>
  <c r="S247" i="54"/>
  <c r="T247" i="54"/>
  <c r="U247" i="54"/>
  <c r="V247" i="54"/>
  <c r="W247" i="54"/>
  <c r="X247" i="54"/>
  <c r="K248" i="54"/>
  <c r="M248" i="54"/>
  <c r="O248" i="54"/>
  <c r="Q248" i="54"/>
  <c r="S248" i="54"/>
  <c r="T248" i="54"/>
  <c r="U248" i="54"/>
  <c r="V248" i="54"/>
  <c r="W248" i="54"/>
  <c r="X248" i="54"/>
  <c r="K249" i="54"/>
  <c r="M249" i="54"/>
  <c r="O249" i="54"/>
  <c r="Q249" i="54"/>
  <c r="S249" i="54"/>
  <c r="T249" i="54"/>
  <c r="U249" i="54"/>
  <c r="V249" i="54"/>
  <c r="W249" i="54"/>
  <c r="X249" i="54"/>
  <c r="K250" i="54"/>
  <c r="M250" i="54"/>
  <c r="O250" i="54"/>
  <c r="Q250" i="54"/>
  <c r="S250" i="54"/>
  <c r="T250" i="54"/>
  <c r="U250" i="54"/>
  <c r="V250" i="54"/>
  <c r="W250" i="54"/>
  <c r="X250" i="54"/>
  <c r="K251" i="54"/>
  <c r="M251" i="54"/>
  <c r="O251" i="54"/>
  <c r="Q251" i="54"/>
  <c r="S251" i="54"/>
  <c r="T251" i="54"/>
  <c r="U251" i="54"/>
  <c r="V251" i="54"/>
  <c r="W251" i="54"/>
  <c r="X251" i="54"/>
  <c r="K252" i="54"/>
  <c r="M252" i="54"/>
  <c r="O252" i="54"/>
  <c r="Q252" i="54"/>
  <c r="S252" i="54"/>
  <c r="T252" i="54"/>
  <c r="U252" i="54"/>
  <c r="V252" i="54"/>
  <c r="W252" i="54"/>
  <c r="X252" i="54"/>
  <c r="K253" i="54"/>
  <c r="M253" i="54"/>
  <c r="O253" i="54"/>
  <c r="Q253" i="54"/>
  <c r="S253" i="54"/>
  <c r="T253" i="54"/>
  <c r="U253" i="54"/>
  <c r="V253" i="54"/>
  <c r="W253" i="54"/>
  <c r="X253" i="54"/>
  <c r="K254" i="54"/>
  <c r="M254" i="54"/>
  <c r="O254" i="54"/>
  <c r="Q254" i="54"/>
  <c r="S254" i="54"/>
  <c r="T254" i="54"/>
  <c r="U254" i="54"/>
  <c r="V254" i="54"/>
  <c r="W254" i="54"/>
  <c r="X254" i="54"/>
  <c r="K255" i="54"/>
  <c r="M255" i="54"/>
  <c r="O255" i="54"/>
  <c r="Q255" i="54"/>
  <c r="S255" i="54"/>
  <c r="T255" i="54"/>
  <c r="U255" i="54"/>
  <c r="V255" i="54"/>
  <c r="W255" i="54"/>
  <c r="X255" i="54"/>
  <c r="K256" i="54"/>
  <c r="M256" i="54"/>
  <c r="O256" i="54"/>
  <c r="Q256" i="54"/>
  <c r="S256" i="54"/>
  <c r="T256" i="54"/>
  <c r="U256" i="54"/>
  <c r="V256" i="54"/>
  <c r="W256" i="54"/>
  <c r="X256" i="54"/>
  <c r="K257" i="54"/>
  <c r="M257" i="54"/>
  <c r="O257" i="54"/>
  <c r="Q257" i="54"/>
  <c r="S257" i="54"/>
  <c r="T257" i="54"/>
  <c r="U257" i="54"/>
  <c r="V257" i="54"/>
  <c r="W257" i="54"/>
  <c r="X257" i="54"/>
  <c r="K258" i="54"/>
  <c r="M258" i="54"/>
  <c r="O258" i="54"/>
  <c r="Q258" i="54"/>
  <c r="S258" i="54"/>
  <c r="T258" i="54"/>
  <c r="U258" i="54"/>
  <c r="V258" i="54"/>
  <c r="W258" i="54"/>
  <c r="X258" i="54"/>
  <c r="K259" i="54"/>
  <c r="M259" i="54"/>
  <c r="O259" i="54"/>
  <c r="Q259" i="54"/>
  <c r="S259" i="54"/>
  <c r="T259" i="54"/>
  <c r="U259" i="54"/>
  <c r="V259" i="54"/>
  <c r="W259" i="54"/>
  <c r="X259" i="54"/>
  <c r="K260" i="54"/>
  <c r="M260" i="54"/>
  <c r="O260" i="54"/>
  <c r="Q260" i="54"/>
  <c r="S260" i="54"/>
  <c r="T260" i="54"/>
  <c r="U260" i="54"/>
  <c r="V260" i="54"/>
  <c r="W260" i="54"/>
  <c r="X260" i="54"/>
  <c r="K261" i="54"/>
  <c r="M261" i="54"/>
  <c r="O261" i="54"/>
  <c r="Q261" i="54"/>
  <c r="S261" i="54"/>
  <c r="T261" i="54"/>
  <c r="U261" i="54"/>
  <c r="V261" i="54"/>
  <c r="W261" i="54"/>
  <c r="X261" i="54"/>
  <c r="K262" i="54"/>
  <c r="M262" i="54"/>
  <c r="O262" i="54"/>
  <c r="Q262" i="54"/>
  <c r="S262" i="54"/>
  <c r="T262" i="54"/>
  <c r="U262" i="54"/>
  <c r="V262" i="54"/>
  <c r="W262" i="54"/>
  <c r="X262" i="54"/>
  <c r="K263" i="54"/>
  <c r="M263" i="54"/>
  <c r="O263" i="54"/>
  <c r="Q263" i="54"/>
  <c r="S263" i="54"/>
  <c r="T263" i="54"/>
  <c r="U263" i="54"/>
  <c r="V263" i="54"/>
  <c r="W263" i="54"/>
  <c r="X263" i="54"/>
  <c r="K264" i="54"/>
  <c r="M264" i="54"/>
  <c r="O264" i="54"/>
  <c r="Q264" i="54"/>
  <c r="S264" i="54"/>
  <c r="T264" i="54"/>
  <c r="U264" i="54"/>
  <c r="V264" i="54"/>
  <c r="W264" i="54"/>
  <c r="X264" i="54"/>
  <c r="K265" i="54"/>
  <c r="M265" i="54"/>
  <c r="O265" i="54"/>
  <c r="Q265" i="54"/>
  <c r="S265" i="54"/>
  <c r="T265" i="54"/>
  <c r="U265" i="54"/>
  <c r="V265" i="54"/>
  <c r="W265" i="54"/>
  <c r="X265" i="54"/>
  <c r="K266" i="54"/>
  <c r="M266" i="54"/>
  <c r="O266" i="54"/>
  <c r="Q266" i="54"/>
  <c r="S266" i="54"/>
  <c r="T266" i="54"/>
  <c r="U266" i="54"/>
  <c r="V266" i="54"/>
  <c r="W266" i="54"/>
  <c r="X266" i="54"/>
  <c r="K267" i="54"/>
  <c r="M267" i="54"/>
  <c r="O267" i="54"/>
  <c r="Q267" i="54"/>
  <c r="S267" i="54"/>
  <c r="T267" i="54"/>
  <c r="U267" i="54"/>
  <c r="V267" i="54"/>
  <c r="W267" i="54"/>
  <c r="X267" i="54"/>
  <c r="K268" i="54"/>
  <c r="M268" i="54"/>
  <c r="O268" i="54"/>
  <c r="Q268" i="54"/>
  <c r="S268" i="54"/>
  <c r="T268" i="54"/>
  <c r="U268" i="54"/>
  <c r="V268" i="54"/>
  <c r="W268" i="54"/>
  <c r="X268" i="54"/>
  <c r="K269" i="54"/>
  <c r="M269" i="54"/>
  <c r="O269" i="54"/>
  <c r="Q269" i="54"/>
  <c r="S269" i="54"/>
  <c r="T269" i="54"/>
  <c r="U269" i="54"/>
  <c r="V269" i="54"/>
  <c r="W269" i="54"/>
  <c r="X269" i="54"/>
  <c r="K270" i="54"/>
  <c r="M270" i="54"/>
  <c r="O270" i="54"/>
  <c r="Q270" i="54"/>
  <c r="S270" i="54"/>
  <c r="T270" i="54"/>
  <c r="U270" i="54"/>
  <c r="V270" i="54"/>
  <c r="W270" i="54"/>
  <c r="X270" i="54"/>
  <c r="K271" i="54"/>
  <c r="M271" i="54"/>
  <c r="O271" i="54"/>
  <c r="Q271" i="54"/>
  <c r="S271" i="54"/>
  <c r="T271" i="54"/>
  <c r="U271" i="54"/>
  <c r="V271" i="54"/>
  <c r="W271" i="54"/>
  <c r="X271" i="54"/>
  <c r="K272" i="54"/>
  <c r="M272" i="54"/>
  <c r="O272" i="54"/>
  <c r="Q272" i="54"/>
  <c r="S272" i="54"/>
  <c r="T272" i="54"/>
  <c r="U272" i="54"/>
  <c r="V272" i="54"/>
  <c r="W272" i="54"/>
  <c r="X272" i="54"/>
  <c r="K273" i="54"/>
  <c r="M273" i="54"/>
  <c r="O273" i="54"/>
  <c r="Q273" i="54"/>
  <c r="S273" i="54"/>
  <c r="T273" i="54"/>
  <c r="U273" i="54"/>
  <c r="V273" i="54"/>
  <c r="W273" i="54"/>
  <c r="X273" i="54"/>
  <c r="K274" i="54"/>
  <c r="M274" i="54"/>
  <c r="O274" i="54"/>
  <c r="Q274" i="54"/>
  <c r="S274" i="54"/>
  <c r="T274" i="54"/>
  <c r="U274" i="54"/>
  <c r="V274" i="54"/>
  <c r="W274" i="54"/>
  <c r="X274" i="54"/>
  <c r="K275" i="54"/>
  <c r="M275" i="54"/>
  <c r="O275" i="54"/>
  <c r="Q275" i="54"/>
  <c r="S275" i="54"/>
  <c r="T275" i="54"/>
  <c r="U275" i="54"/>
  <c r="V275" i="54"/>
  <c r="W275" i="54"/>
  <c r="X275" i="54"/>
  <c r="K276" i="54"/>
  <c r="M276" i="54"/>
  <c r="O276" i="54"/>
  <c r="Q276" i="54"/>
  <c r="S276" i="54"/>
  <c r="T276" i="54"/>
  <c r="U276" i="54"/>
  <c r="V276" i="54"/>
  <c r="W276" i="54"/>
  <c r="X276" i="54"/>
  <c r="K277" i="54"/>
  <c r="M277" i="54"/>
  <c r="O277" i="54"/>
  <c r="Q277" i="54"/>
  <c r="S277" i="54"/>
  <c r="T277" i="54"/>
  <c r="U277" i="54"/>
  <c r="V277" i="54"/>
  <c r="W277" i="54"/>
  <c r="X277" i="54"/>
  <c r="K278" i="54"/>
  <c r="M278" i="54"/>
  <c r="O278" i="54"/>
  <c r="Q278" i="54"/>
  <c r="S278" i="54"/>
  <c r="T278" i="54"/>
  <c r="U278" i="54"/>
  <c r="V278" i="54"/>
  <c r="W278" i="54"/>
  <c r="X278" i="54"/>
  <c r="K279" i="54"/>
  <c r="M279" i="54"/>
  <c r="O279" i="54"/>
  <c r="Q279" i="54"/>
  <c r="S279" i="54"/>
  <c r="T279" i="54"/>
  <c r="U279" i="54"/>
  <c r="V279" i="54"/>
  <c r="W279" i="54"/>
  <c r="X279" i="54"/>
  <c r="K280" i="54"/>
  <c r="M280" i="54"/>
  <c r="O280" i="54"/>
  <c r="Q280" i="54"/>
  <c r="S280" i="54"/>
  <c r="T280" i="54"/>
  <c r="U280" i="54"/>
  <c r="V280" i="54"/>
  <c r="W280" i="54"/>
  <c r="X280" i="54"/>
  <c r="K281" i="54"/>
  <c r="M281" i="54"/>
  <c r="O281" i="54"/>
  <c r="Q281" i="54"/>
  <c r="S281" i="54"/>
  <c r="T281" i="54"/>
  <c r="U281" i="54"/>
  <c r="V281" i="54"/>
  <c r="W281" i="54"/>
  <c r="X281" i="54"/>
  <c r="K282" i="54"/>
  <c r="M282" i="54"/>
  <c r="O282" i="54"/>
  <c r="Q282" i="54"/>
  <c r="S282" i="54"/>
  <c r="T282" i="54"/>
  <c r="U282" i="54"/>
  <c r="V282" i="54"/>
  <c r="W282" i="54"/>
  <c r="X282" i="54"/>
  <c r="K283" i="54"/>
  <c r="M283" i="54"/>
  <c r="O283" i="54"/>
  <c r="Q283" i="54"/>
  <c r="S283" i="54"/>
  <c r="T283" i="54"/>
  <c r="U283" i="54"/>
  <c r="V283" i="54"/>
  <c r="W283" i="54"/>
  <c r="X283" i="54"/>
  <c r="K284" i="54"/>
  <c r="M284" i="54"/>
  <c r="O284" i="54"/>
  <c r="Q284" i="54"/>
  <c r="S284" i="54"/>
  <c r="T284" i="54"/>
  <c r="U284" i="54"/>
  <c r="V284" i="54"/>
  <c r="W284" i="54"/>
  <c r="X284" i="54"/>
  <c r="K285" i="54"/>
  <c r="M285" i="54"/>
  <c r="O285" i="54"/>
  <c r="Q285" i="54"/>
  <c r="S285" i="54"/>
  <c r="T285" i="54"/>
  <c r="U285" i="54"/>
  <c r="V285" i="54"/>
  <c r="W285" i="54"/>
  <c r="X285" i="54"/>
  <c r="K286" i="54"/>
  <c r="M286" i="54"/>
  <c r="O286" i="54"/>
  <c r="Q286" i="54"/>
  <c r="S286" i="54"/>
  <c r="T286" i="54"/>
  <c r="U286" i="54"/>
  <c r="V286" i="54"/>
  <c r="W286" i="54"/>
  <c r="X286" i="54"/>
  <c r="K287" i="54"/>
  <c r="M287" i="54"/>
  <c r="O287" i="54"/>
  <c r="Q287" i="54"/>
  <c r="S287" i="54"/>
  <c r="T287" i="54"/>
  <c r="U287" i="54"/>
  <c r="V287" i="54"/>
  <c r="W287" i="54"/>
  <c r="X287" i="54"/>
  <c r="K288" i="54"/>
  <c r="M288" i="54"/>
  <c r="O288" i="54"/>
  <c r="Q288" i="54"/>
  <c r="S288" i="54"/>
  <c r="T288" i="54"/>
  <c r="U288" i="54"/>
  <c r="V288" i="54"/>
  <c r="W288" i="54"/>
  <c r="X288" i="54"/>
  <c r="K289" i="54"/>
  <c r="M289" i="54"/>
  <c r="O289" i="54"/>
  <c r="Q289" i="54"/>
  <c r="S289" i="54"/>
  <c r="T289" i="54"/>
  <c r="U289" i="54"/>
  <c r="V289" i="54"/>
  <c r="W289" i="54"/>
  <c r="X289" i="54"/>
  <c r="K290" i="54"/>
  <c r="M290" i="54"/>
  <c r="O290" i="54"/>
  <c r="Q290" i="54"/>
  <c r="S290" i="54"/>
  <c r="T290" i="54"/>
  <c r="U290" i="54"/>
  <c r="V290" i="54"/>
  <c r="W290" i="54"/>
  <c r="X290" i="54"/>
  <c r="K291" i="54"/>
  <c r="M291" i="54"/>
  <c r="O291" i="54"/>
  <c r="Q291" i="54"/>
  <c r="S291" i="54"/>
  <c r="T291" i="54"/>
  <c r="U291" i="54"/>
  <c r="V291" i="54"/>
  <c r="W291" i="54"/>
  <c r="X291" i="54"/>
  <c r="K292" i="54"/>
  <c r="M292" i="54"/>
  <c r="O292" i="54"/>
  <c r="Q292" i="54"/>
  <c r="S292" i="54"/>
  <c r="T292" i="54"/>
  <c r="U292" i="54"/>
  <c r="V292" i="54"/>
  <c r="W292" i="54"/>
  <c r="X292" i="54"/>
  <c r="K293" i="54"/>
  <c r="M293" i="54"/>
  <c r="O293" i="54"/>
  <c r="Q293" i="54"/>
  <c r="S293" i="54"/>
  <c r="T293" i="54"/>
  <c r="U293" i="54"/>
  <c r="V293" i="54"/>
  <c r="W293" i="54"/>
  <c r="X293" i="54"/>
  <c r="K294" i="54"/>
  <c r="M294" i="54"/>
  <c r="O294" i="54"/>
  <c r="Q294" i="54"/>
  <c r="S294" i="54"/>
  <c r="T294" i="54"/>
  <c r="U294" i="54"/>
  <c r="V294" i="54"/>
  <c r="W294" i="54"/>
  <c r="X294" i="54"/>
  <c r="K295" i="54"/>
  <c r="M295" i="54"/>
  <c r="O295" i="54"/>
  <c r="Q295" i="54"/>
  <c r="S295" i="54"/>
  <c r="T295" i="54"/>
  <c r="U295" i="54"/>
  <c r="V295" i="54"/>
  <c r="W295" i="54"/>
  <c r="X295" i="54"/>
  <c r="K296" i="54"/>
  <c r="M296" i="54"/>
  <c r="O296" i="54"/>
  <c r="Q296" i="54"/>
  <c r="S296" i="54"/>
  <c r="T296" i="54"/>
  <c r="U296" i="54"/>
  <c r="V296" i="54"/>
  <c r="W296" i="54"/>
  <c r="X296" i="54"/>
  <c r="K297" i="54"/>
  <c r="M297" i="54"/>
  <c r="O297" i="54"/>
  <c r="Q297" i="54"/>
  <c r="S297" i="54"/>
  <c r="T297" i="54"/>
  <c r="U297" i="54"/>
  <c r="V297" i="54"/>
  <c r="W297" i="54"/>
  <c r="X297" i="54"/>
  <c r="K298" i="54"/>
  <c r="M298" i="54"/>
  <c r="O298" i="54"/>
  <c r="Q298" i="54"/>
  <c r="S298" i="54"/>
  <c r="T298" i="54"/>
  <c r="U298" i="54"/>
  <c r="V298" i="54"/>
  <c r="W298" i="54"/>
  <c r="X298" i="54"/>
  <c r="K299" i="54"/>
  <c r="M299" i="54"/>
  <c r="O299" i="54"/>
  <c r="Q299" i="54"/>
  <c r="S299" i="54"/>
  <c r="T299" i="54"/>
  <c r="U299" i="54"/>
  <c r="V299" i="54"/>
  <c r="W299" i="54"/>
  <c r="X299" i="54"/>
  <c r="K300" i="54"/>
  <c r="M300" i="54"/>
  <c r="O300" i="54"/>
  <c r="Q300" i="54"/>
  <c r="S300" i="54"/>
  <c r="T300" i="54"/>
  <c r="U300" i="54"/>
  <c r="V300" i="54"/>
  <c r="W300" i="54"/>
  <c r="X300" i="54"/>
  <c r="K301" i="54"/>
  <c r="M301" i="54"/>
  <c r="O301" i="54"/>
  <c r="Q301" i="54"/>
  <c r="S301" i="54"/>
  <c r="T301" i="54"/>
  <c r="U301" i="54"/>
  <c r="V301" i="54"/>
  <c r="W301" i="54"/>
  <c r="X301" i="54"/>
  <c r="K302" i="54"/>
  <c r="M302" i="54"/>
  <c r="O302" i="54"/>
  <c r="Q302" i="54"/>
  <c r="S302" i="54"/>
  <c r="T302" i="54"/>
  <c r="U302" i="54"/>
  <c r="V302" i="54"/>
  <c r="W302" i="54"/>
  <c r="X302" i="54"/>
  <c r="K303" i="54"/>
  <c r="M303" i="54"/>
  <c r="O303" i="54"/>
  <c r="Q303" i="54"/>
  <c r="S303" i="54"/>
  <c r="T303" i="54"/>
  <c r="U303" i="54"/>
  <c r="V303" i="54"/>
  <c r="W303" i="54"/>
  <c r="X303" i="54"/>
  <c r="K304" i="54"/>
  <c r="M304" i="54"/>
  <c r="O304" i="54"/>
  <c r="Q304" i="54"/>
  <c r="S304" i="54"/>
  <c r="T304" i="54"/>
  <c r="U304" i="54"/>
  <c r="V304" i="54"/>
  <c r="W304" i="54"/>
  <c r="X304" i="54"/>
  <c r="K305" i="54"/>
  <c r="M305" i="54"/>
  <c r="O305" i="54"/>
  <c r="Q305" i="54"/>
  <c r="S305" i="54"/>
  <c r="T305" i="54"/>
  <c r="U305" i="54"/>
  <c r="V305" i="54"/>
  <c r="W305" i="54"/>
  <c r="X305" i="54"/>
  <c r="K306" i="54"/>
  <c r="M306" i="54"/>
  <c r="O306" i="54"/>
  <c r="Q306" i="54"/>
  <c r="S306" i="54"/>
  <c r="T306" i="54"/>
  <c r="U306" i="54"/>
  <c r="V306" i="54"/>
  <c r="W306" i="54"/>
  <c r="X306" i="54"/>
  <c r="K307" i="54"/>
  <c r="M307" i="54"/>
  <c r="O307" i="54"/>
  <c r="Q307" i="54"/>
  <c r="S307" i="54"/>
  <c r="T307" i="54"/>
  <c r="U307" i="54"/>
  <c r="V307" i="54"/>
  <c r="W307" i="54"/>
  <c r="X307" i="54"/>
  <c r="K308" i="54"/>
  <c r="M308" i="54"/>
  <c r="O308" i="54"/>
  <c r="Q308" i="54"/>
  <c r="S308" i="54"/>
  <c r="T308" i="54"/>
  <c r="U308" i="54"/>
  <c r="V308" i="54"/>
  <c r="W308" i="54"/>
  <c r="X308" i="54"/>
  <c r="K309" i="54"/>
  <c r="M309" i="54"/>
  <c r="O309" i="54"/>
  <c r="Q309" i="54"/>
  <c r="S309" i="54"/>
  <c r="T309" i="54"/>
  <c r="U309" i="54"/>
  <c r="V309" i="54"/>
  <c r="W309" i="54"/>
  <c r="X309" i="54"/>
  <c r="K310" i="54"/>
  <c r="M310" i="54"/>
  <c r="O310" i="54"/>
  <c r="Q310" i="54"/>
  <c r="S310" i="54"/>
  <c r="T310" i="54"/>
  <c r="U310" i="54"/>
  <c r="V310" i="54"/>
  <c r="W310" i="54"/>
  <c r="X310" i="54"/>
  <c r="K311" i="54"/>
  <c r="M311" i="54"/>
  <c r="O311" i="54"/>
  <c r="Q311" i="54"/>
  <c r="S311" i="54"/>
  <c r="T311" i="54"/>
  <c r="U311" i="54"/>
  <c r="V311" i="54"/>
  <c r="W311" i="54"/>
  <c r="X311" i="54"/>
  <c r="K312" i="54"/>
  <c r="M312" i="54"/>
  <c r="O312" i="54"/>
  <c r="Q312" i="54"/>
  <c r="S312" i="54"/>
  <c r="T312" i="54"/>
  <c r="U312" i="54"/>
  <c r="V312" i="54"/>
  <c r="W312" i="54"/>
  <c r="X312" i="54"/>
  <c r="K313" i="54"/>
  <c r="M313" i="54"/>
  <c r="O313" i="54"/>
  <c r="Q313" i="54"/>
  <c r="S313" i="54"/>
  <c r="T313" i="54"/>
  <c r="U313" i="54"/>
  <c r="V313" i="54"/>
  <c r="W313" i="54"/>
  <c r="X313" i="54"/>
  <c r="K314" i="54"/>
  <c r="M314" i="54"/>
  <c r="O314" i="54"/>
  <c r="Q314" i="54"/>
  <c r="S314" i="54"/>
  <c r="T314" i="54"/>
  <c r="U314" i="54"/>
  <c r="V314" i="54"/>
  <c r="W314" i="54"/>
  <c r="X314" i="54"/>
  <c r="K315" i="54"/>
  <c r="M315" i="54"/>
  <c r="O315" i="54"/>
  <c r="Q315" i="54"/>
  <c r="S315" i="54"/>
  <c r="T315" i="54"/>
  <c r="U315" i="54"/>
  <c r="V315" i="54"/>
  <c r="W315" i="54"/>
  <c r="X315" i="54"/>
  <c r="K316" i="54"/>
  <c r="M316" i="54"/>
  <c r="O316" i="54"/>
  <c r="Q316" i="54"/>
  <c r="S316" i="54"/>
  <c r="T316" i="54"/>
  <c r="U316" i="54"/>
  <c r="V316" i="54"/>
  <c r="W316" i="54"/>
  <c r="X316" i="54"/>
  <c r="K317" i="54"/>
  <c r="M317" i="54"/>
  <c r="O317" i="54"/>
  <c r="Q317" i="54"/>
  <c r="S317" i="54"/>
  <c r="T317" i="54"/>
  <c r="U317" i="54"/>
  <c r="V317" i="54"/>
  <c r="W317" i="54"/>
  <c r="X317" i="54"/>
  <c r="K318" i="54"/>
  <c r="M318" i="54"/>
  <c r="O318" i="54"/>
  <c r="Q318" i="54"/>
  <c r="S318" i="54"/>
  <c r="T318" i="54"/>
  <c r="U318" i="54"/>
  <c r="V318" i="54"/>
  <c r="W318" i="54"/>
  <c r="X318" i="54"/>
  <c r="K319" i="54"/>
  <c r="M319" i="54"/>
  <c r="O319" i="54"/>
  <c r="Q319" i="54"/>
  <c r="S319" i="54"/>
  <c r="T319" i="54"/>
  <c r="U319" i="54"/>
  <c r="V319" i="54"/>
  <c r="W319" i="54"/>
  <c r="X319" i="54"/>
  <c r="K320" i="54"/>
  <c r="M320" i="54"/>
  <c r="O320" i="54"/>
  <c r="Q320" i="54"/>
  <c r="S320" i="54"/>
  <c r="T320" i="54"/>
  <c r="U320" i="54"/>
  <c r="V320" i="54"/>
  <c r="W320" i="54"/>
  <c r="X320" i="54"/>
  <c r="K321" i="54"/>
  <c r="M321" i="54"/>
  <c r="O321" i="54"/>
  <c r="Q321" i="54"/>
  <c r="S321" i="54"/>
  <c r="T321" i="54"/>
  <c r="U321" i="54"/>
  <c r="V321" i="54"/>
  <c r="W321" i="54"/>
  <c r="X321" i="54"/>
  <c r="K322" i="54"/>
  <c r="M322" i="54"/>
  <c r="O322" i="54"/>
  <c r="Q322" i="54"/>
  <c r="S322" i="54"/>
  <c r="T322" i="54"/>
  <c r="U322" i="54"/>
  <c r="V322" i="54"/>
  <c r="W322" i="54"/>
  <c r="X322" i="54"/>
  <c r="K323" i="54"/>
  <c r="M323" i="54"/>
  <c r="O323" i="54"/>
  <c r="Q323" i="54"/>
  <c r="S323" i="54"/>
  <c r="T323" i="54"/>
  <c r="U323" i="54"/>
  <c r="V323" i="54"/>
  <c r="W323" i="54"/>
  <c r="X323" i="54"/>
  <c r="K324" i="54"/>
  <c r="M324" i="54"/>
  <c r="O324" i="54"/>
  <c r="Q324" i="54"/>
  <c r="S324" i="54"/>
  <c r="T324" i="54"/>
  <c r="U324" i="54"/>
  <c r="V324" i="54"/>
  <c r="W324" i="54"/>
  <c r="X324" i="54"/>
  <c r="K325" i="54"/>
  <c r="M325" i="54"/>
  <c r="O325" i="54"/>
  <c r="Q325" i="54"/>
  <c r="S325" i="54"/>
  <c r="T325" i="54"/>
  <c r="U325" i="54"/>
  <c r="V325" i="54"/>
  <c r="W325" i="54"/>
  <c r="X325" i="54"/>
  <c r="K326" i="54"/>
  <c r="M326" i="54"/>
  <c r="O326" i="54"/>
  <c r="Q326" i="54"/>
  <c r="S326" i="54"/>
  <c r="T326" i="54"/>
  <c r="U326" i="54"/>
  <c r="V326" i="54"/>
  <c r="W326" i="54"/>
  <c r="X326" i="54"/>
  <c r="K327" i="54"/>
  <c r="M327" i="54"/>
  <c r="O327" i="54"/>
  <c r="Q327" i="54"/>
  <c r="S327" i="54"/>
  <c r="T327" i="54"/>
  <c r="U327" i="54"/>
  <c r="V327" i="54"/>
  <c r="W327" i="54"/>
  <c r="X327" i="54"/>
  <c r="K328" i="54"/>
  <c r="M328" i="54"/>
  <c r="O328" i="54"/>
  <c r="Q328" i="54"/>
  <c r="S328" i="54"/>
  <c r="T328" i="54"/>
  <c r="U328" i="54"/>
  <c r="V328" i="54"/>
  <c r="W328" i="54"/>
  <c r="X328" i="54"/>
  <c r="K329" i="54"/>
  <c r="M329" i="54"/>
  <c r="O329" i="54"/>
  <c r="Q329" i="54"/>
  <c r="S329" i="54"/>
  <c r="T329" i="54"/>
  <c r="U329" i="54"/>
  <c r="V329" i="54"/>
  <c r="W329" i="54"/>
  <c r="X329" i="54"/>
  <c r="K330" i="54"/>
  <c r="M330" i="54"/>
  <c r="O330" i="54"/>
  <c r="Q330" i="54"/>
  <c r="S330" i="54"/>
  <c r="T330" i="54"/>
  <c r="U330" i="54"/>
  <c r="V330" i="54"/>
  <c r="W330" i="54"/>
  <c r="X330" i="54"/>
  <c r="K331" i="54"/>
  <c r="M331" i="54"/>
  <c r="O331" i="54"/>
  <c r="Q331" i="54"/>
  <c r="S331" i="54"/>
  <c r="T331" i="54"/>
  <c r="U331" i="54"/>
  <c r="V331" i="54"/>
  <c r="W331" i="54"/>
  <c r="X331" i="54"/>
  <c r="K332" i="54"/>
  <c r="M332" i="54"/>
  <c r="O332" i="54"/>
  <c r="Q332" i="54"/>
  <c r="S332" i="54"/>
  <c r="T332" i="54"/>
  <c r="U332" i="54"/>
  <c r="V332" i="54"/>
  <c r="W332" i="54"/>
  <c r="X332" i="54"/>
  <c r="K333" i="54"/>
  <c r="M333" i="54"/>
  <c r="O333" i="54"/>
  <c r="Q333" i="54"/>
  <c r="S333" i="54"/>
  <c r="T333" i="54"/>
  <c r="U333" i="54"/>
  <c r="V333" i="54"/>
  <c r="W333" i="54"/>
  <c r="X333" i="54"/>
  <c r="K334" i="54"/>
  <c r="M334" i="54"/>
  <c r="O334" i="54"/>
  <c r="Q334" i="54"/>
  <c r="S334" i="54"/>
  <c r="T334" i="54"/>
  <c r="U334" i="54"/>
  <c r="V334" i="54"/>
  <c r="W334" i="54"/>
  <c r="X334" i="54"/>
  <c r="K335" i="54"/>
  <c r="M335" i="54"/>
  <c r="O335" i="54"/>
  <c r="Q335" i="54"/>
  <c r="S335" i="54"/>
  <c r="T335" i="54"/>
  <c r="U335" i="54"/>
  <c r="V335" i="54"/>
  <c r="W335" i="54"/>
  <c r="X335" i="54"/>
  <c r="K336" i="54"/>
  <c r="M336" i="54"/>
  <c r="O336" i="54"/>
  <c r="Q336" i="54"/>
  <c r="S336" i="54"/>
  <c r="T336" i="54"/>
  <c r="U336" i="54"/>
  <c r="V336" i="54"/>
  <c r="W336" i="54"/>
  <c r="X336" i="54"/>
  <c r="K337" i="54"/>
  <c r="M337" i="54"/>
  <c r="O337" i="54"/>
  <c r="Q337" i="54"/>
  <c r="S337" i="54"/>
  <c r="T337" i="54"/>
  <c r="U337" i="54"/>
  <c r="V337" i="54"/>
  <c r="W337" i="54"/>
  <c r="X337" i="54"/>
  <c r="K338" i="54"/>
  <c r="M338" i="54"/>
  <c r="O338" i="54"/>
  <c r="Q338" i="54"/>
  <c r="S338" i="54"/>
  <c r="T338" i="54"/>
  <c r="U338" i="54"/>
  <c r="V338" i="54"/>
  <c r="W338" i="54"/>
  <c r="X338" i="54"/>
  <c r="K339" i="54"/>
  <c r="M339" i="54"/>
  <c r="O339" i="54"/>
  <c r="Q339" i="54"/>
  <c r="S339" i="54"/>
  <c r="T339" i="54"/>
  <c r="U339" i="54"/>
  <c r="V339" i="54"/>
  <c r="W339" i="54"/>
  <c r="X339" i="54"/>
  <c r="K340" i="54"/>
  <c r="M340" i="54"/>
  <c r="O340" i="54"/>
  <c r="Q340" i="54"/>
  <c r="S340" i="54"/>
  <c r="T340" i="54"/>
  <c r="U340" i="54"/>
  <c r="V340" i="54"/>
  <c r="W340" i="54"/>
  <c r="X340" i="54"/>
  <c r="K341" i="54"/>
  <c r="M341" i="54"/>
  <c r="O341" i="54"/>
  <c r="Q341" i="54"/>
  <c r="S341" i="54"/>
  <c r="T341" i="54"/>
  <c r="U341" i="54"/>
  <c r="V341" i="54"/>
  <c r="W341" i="54"/>
  <c r="X341" i="54"/>
  <c r="K342" i="54"/>
  <c r="M342" i="54"/>
  <c r="O342" i="54"/>
  <c r="Q342" i="54"/>
  <c r="S342" i="54"/>
  <c r="T342" i="54"/>
  <c r="U342" i="54"/>
  <c r="V342" i="54"/>
  <c r="W342" i="54"/>
  <c r="X342" i="54"/>
  <c r="K343" i="54"/>
  <c r="M343" i="54"/>
  <c r="O343" i="54"/>
  <c r="Q343" i="54"/>
  <c r="S343" i="54"/>
  <c r="T343" i="54"/>
  <c r="U343" i="54"/>
  <c r="V343" i="54"/>
  <c r="W343" i="54"/>
  <c r="X343" i="54"/>
  <c r="K344" i="54"/>
  <c r="M344" i="54"/>
  <c r="O344" i="54"/>
  <c r="Q344" i="54"/>
  <c r="S344" i="54"/>
  <c r="T344" i="54"/>
  <c r="U344" i="54"/>
  <c r="V344" i="54"/>
  <c r="W344" i="54"/>
  <c r="X344" i="54"/>
  <c r="K345" i="54"/>
  <c r="M345" i="54"/>
  <c r="O345" i="54"/>
  <c r="Q345" i="54"/>
  <c r="S345" i="54"/>
  <c r="T345" i="54"/>
  <c r="U345" i="54"/>
  <c r="V345" i="54"/>
  <c r="W345" i="54"/>
  <c r="X345" i="54"/>
  <c r="K346" i="54"/>
  <c r="M346" i="54"/>
  <c r="O346" i="54"/>
  <c r="Q346" i="54"/>
  <c r="S346" i="54"/>
  <c r="T346" i="54"/>
  <c r="U346" i="54"/>
  <c r="V346" i="54"/>
  <c r="W346" i="54"/>
  <c r="X346" i="54"/>
  <c r="K347" i="54"/>
  <c r="M347" i="54"/>
  <c r="O347" i="54"/>
  <c r="Q347" i="54"/>
  <c r="S347" i="54"/>
  <c r="T347" i="54"/>
  <c r="U347" i="54"/>
  <c r="V347" i="54"/>
  <c r="W347" i="54"/>
  <c r="X347" i="54"/>
  <c r="K348" i="54"/>
  <c r="M348" i="54"/>
  <c r="O348" i="54"/>
  <c r="Q348" i="54"/>
  <c r="S348" i="54"/>
  <c r="T348" i="54"/>
  <c r="U348" i="54"/>
  <c r="V348" i="54"/>
  <c r="W348" i="54"/>
  <c r="X348" i="54"/>
  <c r="K349" i="54"/>
  <c r="M349" i="54"/>
  <c r="O349" i="54"/>
  <c r="Q349" i="54"/>
  <c r="S349" i="54"/>
  <c r="T349" i="54"/>
  <c r="U349" i="54"/>
  <c r="V349" i="54"/>
  <c r="W349" i="54"/>
  <c r="X349" i="54"/>
  <c r="K350" i="54"/>
  <c r="M350" i="54"/>
  <c r="O350" i="54"/>
  <c r="Q350" i="54"/>
  <c r="S350" i="54"/>
  <c r="T350" i="54"/>
  <c r="U350" i="54"/>
  <c r="V350" i="54"/>
  <c r="W350" i="54"/>
  <c r="X350" i="54"/>
  <c r="K351" i="54"/>
  <c r="M351" i="54"/>
  <c r="O351" i="54"/>
  <c r="Q351" i="54"/>
  <c r="S351" i="54"/>
  <c r="T351" i="54"/>
  <c r="U351" i="54"/>
  <c r="V351" i="54"/>
  <c r="W351" i="54"/>
  <c r="X351" i="54"/>
  <c r="K352" i="54"/>
  <c r="M352" i="54"/>
  <c r="O352" i="54"/>
  <c r="Q352" i="54"/>
  <c r="S352" i="54"/>
  <c r="T352" i="54"/>
  <c r="U352" i="54"/>
  <c r="V352" i="54"/>
  <c r="W352" i="54"/>
  <c r="X352" i="54"/>
  <c r="K353" i="54"/>
  <c r="M353" i="54"/>
  <c r="O353" i="54"/>
  <c r="Q353" i="54"/>
  <c r="S353" i="54"/>
  <c r="T353" i="54"/>
  <c r="U353" i="54"/>
  <c r="V353" i="54"/>
  <c r="W353" i="54"/>
  <c r="X353" i="54"/>
  <c r="K354" i="54"/>
  <c r="M354" i="54"/>
  <c r="O354" i="54"/>
  <c r="Q354" i="54"/>
  <c r="S354" i="54"/>
  <c r="T354" i="54"/>
  <c r="U354" i="54"/>
  <c r="V354" i="54"/>
  <c r="W354" i="54"/>
  <c r="X354" i="54"/>
  <c r="K355" i="54"/>
  <c r="M355" i="54"/>
  <c r="O355" i="54"/>
  <c r="Q355" i="54"/>
  <c r="S355" i="54"/>
  <c r="T355" i="54"/>
  <c r="U355" i="54"/>
  <c r="V355" i="54"/>
  <c r="W355" i="54"/>
  <c r="X355" i="54"/>
  <c r="K356" i="54"/>
  <c r="M356" i="54"/>
  <c r="O356" i="54"/>
  <c r="Q356" i="54"/>
  <c r="S356" i="54"/>
  <c r="T356" i="54"/>
  <c r="U356" i="54"/>
  <c r="V356" i="54"/>
  <c r="W356" i="54"/>
  <c r="X356" i="54"/>
  <c r="K357" i="54"/>
  <c r="M357" i="54"/>
  <c r="O357" i="54"/>
  <c r="Q357" i="54"/>
  <c r="S357" i="54"/>
  <c r="T357" i="54"/>
  <c r="U357" i="54"/>
  <c r="V357" i="54"/>
  <c r="W357" i="54"/>
  <c r="X357" i="54"/>
  <c r="K358" i="54"/>
  <c r="M358" i="54"/>
  <c r="O358" i="54"/>
  <c r="Q358" i="54"/>
  <c r="S358" i="54"/>
  <c r="T358" i="54"/>
  <c r="U358" i="54"/>
  <c r="V358" i="54"/>
  <c r="W358" i="54"/>
  <c r="X358" i="54"/>
  <c r="K359" i="54"/>
  <c r="M359" i="54"/>
  <c r="O359" i="54"/>
  <c r="Q359" i="54"/>
  <c r="S359" i="54"/>
  <c r="T359" i="54"/>
  <c r="U359" i="54"/>
  <c r="V359" i="54"/>
  <c r="W359" i="54"/>
  <c r="X359" i="54"/>
  <c r="K360" i="54"/>
  <c r="M360" i="54"/>
  <c r="O360" i="54"/>
  <c r="Q360" i="54"/>
  <c r="S360" i="54"/>
  <c r="T360" i="54"/>
  <c r="U360" i="54"/>
  <c r="V360" i="54"/>
  <c r="W360" i="54"/>
  <c r="X360" i="54"/>
  <c r="K361" i="54"/>
  <c r="M361" i="54"/>
  <c r="O361" i="54"/>
  <c r="Q361" i="54"/>
  <c r="S361" i="54"/>
  <c r="T361" i="54"/>
  <c r="U361" i="54"/>
  <c r="V361" i="54"/>
  <c r="W361" i="54"/>
  <c r="X361" i="54"/>
  <c r="K362" i="54"/>
  <c r="M362" i="54"/>
  <c r="O362" i="54"/>
  <c r="Q362" i="54"/>
  <c r="S362" i="54"/>
  <c r="T362" i="54"/>
  <c r="U362" i="54"/>
  <c r="V362" i="54"/>
  <c r="W362" i="54"/>
  <c r="X362" i="54"/>
  <c r="K363" i="54"/>
  <c r="M363" i="54"/>
  <c r="O363" i="54"/>
  <c r="Q363" i="54"/>
  <c r="S363" i="54"/>
  <c r="T363" i="54"/>
  <c r="U363" i="54"/>
  <c r="V363" i="54"/>
  <c r="W363" i="54"/>
  <c r="X363" i="54"/>
  <c r="K364" i="54"/>
  <c r="M364" i="54"/>
  <c r="O364" i="54"/>
  <c r="Q364" i="54"/>
  <c r="S364" i="54"/>
  <c r="T364" i="54"/>
  <c r="U364" i="54"/>
  <c r="V364" i="54"/>
  <c r="W364" i="54"/>
  <c r="X364" i="54"/>
  <c r="K365" i="54"/>
  <c r="M365" i="54"/>
  <c r="O365" i="54"/>
  <c r="Q365" i="54"/>
  <c r="S365" i="54"/>
  <c r="T365" i="54"/>
  <c r="U365" i="54"/>
  <c r="V365" i="54"/>
  <c r="W365" i="54"/>
  <c r="X365" i="54"/>
  <c r="K366" i="54"/>
  <c r="M366" i="54"/>
  <c r="O366" i="54"/>
  <c r="Q366" i="54"/>
  <c r="S366" i="54"/>
  <c r="T366" i="54"/>
  <c r="U366" i="54"/>
  <c r="V366" i="54"/>
  <c r="W366" i="54"/>
  <c r="X366" i="54"/>
  <c r="K367" i="54"/>
  <c r="M367" i="54"/>
  <c r="O367" i="54"/>
  <c r="Q367" i="54"/>
  <c r="S367" i="54"/>
  <c r="T367" i="54"/>
  <c r="U367" i="54"/>
  <c r="V367" i="54"/>
  <c r="W367" i="54"/>
  <c r="X367" i="54"/>
  <c r="K368" i="54"/>
  <c r="M368" i="54"/>
  <c r="O368" i="54"/>
  <c r="Q368" i="54"/>
  <c r="S368" i="54"/>
  <c r="T368" i="54"/>
  <c r="U368" i="54"/>
  <c r="V368" i="54"/>
  <c r="W368" i="54"/>
  <c r="X368" i="54"/>
  <c r="K369" i="54"/>
  <c r="M369" i="54"/>
  <c r="O369" i="54"/>
  <c r="Q369" i="54"/>
  <c r="S369" i="54"/>
  <c r="T369" i="54"/>
  <c r="U369" i="54"/>
  <c r="V369" i="54"/>
  <c r="W369" i="54"/>
  <c r="X369" i="54"/>
  <c r="K370" i="54"/>
  <c r="M370" i="54"/>
  <c r="O370" i="54"/>
  <c r="Q370" i="54"/>
  <c r="S370" i="54"/>
  <c r="T370" i="54"/>
  <c r="U370" i="54"/>
  <c r="V370" i="54"/>
  <c r="W370" i="54"/>
  <c r="X370" i="54"/>
  <c r="K371" i="54"/>
  <c r="M371" i="54"/>
  <c r="O371" i="54"/>
  <c r="Q371" i="54"/>
  <c r="S371" i="54"/>
  <c r="T371" i="54"/>
  <c r="U371" i="54"/>
  <c r="V371" i="54"/>
  <c r="W371" i="54"/>
  <c r="X371" i="54"/>
  <c r="K372" i="54"/>
  <c r="M372" i="54"/>
  <c r="O372" i="54"/>
  <c r="Q372" i="54"/>
  <c r="S372" i="54"/>
  <c r="T372" i="54"/>
  <c r="U372" i="54"/>
  <c r="V372" i="54"/>
  <c r="W372" i="54"/>
  <c r="X372" i="54"/>
  <c r="K373" i="54"/>
  <c r="M373" i="54"/>
  <c r="O373" i="54"/>
  <c r="Q373" i="54"/>
  <c r="S373" i="54"/>
  <c r="T373" i="54"/>
  <c r="U373" i="54"/>
  <c r="V373" i="54"/>
  <c r="W373" i="54"/>
  <c r="X373" i="54"/>
  <c r="K374" i="54"/>
  <c r="M374" i="54"/>
  <c r="O374" i="54"/>
  <c r="Q374" i="54"/>
  <c r="S374" i="54"/>
  <c r="T374" i="54"/>
  <c r="U374" i="54"/>
  <c r="V374" i="54"/>
  <c r="W374" i="54"/>
  <c r="X374" i="54"/>
  <c r="K375" i="54"/>
  <c r="M375" i="54"/>
  <c r="O375" i="54"/>
  <c r="Q375" i="54"/>
  <c r="S375" i="54"/>
  <c r="T375" i="54"/>
  <c r="U375" i="54"/>
  <c r="V375" i="54"/>
  <c r="W375" i="54"/>
  <c r="X375" i="54"/>
  <c r="K376" i="54"/>
  <c r="M376" i="54"/>
  <c r="O376" i="54"/>
  <c r="Q376" i="54"/>
  <c r="S376" i="54"/>
  <c r="T376" i="54"/>
  <c r="U376" i="54"/>
  <c r="V376" i="54"/>
  <c r="W376" i="54"/>
  <c r="X376" i="54"/>
  <c r="K377" i="54"/>
  <c r="M377" i="54"/>
  <c r="O377" i="54"/>
  <c r="Q377" i="54"/>
  <c r="S377" i="54"/>
  <c r="T377" i="54"/>
  <c r="U377" i="54"/>
  <c r="V377" i="54"/>
  <c r="W377" i="54"/>
  <c r="X377" i="54"/>
  <c r="K378" i="54"/>
  <c r="M378" i="54"/>
  <c r="O378" i="54"/>
  <c r="Q378" i="54"/>
  <c r="S378" i="54"/>
  <c r="T378" i="54"/>
  <c r="U378" i="54"/>
  <c r="V378" i="54"/>
  <c r="W378" i="54"/>
  <c r="X378" i="54"/>
  <c r="K379" i="54"/>
  <c r="M379" i="54"/>
  <c r="O379" i="54"/>
  <c r="Q379" i="54"/>
  <c r="S379" i="54"/>
  <c r="T379" i="54"/>
  <c r="U379" i="54"/>
  <c r="V379" i="54"/>
  <c r="W379" i="54"/>
  <c r="X379" i="54"/>
  <c r="K380" i="54"/>
  <c r="M380" i="54"/>
  <c r="O380" i="54"/>
  <c r="Q380" i="54"/>
  <c r="S380" i="54"/>
  <c r="T380" i="54"/>
  <c r="U380" i="54"/>
  <c r="V380" i="54"/>
  <c r="W380" i="54"/>
  <c r="X380" i="54"/>
  <c r="K381" i="54"/>
  <c r="M381" i="54"/>
  <c r="O381" i="54"/>
  <c r="Q381" i="54"/>
  <c r="S381" i="54"/>
  <c r="T381" i="54"/>
  <c r="U381" i="54"/>
  <c r="V381" i="54"/>
  <c r="W381" i="54"/>
  <c r="X381" i="54"/>
  <c r="K382" i="54"/>
  <c r="M382" i="54"/>
  <c r="O382" i="54"/>
  <c r="Q382" i="54"/>
  <c r="S382" i="54"/>
  <c r="T382" i="54"/>
  <c r="U382" i="54"/>
  <c r="V382" i="54"/>
  <c r="W382" i="54"/>
  <c r="X382" i="54"/>
  <c r="K383" i="54"/>
  <c r="M383" i="54"/>
  <c r="O383" i="54"/>
  <c r="Q383" i="54"/>
  <c r="S383" i="54"/>
  <c r="T383" i="54"/>
  <c r="U383" i="54"/>
  <c r="V383" i="54"/>
  <c r="W383" i="54"/>
  <c r="X383" i="54"/>
  <c r="K384" i="54"/>
  <c r="M384" i="54"/>
  <c r="O384" i="54"/>
  <c r="Q384" i="54"/>
  <c r="S384" i="54"/>
  <c r="T384" i="54"/>
  <c r="U384" i="54"/>
  <c r="V384" i="54"/>
  <c r="W384" i="54"/>
  <c r="X384" i="54"/>
  <c r="K385" i="54"/>
  <c r="M385" i="54"/>
  <c r="O385" i="54"/>
  <c r="Q385" i="54"/>
  <c r="S385" i="54"/>
  <c r="T385" i="54"/>
  <c r="U385" i="54"/>
  <c r="V385" i="54"/>
  <c r="W385" i="54"/>
  <c r="X385" i="54"/>
  <c r="K386" i="54"/>
  <c r="M386" i="54"/>
  <c r="O386" i="54"/>
  <c r="Q386" i="54"/>
  <c r="S386" i="54"/>
  <c r="T386" i="54"/>
  <c r="U386" i="54"/>
  <c r="V386" i="54"/>
  <c r="W386" i="54"/>
  <c r="X386" i="54"/>
  <c r="K387" i="54"/>
  <c r="M387" i="54"/>
  <c r="O387" i="54"/>
  <c r="Q387" i="54"/>
  <c r="S387" i="54"/>
  <c r="T387" i="54"/>
  <c r="U387" i="54"/>
  <c r="V387" i="54"/>
  <c r="W387" i="54"/>
  <c r="X387" i="54"/>
  <c r="K388" i="54"/>
  <c r="M388" i="54"/>
  <c r="O388" i="54"/>
  <c r="Q388" i="54"/>
  <c r="S388" i="54"/>
  <c r="T388" i="54"/>
  <c r="U388" i="54"/>
  <c r="V388" i="54"/>
  <c r="W388" i="54"/>
  <c r="X388" i="54"/>
  <c r="K389" i="54"/>
  <c r="M389" i="54"/>
  <c r="O389" i="54"/>
  <c r="Q389" i="54"/>
  <c r="S389" i="54"/>
  <c r="T389" i="54"/>
  <c r="U389" i="54"/>
  <c r="V389" i="54"/>
  <c r="W389" i="54"/>
  <c r="X389" i="54"/>
  <c r="K390" i="54"/>
  <c r="M390" i="54"/>
  <c r="O390" i="54"/>
  <c r="Q390" i="54"/>
  <c r="S390" i="54"/>
  <c r="T390" i="54"/>
  <c r="U390" i="54"/>
  <c r="V390" i="54"/>
  <c r="W390" i="54"/>
  <c r="X390" i="54"/>
  <c r="K391" i="54"/>
  <c r="M391" i="54"/>
  <c r="O391" i="54"/>
  <c r="Q391" i="54"/>
  <c r="S391" i="54"/>
  <c r="T391" i="54"/>
  <c r="U391" i="54"/>
  <c r="V391" i="54"/>
  <c r="W391" i="54"/>
  <c r="X391" i="54"/>
  <c r="X391" i="53" l="1"/>
  <c r="W391" i="53"/>
  <c r="V391" i="53"/>
  <c r="U391" i="53"/>
  <c r="T391" i="53"/>
  <c r="S391" i="53"/>
  <c r="Q391" i="53"/>
  <c r="O391" i="53"/>
  <c r="M391" i="53"/>
  <c r="K391" i="53"/>
  <c r="X390" i="53"/>
  <c r="W390" i="53"/>
  <c r="V390" i="53"/>
  <c r="U390" i="53"/>
  <c r="T390" i="53"/>
  <c r="S390" i="53"/>
  <c r="Q390" i="53"/>
  <c r="O390" i="53"/>
  <c r="M390" i="53"/>
  <c r="K390" i="53"/>
  <c r="X389" i="53"/>
  <c r="W389" i="53"/>
  <c r="V389" i="53"/>
  <c r="U389" i="53"/>
  <c r="T389" i="53"/>
  <c r="S389" i="53"/>
  <c r="Q389" i="53"/>
  <c r="O389" i="53"/>
  <c r="M389" i="53"/>
  <c r="K389" i="53"/>
  <c r="X388" i="53"/>
  <c r="W388" i="53"/>
  <c r="V388" i="53"/>
  <c r="U388" i="53"/>
  <c r="T388" i="53"/>
  <c r="S388" i="53"/>
  <c r="Q388" i="53"/>
  <c r="O388" i="53"/>
  <c r="M388" i="53"/>
  <c r="K388" i="53"/>
  <c r="X387" i="53"/>
  <c r="W387" i="53"/>
  <c r="V387" i="53"/>
  <c r="U387" i="53"/>
  <c r="T387" i="53"/>
  <c r="S387" i="53"/>
  <c r="Q387" i="53"/>
  <c r="O387" i="53"/>
  <c r="M387" i="53"/>
  <c r="K387" i="53"/>
  <c r="X386" i="53"/>
  <c r="W386" i="53"/>
  <c r="V386" i="53"/>
  <c r="U386" i="53"/>
  <c r="T386" i="53"/>
  <c r="S386" i="53"/>
  <c r="Q386" i="53"/>
  <c r="O386" i="53"/>
  <c r="M386" i="53"/>
  <c r="K386" i="53"/>
  <c r="X385" i="53"/>
  <c r="W385" i="53"/>
  <c r="V385" i="53"/>
  <c r="U385" i="53"/>
  <c r="T385" i="53"/>
  <c r="S385" i="53"/>
  <c r="Q385" i="53"/>
  <c r="O385" i="53"/>
  <c r="M385" i="53"/>
  <c r="K385" i="53"/>
  <c r="X384" i="53"/>
  <c r="W384" i="53"/>
  <c r="V384" i="53"/>
  <c r="U384" i="53"/>
  <c r="T384" i="53"/>
  <c r="S384" i="53"/>
  <c r="Q384" i="53"/>
  <c r="O384" i="53"/>
  <c r="M384" i="53"/>
  <c r="K384" i="53"/>
  <c r="X383" i="53"/>
  <c r="W383" i="53"/>
  <c r="V383" i="53"/>
  <c r="U383" i="53"/>
  <c r="T383" i="53"/>
  <c r="S383" i="53"/>
  <c r="Q383" i="53"/>
  <c r="O383" i="53"/>
  <c r="M383" i="53"/>
  <c r="K383" i="53"/>
  <c r="X382" i="53"/>
  <c r="W382" i="53"/>
  <c r="V382" i="53"/>
  <c r="U382" i="53"/>
  <c r="T382" i="53"/>
  <c r="S382" i="53"/>
  <c r="Q382" i="53"/>
  <c r="O382" i="53"/>
  <c r="M382" i="53"/>
  <c r="K382" i="53"/>
  <c r="X381" i="53"/>
  <c r="W381" i="53"/>
  <c r="V381" i="53"/>
  <c r="U381" i="53"/>
  <c r="T381" i="53"/>
  <c r="S381" i="53"/>
  <c r="Q381" i="53"/>
  <c r="O381" i="53"/>
  <c r="M381" i="53"/>
  <c r="K381" i="53"/>
  <c r="X380" i="53"/>
  <c r="W380" i="53"/>
  <c r="V380" i="53"/>
  <c r="U380" i="53"/>
  <c r="T380" i="53"/>
  <c r="S380" i="53"/>
  <c r="Q380" i="53"/>
  <c r="O380" i="53"/>
  <c r="M380" i="53"/>
  <c r="K380" i="53"/>
  <c r="X379" i="53"/>
  <c r="W379" i="53"/>
  <c r="V379" i="53"/>
  <c r="U379" i="53"/>
  <c r="T379" i="53"/>
  <c r="S379" i="53"/>
  <c r="Q379" i="53"/>
  <c r="O379" i="53"/>
  <c r="M379" i="53"/>
  <c r="K379" i="53"/>
  <c r="X378" i="53"/>
  <c r="W378" i="53"/>
  <c r="V378" i="53"/>
  <c r="U378" i="53"/>
  <c r="T378" i="53"/>
  <c r="S378" i="53"/>
  <c r="Q378" i="53"/>
  <c r="O378" i="53"/>
  <c r="M378" i="53"/>
  <c r="K378" i="53"/>
  <c r="X377" i="53"/>
  <c r="W377" i="53"/>
  <c r="V377" i="53"/>
  <c r="U377" i="53"/>
  <c r="T377" i="53"/>
  <c r="S377" i="53"/>
  <c r="Q377" i="53"/>
  <c r="O377" i="53"/>
  <c r="M377" i="53"/>
  <c r="K377" i="53"/>
  <c r="X376" i="53"/>
  <c r="W376" i="53"/>
  <c r="V376" i="53"/>
  <c r="U376" i="53"/>
  <c r="T376" i="53"/>
  <c r="S376" i="53"/>
  <c r="Q376" i="53"/>
  <c r="O376" i="53"/>
  <c r="M376" i="53"/>
  <c r="K376" i="53"/>
  <c r="X375" i="53"/>
  <c r="W375" i="53"/>
  <c r="V375" i="53"/>
  <c r="U375" i="53"/>
  <c r="T375" i="53"/>
  <c r="S375" i="53"/>
  <c r="Q375" i="53"/>
  <c r="O375" i="53"/>
  <c r="M375" i="53"/>
  <c r="K375" i="53"/>
  <c r="X374" i="53"/>
  <c r="W374" i="53"/>
  <c r="V374" i="53"/>
  <c r="U374" i="53"/>
  <c r="T374" i="53"/>
  <c r="S374" i="53"/>
  <c r="Q374" i="53"/>
  <c r="O374" i="53"/>
  <c r="M374" i="53"/>
  <c r="K374" i="53"/>
  <c r="X373" i="53"/>
  <c r="W373" i="53"/>
  <c r="V373" i="53"/>
  <c r="U373" i="53"/>
  <c r="T373" i="53"/>
  <c r="S373" i="53"/>
  <c r="Q373" i="53"/>
  <c r="O373" i="53"/>
  <c r="M373" i="53"/>
  <c r="K373" i="53"/>
  <c r="X372" i="53"/>
  <c r="W372" i="53"/>
  <c r="V372" i="53"/>
  <c r="U372" i="53"/>
  <c r="T372" i="53"/>
  <c r="S372" i="53"/>
  <c r="Q372" i="53"/>
  <c r="O372" i="53"/>
  <c r="M372" i="53"/>
  <c r="K372" i="53"/>
  <c r="X371" i="53"/>
  <c r="W371" i="53"/>
  <c r="V371" i="53"/>
  <c r="U371" i="53"/>
  <c r="T371" i="53"/>
  <c r="S371" i="53"/>
  <c r="Q371" i="53"/>
  <c r="O371" i="53"/>
  <c r="M371" i="53"/>
  <c r="K371" i="53"/>
  <c r="X370" i="53"/>
  <c r="W370" i="53"/>
  <c r="V370" i="53"/>
  <c r="U370" i="53"/>
  <c r="T370" i="53"/>
  <c r="S370" i="53"/>
  <c r="Q370" i="53"/>
  <c r="O370" i="53"/>
  <c r="M370" i="53"/>
  <c r="K370" i="53"/>
  <c r="X369" i="53"/>
  <c r="W369" i="53"/>
  <c r="V369" i="53"/>
  <c r="U369" i="53"/>
  <c r="T369" i="53"/>
  <c r="S369" i="53"/>
  <c r="Q369" i="53"/>
  <c r="O369" i="53"/>
  <c r="M369" i="53"/>
  <c r="K369" i="53"/>
  <c r="X368" i="53"/>
  <c r="W368" i="53"/>
  <c r="V368" i="53"/>
  <c r="U368" i="53"/>
  <c r="T368" i="53"/>
  <c r="S368" i="53"/>
  <c r="Q368" i="53"/>
  <c r="O368" i="53"/>
  <c r="M368" i="53"/>
  <c r="K368" i="53"/>
  <c r="X367" i="53"/>
  <c r="W367" i="53"/>
  <c r="V367" i="53"/>
  <c r="U367" i="53"/>
  <c r="T367" i="53"/>
  <c r="S367" i="53"/>
  <c r="Q367" i="53"/>
  <c r="O367" i="53"/>
  <c r="M367" i="53"/>
  <c r="K367" i="53"/>
  <c r="X366" i="53"/>
  <c r="W366" i="53"/>
  <c r="V366" i="53"/>
  <c r="U366" i="53"/>
  <c r="T366" i="53"/>
  <c r="S366" i="53"/>
  <c r="Q366" i="53"/>
  <c r="O366" i="53"/>
  <c r="M366" i="53"/>
  <c r="K366" i="53"/>
  <c r="X365" i="53"/>
  <c r="W365" i="53"/>
  <c r="V365" i="53"/>
  <c r="U365" i="53"/>
  <c r="T365" i="53"/>
  <c r="S365" i="53"/>
  <c r="Q365" i="53"/>
  <c r="O365" i="53"/>
  <c r="M365" i="53"/>
  <c r="K365" i="53"/>
  <c r="X364" i="53"/>
  <c r="W364" i="53"/>
  <c r="V364" i="53"/>
  <c r="U364" i="53"/>
  <c r="T364" i="53"/>
  <c r="S364" i="53"/>
  <c r="Q364" i="53"/>
  <c r="O364" i="53"/>
  <c r="M364" i="53"/>
  <c r="K364" i="53"/>
  <c r="X363" i="53"/>
  <c r="W363" i="53"/>
  <c r="V363" i="53"/>
  <c r="U363" i="53"/>
  <c r="T363" i="53"/>
  <c r="S363" i="53"/>
  <c r="Q363" i="53"/>
  <c r="O363" i="53"/>
  <c r="M363" i="53"/>
  <c r="K363" i="53"/>
  <c r="X362" i="53"/>
  <c r="W362" i="53"/>
  <c r="V362" i="53"/>
  <c r="U362" i="53"/>
  <c r="T362" i="53"/>
  <c r="S362" i="53"/>
  <c r="Q362" i="53"/>
  <c r="O362" i="53"/>
  <c r="M362" i="53"/>
  <c r="K362" i="53"/>
  <c r="X361" i="53"/>
  <c r="W361" i="53"/>
  <c r="V361" i="53"/>
  <c r="U361" i="53"/>
  <c r="T361" i="53"/>
  <c r="S361" i="53"/>
  <c r="Q361" i="53"/>
  <c r="O361" i="53"/>
  <c r="M361" i="53"/>
  <c r="K361" i="53"/>
  <c r="X360" i="53"/>
  <c r="W360" i="53"/>
  <c r="V360" i="53"/>
  <c r="U360" i="53"/>
  <c r="T360" i="53"/>
  <c r="S360" i="53"/>
  <c r="Q360" i="53"/>
  <c r="O360" i="53"/>
  <c r="M360" i="53"/>
  <c r="K360" i="53"/>
  <c r="X359" i="53"/>
  <c r="W359" i="53"/>
  <c r="V359" i="53"/>
  <c r="U359" i="53"/>
  <c r="T359" i="53"/>
  <c r="S359" i="53"/>
  <c r="Q359" i="53"/>
  <c r="O359" i="53"/>
  <c r="M359" i="53"/>
  <c r="K359" i="53"/>
  <c r="X358" i="53"/>
  <c r="W358" i="53"/>
  <c r="V358" i="53"/>
  <c r="U358" i="53"/>
  <c r="T358" i="53"/>
  <c r="S358" i="53"/>
  <c r="Q358" i="53"/>
  <c r="O358" i="53"/>
  <c r="M358" i="53"/>
  <c r="K358" i="53"/>
  <c r="X357" i="53"/>
  <c r="W357" i="53"/>
  <c r="V357" i="53"/>
  <c r="U357" i="53"/>
  <c r="T357" i="53"/>
  <c r="S357" i="53"/>
  <c r="Q357" i="53"/>
  <c r="O357" i="53"/>
  <c r="M357" i="53"/>
  <c r="K357" i="53"/>
  <c r="X356" i="53"/>
  <c r="W356" i="53"/>
  <c r="V356" i="53"/>
  <c r="U356" i="53"/>
  <c r="T356" i="53"/>
  <c r="S356" i="53"/>
  <c r="Q356" i="53"/>
  <c r="O356" i="53"/>
  <c r="M356" i="53"/>
  <c r="K356" i="53"/>
  <c r="X355" i="53"/>
  <c r="W355" i="53"/>
  <c r="V355" i="53"/>
  <c r="U355" i="53"/>
  <c r="T355" i="53"/>
  <c r="S355" i="53"/>
  <c r="Q355" i="53"/>
  <c r="O355" i="53"/>
  <c r="M355" i="53"/>
  <c r="K355" i="53"/>
  <c r="X354" i="53"/>
  <c r="W354" i="53"/>
  <c r="V354" i="53"/>
  <c r="U354" i="53"/>
  <c r="T354" i="53"/>
  <c r="S354" i="53"/>
  <c r="Q354" i="53"/>
  <c r="O354" i="53"/>
  <c r="M354" i="53"/>
  <c r="K354" i="53"/>
  <c r="X353" i="53"/>
  <c r="W353" i="53"/>
  <c r="V353" i="53"/>
  <c r="U353" i="53"/>
  <c r="T353" i="53"/>
  <c r="S353" i="53"/>
  <c r="Q353" i="53"/>
  <c r="O353" i="53"/>
  <c r="M353" i="53"/>
  <c r="K353" i="53"/>
  <c r="X352" i="53"/>
  <c r="W352" i="53"/>
  <c r="V352" i="53"/>
  <c r="U352" i="53"/>
  <c r="T352" i="53"/>
  <c r="S352" i="53"/>
  <c r="Q352" i="53"/>
  <c r="O352" i="53"/>
  <c r="M352" i="53"/>
  <c r="K352" i="53"/>
  <c r="X351" i="53"/>
  <c r="W351" i="53"/>
  <c r="V351" i="53"/>
  <c r="U351" i="53"/>
  <c r="T351" i="53"/>
  <c r="S351" i="53"/>
  <c r="Q351" i="53"/>
  <c r="O351" i="53"/>
  <c r="M351" i="53"/>
  <c r="K351" i="53"/>
  <c r="X350" i="53"/>
  <c r="W350" i="53"/>
  <c r="V350" i="53"/>
  <c r="U350" i="53"/>
  <c r="T350" i="53"/>
  <c r="S350" i="53"/>
  <c r="Q350" i="53"/>
  <c r="O350" i="53"/>
  <c r="M350" i="53"/>
  <c r="K350" i="53"/>
  <c r="X349" i="53"/>
  <c r="W349" i="53"/>
  <c r="V349" i="53"/>
  <c r="U349" i="53"/>
  <c r="T349" i="53"/>
  <c r="S349" i="53"/>
  <c r="Q349" i="53"/>
  <c r="O349" i="53"/>
  <c r="M349" i="53"/>
  <c r="K349" i="53"/>
  <c r="X348" i="53"/>
  <c r="W348" i="53"/>
  <c r="V348" i="53"/>
  <c r="U348" i="53"/>
  <c r="T348" i="53"/>
  <c r="S348" i="53"/>
  <c r="Q348" i="53"/>
  <c r="O348" i="53"/>
  <c r="M348" i="53"/>
  <c r="K348" i="53"/>
  <c r="X347" i="53"/>
  <c r="W347" i="53"/>
  <c r="V347" i="53"/>
  <c r="U347" i="53"/>
  <c r="T347" i="53"/>
  <c r="S347" i="53"/>
  <c r="Q347" i="53"/>
  <c r="O347" i="53"/>
  <c r="M347" i="53"/>
  <c r="K347" i="53"/>
  <c r="X346" i="53"/>
  <c r="W346" i="53"/>
  <c r="V346" i="53"/>
  <c r="U346" i="53"/>
  <c r="T346" i="53"/>
  <c r="S346" i="53"/>
  <c r="Q346" i="53"/>
  <c r="O346" i="53"/>
  <c r="M346" i="53"/>
  <c r="K346" i="53"/>
  <c r="X345" i="53"/>
  <c r="W345" i="53"/>
  <c r="V345" i="53"/>
  <c r="U345" i="53"/>
  <c r="T345" i="53"/>
  <c r="S345" i="53"/>
  <c r="Q345" i="53"/>
  <c r="O345" i="53"/>
  <c r="M345" i="53"/>
  <c r="K345" i="53"/>
  <c r="X344" i="53"/>
  <c r="W344" i="53"/>
  <c r="V344" i="53"/>
  <c r="U344" i="53"/>
  <c r="T344" i="53"/>
  <c r="S344" i="53"/>
  <c r="Q344" i="53"/>
  <c r="O344" i="53"/>
  <c r="M344" i="53"/>
  <c r="K344" i="53"/>
  <c r="X343" i="53"/>
  <c r="W343" i="53"/>
  <c r="V343" i="53"/>
  <c r="U343" i="53"/>
  <c r="T343" i="53"/>
  <c r="S343" i="53"/>
  <c r="Q343" i="53"/>
  <c r="O343" i="53"/>
  <c r="M343" i="53"/>
  <c r="K343" i="53"/>
  <c r="X342" i="53"/>
  <c r="W342" i="53"/>
  <c r="V342" i="53"/>
  <c r="U342" i="53"/>
  <c r="T342" i="53"/>
  <c r="S342" i="53"/>
  <c r="Q342" i="53"/>
  <c r="O342" i="53"/>
  <c r="M342" i="53"/>
  <c r="K342" i="53"/>
  <c r="X341" i="53"/>
  <c r="W341" i="53"/>
  <c r="V341" i="53"/>
  <c r="U341" i="53"/>
  <c r="T341" i="53"/>
  <c r="S341" i="53"/>
  <c r="Q341" i="53"/>
  <c r="O341" i="53"/>
  <c r="M341" i="53"/>
  <c r="K341" i="53"/>
  <c r="X340" i="53"/>
  <c r="W340" i="53"/>
  <c r="V340" i="53"/>
  <c r="U340" i="53"/>
  <c r="T340" i="53"/>
  <c r="S340" i="53"/>
  <c r="Q340" i="53"/>
  <c r="O340" i="53"/>
  <c r="M340" i="53"/>
  <c r="K340" i="53"/>
  <c r="X339" i="53"/>
  <c r="W339" i="53"/>
  <c r="V339" i="53"/>
  <c r="U339" i="53"/>
  <c r="T339" i="53"/>
  <c r="S339" i="53"/>
  <c r="Q339" i="53"/>
  <c r="O339" i="53"/>
  <c r="M339" i="53"/>
  <c r="K339" i="53"/>
  <c r="X338" i="53"/>
  <c r="W338" i="53"/>
  <c r="V338" i="53"/>
  <c r="U338" i="53"/>
  <c r="T338" i="53"/>
  <c r="S338" i="53"/>
  <c r="Q338" i="53"/>
  <c r="O338" i="53"/>
  <c r="M338" i="53"/>
  <c r="K338" i="53"/>
  <c r="X337" i="53"/>
  <c r="W337" i="53"/>
  <c r="V337" i="53"/>
  <c r="U337" i="53"/>
  <c r="T337" i="53"/>
  <c r="S337" i="53"/>
  <c r="Q337" i="53"/>
  <c r="O337" i="53"/>
  <c r="M337" i="53"/>
  <c r="K337" i="53"/>
  <c r="X336" i="53"/>
  <c r="W336" i="53"/>
  <c r="V336" i="53"/>
  <c r="U336" i="53"/>
  <c r="T336" i="53"/>
  <c r="S336" i="53"/>
  <c r="Q336" i="53"/>
  <c r="O336" i="53"/>
  <c r="M336" i="53"/>
  <c r="K336" i="53"/>
  <c r="X335" i="53"/>
  <c r="W335" i="53"/>
  <c r="V335" i="53"/>
  <c r="U335" i="53"/>
  <c r="T335" i="53"/>
  <c r="S335" i="53"/>
  <c r="Q335" i="53"/>
  <c r="O335" i="53"/>
  <c r="M335" i="53"/>
  <c r="K335" i="53"/>
  <c r="X334" i="53"/>
  <c r="W334" i="53"/>
  <c r="V334" i="53"/>
  <c r="U334" i="53"/>
  <c r="T334" i="53"/>
  <c r="S334" i="53"/>
  <c r="Q334" i="53"/>
  <c r="O334" i="53"/>
  <c r="M334" i="53"/>
  <c r="K334" i="53"/>
  <c r="X333" i="53"/>
  <c r="W333" i="53"/>
  <c r="V333" i="53"/>
  <c r="U333" i="53"/>
  <c r="T333" i="53"/>
  <c r="S333" i="53"/>
  <c r="Q333" i="53"/>
  <c r="O333" i="53"/>
  <c r="M333" i="53"/>
  <c r="K333" i="53"/>
  <c r="X332" i="53"/>
  <c r="W332" i="53"/>
  <c r="V332" i="53"/>
  <c r="U332" i="53"/>
  <c r="T332" i="53"/>
  <c r="S332" i="53"/>
  <c r="Q332" i="53"/>
  <c r="O332" i="53"/>
  <c r="M332" i="53"/>
  <c r="K332" i="53"/>
  <c r="X331" i="53"/>
  <c r="W331" i="53"/>
  <c r="V331" i="53"/>
  <c r="U331" i="53"/>
  <c r="T331" i="53"/>
  <c r="S331" i="53"/>
  <c r="Q331" i="53"/>
  <c r="O331" i="53"/>
  <c r="M331" i="53"/>
  <c r="K331" i="53"/>
  <c r="X330" i="53"/>
  <c r="W330" i="53"/>
  <c r="V330" i="53"/>
  <c r="U330" i="53"/>
  <c r="T330" i="53"/>
  <c r="S330" i="53"/>
  <c r="Q330" i="53"/>
  <c r="O330" i="53"/>
  <c r="M330" i="53"/>
  <c r="K330" i="53"/>
  <c r="X329" i="53"/>
  <c r="W329" i="53"/>
  <c r="V329" i="53"/>
  <c r="U329" i="53"/>
  <c r="T329" i="53"/>
  <c r="S329" i="53"/>
  <c r="Q329" i="53"/>
  <c r="O329" i="53"/>
  <c r="M329" i="53"/>
  <c r="K329" i="53"/>
  <c r="X328" i="53"/>
  <c r="W328" i="53"/>
  <c r="V328" i="53"/>
  <c r="U328" i="53"/>
  <c r="T328" i="53"/>
  <c r="S328" i="53"/>
  <c r="Q328" i="53"/>
  <c r="O328" i="53"/>
  <c r="M328" i="53"/>
  <c r="K328" i="53"/>
  <c r="X327" i="53"/>
  <c r="W327" i="53"/>
  <c r="V327" i="53"/>
  <c r="U327" i="53"/>
  <c r="T327" i="53"/>
  <c r="S327" i="53"/>
  <c r="Q327" i="53"/>
  <c r="O327" i="53"/>
  <c r="M327" i="53"/>
  <c r="K327" i="53"/>
  <c r="X326" i="53"/>
  <c r="W326" i="53"/>
  <c r="V326" i="53"/>
  <c r="U326" i="53"/>
  <c r="T326" i="53"/>
  <c r="S326" i="53"/>
  <c r="Q326" i="53"/>
  <c r="O326" i="53"/>
  <c r="M326" i="53"/>
  <c r="K326" i="53"/>
  <c r="X325" i="53"/>
  <c r="W325" i="53"/>
  <c r="V325" i="53"/>
  <c r="U325" i="53"/>
  <c r="T325" i="53"/>
  <c r="S325" i="53"/>
  <c r="Q325" i="53"/>
  <c r="O325" i="53"/>
  <c r="M325" i="53"/>
  <c r="K325" i="53"/>
  <c r="X324" i="53"/>
  <c r="W324" i="53"/>
  <c r="V324" i="53"/>
  <c r="U324" i="53"/>
  <c r="T324" i="53"/>
  <c r="S324" i="53"/>
  <c r="Q324" i="53"/>
  <c r="O324" i="53"/>
  <c r="M324" i="53"/>
  <c r="K324" i="53"/>
  <c r="X323" i="53"/>
  <c r="W323" i="53"/>
  <c r="V323" i="53"/>
  <c r="U323" i="53"/>
  <c r="T323" i="53"/>
  <c r="S323" i="53"/>
  <c r="Q323" i="53"/>
  <c r="O323" i="53"/>
  <c r="M323" i="53"/>
  <c r="K323" i="53"/>
  <c r="X322" i="53"/>
  <c r="W322" i="53"/>
  <c r="V322" i="53"/>
  <c r="U322" i="53"/>
  <c r="T322" i="53"/>
  <c r="S322" i="53"/>
  <c r="Q322" i="53"/>
  <c r="O322" i="53"/>
  <c r="M322" i="53"/>
  <c r="K322" i="53"/>
  <c r="X321" i="53"/>
  <c r="W321" i="53"/>
  <c r="V321" i="53"/>
  <c r="U321" i="53"/>
  <c r="T321" i="53"/>
  <c r="S321" i="53"/>
  <c r="Q321" i="53"/>
  <c r="O321" i="53"/>
  <c r="M321" i="53"/>
  <c r="K321" i="53"/>
  <c r="X320" i="53"/>
  <c r="W320" i="53"/>
  <c r="V320" i="53"/>
  <c r="U320" i="53"/>
  <c r="T320" i="53"/>
  <c r="S320" i="53"/>
  <c r="Q320" i="53"/>
  <c r="O320" i="53"/>
  <c r="M320" i="53"/>
  <c r="K320" i="53"/>
  <c r="X319" i="53"/>
  <c r="W319" i="53"/>
  <c r="V319" i="53"/>
  <c r="U319" i="53"/>
  <c r="T319" i="53"/>
  <c r="S319" i="53"/>
  <c r="Q319" i="53"/>
  <c r="O319" i="53"/>
  <c r="M319" i="53"/>
  <c r="K319" i="53"/>
  <c r="X318" i="53"/>
  <c r="W318" i="53"/>
  <c r="V318" i="53"/>
  <c r="U318" i="53"/>
  <c r="T318" i="53"/>
  <c r="S318" i="53"/>
  <c r="Q318" i="53"/>
  <c r="O318" i="53"/>
  <c r="M318" i="53"/>
  <c r="K318" i="53"/>
  <c r="X317" i="53"/>
  <c r="W317" i="53"/>
  <c r="V317" i="53"/>
  <c r="U317" i="53"/>
  <c r="T317" i="53"/>
  <c r="S317" i="53"/>
  <c r="Q317" i="53"/>
  <c r="O317" i="53"/>
  <c r="M317" i="53"/>
  <c r="K317" i="53"/>
  <c r="X316" i="53"/>
  <c r="W316" i="53"/>
  <c r="V316" i="53"/>
  <c r="U316" i="53"/>
  <c r="T316" i="53"/>
  <c r="S316" i="53"/>
  <c r="Q316" i="53"/>
  <c r="O316" i="53"/>
  <c r="M316" i="53"/>
  <c r="K316" i="53"/>
  <c r="X315" i="53"/>
  <c r="W315" i="53"/>
  <c r="V315" i="53"/>
  <c r="U315" i="53"/>
  <c r="T315" i="53"/>
  <c r="S315" i="53"/>
  <c r="Q315" i="53"/>
  <c r="O315" i="53"/>
  <c r="M315" i="53"/>
  <c r="K315" i="53"/>
  <c r="X314" i="53"/>
  <c r="W314" i="53"/>
  <c r="V314" i="53"/>
  <c r="U314" i="53"/>
  <c r="T314" i="53"/>
  <c r="S314" i="53"/>
  <c r="Q314" i="53"/>
  <c r="O314" i="53"/>
  <c r="M314" i="53"/>
  <c r="K314" i="53"/>
  <c r="X313" i="53"/>
  <c r="W313" i="53"/>
  <c r="V313" i="53"/>
  <c r="U313" i="53"/>
  <c r="T313" i="53"/>
  <c r="S313" i="53"/>
  <c r="Q313" i="53"/>
  <c r="O313" i="53"/>
  <c r="M313" i="53"/>
  <c r="K313" i="53"/>
  <c r="X312" i="53"/>
  <c r="W312" i="53"/>
  <c r="V312" i="53"/>
  <c r="U312" i="53"/>
  <c r="T312" i="53"/>
  <c r="S312" i="53"/>
  <c r="Q312" i="53"/>
  <c r="O312" i="53"/>
  <c r="M312" i="53"/>
  <c r="K312" i="53"/>
  <c r="X311" i="53"/>
  <c r="W311" i="53"/>
  <c r="V311" i="53"/>
  <c r="U311" i="53"/>
  <c r="T311" i="53"/>
  <c r="S311" i="53"/>
  <c r="Q311" i="53"/>
  <c r="O311" i="53"/>
  <c r="M311" i="53"/>
  <c r="K311" i="53"/>
  <c r="X310" i="53"/>
  <c r="W310" i="53"/>
  <c r="V310" i="53"/>
  <c r="U310" i="53"/>
  <c r="T310" i="53"/>
  <c r="S310" i="53"/>
  <c r="Q310" i="53"/>
  <c r="O310" i="53"/>
  <c r="M310" i="53"/>
  <c r="K310" i="53"/>
  <c r="X309" i="53"/>
  <c r="W309" i="53"/>
  <c r="V309" i="53"/>
  <c r="U309" i="53"/>
  <c r="T309" i="53"/>
  <c r="S309" i="53"/>
  <c r="Q309" i="53"/>
  <c r="O309" i="53"/>
  <c r="M309" i="53"/>
  <c r="K309" i="53"/>
  <c r="X308" i="53"/>
  <c r="W308" i="53"/>
  <c r="V308" i="53"/>
  <c r="U308" i="53"/>
  <c r="T308" i="53"/>
  <c r="S308" i="53"/>
  <c r="Q308" i="53"/>
  <c r="O308" i="53"/>
  <c r="M308" i="53"/>
  <c r="K308" i="53"/>
  <c r="X307" i="53"/>
  <c r="W307" i="53"/>
  <c r="V307" i="53"/>
  <c r="U307" i="53"/>
  <c r="T307" i="53"/>
  <c r="S307" i="53"/>
  <c r="Q307" i="53"/>
  <c r="O307" i="53"/>
  <c r="M307" i="53"/>
  <c r="K307" i="53"/>
  <c r="X306" i="53"/>
  <c r="W306" i="53"/>
  <c r="V306" i="53"/>
  <c r="U306" i="53"/>
  <c r="T306" i="53"/>
  <c r="S306" i="53"/>
  <c r="Q306" i="53"/>
  <c r="O306" i="53"/>
  <c r="M306" i="53"/>
  <c r="K306" i="53"/>
  <c r="X305" i="53"/>
  <c r="W305" i="53"/>
  <c r="V305" i="53"/>
  <c r="U305" i="53"/>
  <c r="T305" i="53"/>
  <c r="S305" i="53"/>
  <c r="Q305" i="53"/>
  <c r="O305" i="53"/>
  <c r="M305" i="53"/>
  <c r="K305" i="53"/>
  <c r="X304" i="53"/>
  <c r="W304" i="53"/>
  <c r="V304" i="53"/>
  <c r="U304" i="53"/>
  <c r="T304" i="53"/>
  <c r="S304" i="53"/>
  <c r="Q304" i="53"/>
  <c r="O304" i="53"/>
  <c r="M304" i="53"/>
  <c r="K304" i="53"/>
  <c r="X303" i="53"/>
  <c r="W303" i="53"/>
  <c r="V303" i="53"/>
  <c r="U303" i="53"/>
  <c r="T303" i="53"/>
  <c r="S303" i="53"/>
  <c r="Q303" i="53"/>
  <c r="O303" i="53"/>
  <c r="M303" i="53"/>
  <c r="K303" i="53"/>
  <c r="X302" i="53"/>
  <c r="W302" i="53"/>
  <c r="V302" i="53"/>
  <c r="U302" i="53"/>
  <c r="T302" i="53"/>
  <c r="S302" i="53"/>
  <c r="Q302" i="53"/>
  <c r="O302" i="53"/>
  <c r="M302" i="53"/>
  <c r="K302" i="53"/>
  <c r="X301" i="53"/>
  <c r="W301" i="53"/>
  <c r="V301" i="53"/>
  <c r="U301" i="53"/>
  <c r="T301" i="53"/>
  <c r="S301" i="53"/>
  <c r="Q301" i="53"/>
  <c r="O301" i="53"/>
  <c r="M301" i="53"/>
  <c r="K301" i="53"/>
  <c r="X300" i="53"/>
  <c r="W300" i="53"/>
  <c r="V300" i="53"/>
  <c r="U300" i="53"/>
  <c r="T300" i="53"/>
  <c r="S300" i="53"/>
  <c r="Q300" i="53"/>
  <c r="O300" i="53"/>
  <c r="M300" i="53"/>
  <c r="K300" i="53"/>
  <c r="X299" i="53"/>
  <c r="W299" i="53"/>
  <c r="V299" i="53"/>
  <c r="U299" i="53"/>
  <c r="T299" i="53"/>
  <c r="S299" i="53"/>
  <c r="Q299" i="53"/>
  <c r="O299" i="53"/>
  <c r="M299" i="53"/>
  <c r="K299" i="53"/>
  <c r="X298" i="53"/>
  <c r="W298" i="53"/>
  <c r="V298" i="53"/>
  <c r="U298" i="53"/>
  <c r="T298" i="53"/>
  <c r="S298" i="53"/>
  <c r="Q298" i="53"/>
  <c r="O298" i="53"/>
  <c r="M298" i="53"/>
  <c r="K298" i="53"/>
  <c r="X297" i="53"/>
  <c r="W297" i="53"/>
  <c r="V297" i="53"/>
  <c r="U297" i="53"/>
  <c r="T297" i="53"/>
  <c r="S297" i="53"/>
  <c r="Q297" i="53"/>
  <c r="O297" i="53"/>
  <c r="M297" i="53"/>
  <c r="K297" i="53"/>
  <c r="X296" i="53"/>
  <c r="W296" i="53"/>
  <c r="V296" i="53"/>
  <c r="U296" i="53"/>
  <c r="T296" i="53"/>
  <c r="S296" i="53"/>
  <c r="Q296" i="53"/>
  <c r="O296" i="53"/>
  <c r="M296" i="53"/>
  <c r="K296" i="53"/>
  <c r="X295" i="53"/>
  <c r="W295" i="53"/>
  <c r="V295" i="53"/>
  <c r="U295" i="53"/>
  <c r="T295" i="53"/>
  <c r="S295" i="53"/>
  <c r="Q295" i="53"/>
  <c r="O295" i="53"/>
  <c r="M295" i="53"/>
  <c r="K295" i="53"/>
  <c r="X294" i="53"/>
  <c r="W294" i="53"/>
  <c r="V294" i="53"/>
  <c r="U294" i="53"/>
  <c r="T294" i="53"/>
  <c r="S294" i="53"/>
  <c r="Q294" i="53"/>
  <c r="O294" i="53"/>
  <c r="M294" i="53"/>
  <c r="K294" i="53"/>
  <c r="X293" i="53"/>
  <c r="W293" i="53"/>
  <c r="V293" i="53"/>
  <c r="U293" i="53"/>
  <c r="T293" i="53"/>
  <c r="S293" i="53"/>
  <c r="Q293" i="53"/>
  <c r="O293" i="53"/>
  <c r="M293" i="53"/>
  <c r="K293" i="53"/>
  <c r="X292" i="53"/>
  <c r="W292" i="53"/>
  <c r="V292" i="53"/>
  <c r="U292" i="53"/>
  <c r="T292" i="53"/>
  <c r="S292" i="53"/>
  <c r="Q292" i="53"/>
  <c r="O292" i="53"/>
  <c r="M292" i="53"/>
  <c r="K292" i="53"/>
  <c r="X291" i="53"/>
  <c r="W291" i="53"/>
  <c r="V291" i="53"/>
  <c r="U291" i="53"/>
  <c r="T291" i="53"/>
  <c r="S291" i="53"/>
  <c r="Q291" i="53"/>
  <c r="O291" i="53"/>
  <c r="M291" i="53"/>
  <c r="K291" i="53"/>
  <c r="X290" i="53"/>
  <c r="W290" i="53"/>
  <c r="V290" i="53"/>
  <c r="U290" i="53"/>
  <c r="T290" i="53"/>
  <c r="S290" i="53"/>
  <c r="Q290" i="53"/>
  <c r="O290" i="53"/>
  <c r="M290" i="53"/>
  <c r="K290" i="53"/>
  <c r="X289" i="53"/>
  <c r="W289" i="53"/>
  <c r="V289" i="53"/>
  <c r="U289" i="53"/>
  <c r="T289" i="53"/>
  <c r="S289" i="53"/>
  <c r="Q289" i="53"/>
  <c r="O289" i="53"/>
  <c r="M289" i="53"/>
  <c r="K289" i="53"/>
  <c r="X288" i="53"/>
  <c r="W288" i="53"/>
  <c r="V288" i="53"/>
  <c r="U288" i="53"/>
  <c r="T288" i="53"/>
  <c r="S288" i="53"/>
  <c r="Q288" i="53"/>
  <c r="O288" i="53"/>
  <c r="M288" i="53"/>
  <c r="K288" i="53"/>
  <c r="X287" i="53"/>
  <c r="W287" i="53"/>
  <c r="V287" i="53"/>
  <c r="U287" i="53"/>
  <c r="T287" i="53"/>
  <c r="S287" i="53"/>
  <c r="Q287" i="53"/>
  <c r="O287" i="53"/>
  <c r="M287" i="53"/>
  <c r="K287" i="53"/>
  <c r="X286" i="53"/>
  <c r="W286" i="53"/>
  <c r="V286" i="53"/>
  <c r="U286" i="53"/>
  <c r="T286" i="53"/>
  <c r="S286" i="53"/>
  <c r="Q286" i="53"/>
  <c r="O286" i="53"/>
  <c r="M286" i="53"/>
  <c r="K286" i="53"/>
  <c r="X285" i="53"/>
  <c r="W285" i="53"/>
  <c r="V285" i="53"/>
  <c r="U285" i="53"/>
  <c r="T285" i="53"/>
  <c r="S285" i="53"/>
  <c r="Q285" i="53"/>
  <c r="O285" i="53"/>
  <c r="M285" i="53"/>
  <c r="K285" i="53"/>
  <c r="X284" i="53"/>
  <c r="W284" i="53"/>
  <c r="V284" i="53"/>
  <c r="U284" i="53"/>
  <c r="T284" i="53"/>
  <c r="S284" i="53"/>
  <c r="Q284" i="53"/>
  <c r="O284" i="53"/>
  <c r="M284" i="53"/>
  <c r="K284" i="53"/>
  <c r="X283" i="53"/>
  <c r="W283" i="53"/>
  <c r="V283" i="53"/>
  <c r="U283" i="53"/>
  <c r="T283" i="53"/>
  <c r="S283" i="53"/>
  <c r="Q283" i="53"/>
  <c r="O283" i="53"/>
  <c r="M283" i="53"/>
  <c r="K283" i="53"/>
  <c r="X282" i="53"/>
  <c r="W282" i="53"/>
  <c r="V282" i="53"/>
  <c r="U282" i="53"/>
  <c r="T282" i="53"/>
  <c r="S282" i="53"/>
  <c r="Q282" i="53"/>
  <c r="O282" i="53"/>
  <c r="M282" i="53"/>
  <c r="K282" i="53"/>
  <c r="X281" i="53"/>
  <c r="W281" i="53"/>
  <c r="V281" i="53"/>
  <c r="U281" i="53"/>
  <c r="T281" i="53"/>
  <c r="S281" i="53"/>
  <c r="Q281" i="53"/>
  <c r="O281" i="53"/>
  <c r="M281" i="53"/>
  <c r="K281" i="53"/>
  <c r="X280" i="53"/>
  <c r="W280" i="53"/>
  <c r="V280" i="53"/>
  <c r="U280" i="53"/>
  <c r="T280" i="53"/>
  <c r="S280" i="53"/>
  <c r="Q280" i="53"/>
  <c r="O280" i="53"/>
  <c r="M280" i="53"/>
  <c r="K280" i="53"/>
  <c r="X279" i="53"/>
  <c r="W279" i="53"/>
  <c r="V279" i="53"/>
  <c r="U279" i="53"/>
  <c r="T279" i="53"/>
  <c r="S279" i="53"/>
  <c r="Q279" i="53"/>
  <c r="O279" i="53"/>
  <c r="M279" i="53"/>
  <c r="K279" i="53"/>
  <c r="X278" i="53"/>
  <c r="W278" i="53"/>
  <c r="V278" i="53"/>
  <c r="U278" i="53"/>
  <c r="T278" i="53"/>
  <c r="S278" i="53"/>
  <c r="Q278" i="53"/>
  <c r="O278" i="53"/>
  <c r="M278" i="53"/>
  <c r="K278" i="53"/>
  <c r="X277" i="53"/>
  <c r="W277" i="53"/>
  <c r="V277" i="53"/>
  <c r="U277" i="53"/>
  <c r="T277" i="53"/>
  <c r="S277" i="53"/>
  <c r="Q277" i="53"/>
  <c r="O277" i="53"/>
  <c r="M277" i="53"/>
  <c r="K277" i="53"/>
  <c r="X276" i="53"/>
  <c r="W276" i="53"/>
  <c r="V276" i="53"/>
  <c r="U276" i="53"/>
  <c r="T276" i="53"/>
  <c r="S276" i="53"/>
  <c r="Q276" i="53"/>
  <c r="O276" i="53"/>
  <c r="M276" i="53"/>
  <c r="K276" i="53"/>
  <c r="X275" i="53"/>
  <c r="W275" i="53"/>
  <c r="V275" i="53"/>
  <c r="U275" i="53"/>
  <c r="T275" i="53"/>
  <c r="S275" i="53"/>
  <c r="Q275" i="53"/>
  <c r="O275" i="53"/>
  <c r="M275" i="53"/>
  <c r="K275" i="53"/>
  <c r="X274" i="53"/>
  <c r="W274" i="53"/>
  <c r="V274" i="53"/>
  <c r="U274" i="53"/>
  <c r="T274" i="53"/>
  <c r="S274" i="53"/>
  <c r="Q274" i="53"/>
  <c r="O274" i="53"/>
  <c r="M274" i="53"/>
  <c r="K274" i="53"/>
  <c r="X273" i="53"/>
  <c r="W273" i="53"/>
  <c r="V273" i="53"/>
  <c r="U273" i="53"/>
  <c r="T273" i="53"/>
  <c r="S273" i="53"/>
  <c r="Q273" i="53"/>
  <c r="O273" i="53"/>
  <c r="M273" i="53"/>
  <c r="K273" i="53"/>
  <c r="X272" i="53"/>
  <c r="W272" i="53"/>
  <c r="V272" i="53"/>
  <c r="U272" i="53"/>
  <c r="T272" i="53"/>
  <c r="S272" i="53"/>
  <c r="Q272" i="53"/>
  <c r="O272" i="53"/>
  <c r="M272" i="53"/>
  <c r="K272" i="53"/>
  <c r="X271" i="53"/>
  <c r="W271" i="53"/>
  <c r="V271" i="53"/>
  <c r="U271" i="53"/>
  <c r="T271" i="53"/>
  <c r="S271" i="53"/>
  <c r="Q271" i="53"/>
  <c r="O271" i="53"/>
  <c r="M271" i="53"/>
  <c r="K271" i="53"/>
  <c r="X270" i="53"/>
  <c r="W270" i="53"/>
  <c r="V270" i="53"/>
  <c r="U270" i="53"/>
  <c r="T270" i="53"/>
  <c r="S270" i="53"/>
  <c r="Q270" i="53"/>
  <c r="O270" i="53"/>
  <c r="M270" i="53"/>
  <c r="K270" i="53"/>
  <c r="X269" i="53"/>
  <c r="W269" i="53"/>
  <c r="V269" i="53"/>
  <c r="U269" i="53"/>
  <c r="T269" i="53"/>
  <c r="S269" i="53"/>
  <c r="Q269" i="53"/>
  <c r="O269" i="53"/>
  <c r="M269" i="53"/>
  <c r="K269" i="53"/>
  <c r="X268" i="53"/>
  <c r="W268" i="53"/>
  <c r="V268" i="53"/>
  <c r="U268" i="53"/>
  <c r="T268" i="53"/>
  <c r="S268" i="53"/>
  <c r="Q268" i="53"/>
  <c r="O268" i="53"/>
  <c r="M268" i="53"/>
  <c r="K268" i="53"/>
  <c r="X267" i="53"/>
  <c r="W267" i="53"/>
  <c r="V267" i="53"/>
  <c r="U267" i="53"/>
  <c r="T267" i="53"/>
  <c r="S267" i="53"/>
  <c r="Q267" i="53"/>
  <c r="O267" i="53"/>
  <c r="M267" i="53"/>
  <c r="K267" i="53"/>
  <c r="X266" i="53"/>
  <c r="W266" i="53"/>
  <c r="V266" i="53"/>
  <c r="U266" i="53"/>
  <c r="T266" i="53"/>
  <c r="S266" i="53"/>
  <c r="Q266" i="53"/>
  <c r="O266" i="53"/>
  <c r="M266" i="53"/>
  <c r="K266" i="53"/>
  <c r="X265" i="53"/>
  <c r="W265" i="53"/>
  <c r="V265" i="53"/>
  <c r="U265" i="53"/>
  <c r="T265" i="53"/>
  <c r="S265" i="53"/>
  <c r="Q265" i="53"/>
  <c r="O265" i="53"/>
  <c r="M265" i="53"/>
  <c r="K265" i="53"/>
  <c r="X264" i="53"/>
  <c r="W264" i="53"/>
  <c r="V264" i="53"/>
  <c r="U264" i="53"/>
  <c r="T264" i="53"/>
  <c r="S264" i="53"/>
  <c r="Q264" i="53"/>
  <c r="O264" i="53"/>
  <c r="M264" i="53"/>
  <c r="K264" i="53"/>
  <c r="X263" i="53"/>
  <c r="W263" i="53"/>
  <c r="V263" i="53"/>
  <c r="U263" i="53"/>
  <c r="T263" i="53"/>
  <c r="S263" i="53"/>
  <c r="Q263" i="53"/>
  <c r="O263" i="53"/>
  <c r="M263" i="53"/>
  <c r="K263" i="53"/>
  <c r="X262" i="53"/>
  <c r="W262" i="53"/>
  <c r="V262" i="53"/>
  <c r="U262" i="53"/>
  <c r="T262" i="53"/>
  <c r="S262" i="53"/>
  <c r="Q262" i="53"/>
  <c r="O262" i="53"/>
  <c r="M262" i="53"/>
  <c r="K262" i="53"/>
  <c r="X261" i="53"/>
  <c r="W261" i="53"/>
  <c r="V261" i="53"/>
  <c r="U261" i="53"/>
  <c r="T261" i="53"/>
  <c r="S261" i="53"/>
  <c r="Q261" i="53"/>
  <c r="O261" i="53"/>
  <c r="M261" i="53"/>
  <c r="K261" i="53"/>
  <c r="X260" i="53"/>
  <c r="W260" i="53"/>
  <c r="V260" i="53"/>
  <c r="U260" i="53"/>
  <c r="T260" i="53"/>
  <c r="S260" i="53"/>
  <c r="Q260" i="53"/>
  <c r="O260" i="53"/>
  <c r="M260" i="53"/>
  <c r="K260" i="53"/>
  <c r="X259" i="53"/>
  <c r="W259" i="53"/>
  <c r="V259" i="53"/>
  <c r="U259" i="53"/>
  <c r="T259" i="53"/>
  <c r="S259" i="53"/>
  <c r="Q259" i="53"/>
  <c r="O259" i="53"/>
  <c r="M259" i="53"/>
  <c r="K259" i="53"/>
  <c r="X258" i="53"/>
  <c r="W258" i="53"/>
  <c r="V258" i="53"/>
  <c r="U258" i="53"/>
  <c r="T258" i="53"/>
  <c r="S258" i="53"/>
  <c r="Q258" i="53"/>
  <c r="O258" i="53"/>
  <c r="M258" i="53"/>
  <c r="K258" i="53"/>
  <c r="X257" i="53"/>
  <c r="W257" i="53"/>
  <c r="V257" i="53"/>
  <c r="U257" i="53"/>
  <c r="T257" i="53"/>
  <c r="S257" i="53"/>
  <c r="Q257" i="53"/>
  <c r="O257" i="53"/>
  <c r="M257" i="53"/>
  <c r="K257" i="53"/>
  <c r="X256" i="53"/>
  <c r="W256" i="53"/>
  <c r="V256" i="53"/>
  <c r="U256" i="53"/>
  <c r="T256" i="53"/>
  <c r="S256" i="53"/>
  <c r="Q256" i="53"/>
  <c r="O256" i="53"/>
  <c r="M256" i="53"/>
  <c r="K256" i="53"/>
  <c r="X255" i="53"/>
  <c r="W255" i="53"/>
  <c r="V255" i="53"/>
  <c r="U255" i="53"/>
  <c r="T255" i="53"/>
  <c r="S255" i="53"/>
  <c r="Q255" i="53"/>
  <c r="O255" i="53"/>
  <c r="M255" i="53"/>
  <c r="K255" i="53"/>
  <c r="X254" i="53"/>
  <c r="W254" i="53"/>
  <c r="V254" i="53"/>
  <c r="U254" i="53"/>
  <c r="T254" i="53"/>
  <c r="S254" i="53"/>
  <c r="Q254" i="53"/>
  <c r="O254" i="53"/>
  <c r="M254" i="53"/>
  <c r="K254" i="53"/>
  <c r="X253" i="53"/>
  <c r="W253" i="53"/>
  <c r="V253" i="53"/>
  <c r="U253" i="53"/>
  <c r="T253" i="53"/>
  <c r="S253" i="53"/>
  <c r="Q253" i="53"/>
  <c r="O253" i="53"/>
  <c r="M253" i="53"/>
  <c r="K253" i="53"/>
  <c r="X252" i="53"/>
  <c r="W252" i="53"/>
  <c r="V252" i="53"/>
  <c r="U252" i="53"/>
  <c r="T252" i="53"/>
  <c r="S252" i="53"/>
  <c r="Q252" i="53"/>
  <c r="O252" i="53"/>
  <c r="M252" i="53"/>
  <c r="K252" i="53"/>
  <c r="X251" i="53"/>
  <c r="W251" i="53"/>
  <c r="V251" i="53"/>
  <c r="U251" i="53"/>
  <c r="T251" i="53"/>
  <c r="S251" i="53"/>
  <c r="Q251" i="53"/>
  <c r="O251" i="53"/>
  <c r="M251" i="53"/>
  <c r="K251" i="53"/>
  <c r="X250" i="53"/>
  <c r="W250" i="53"/>
  <c r="V250" i="53"/>
  <c r="U250" i="53"/>
  <c r="T250" i="53"/>
  <c r="S250" i="53"/>
  <c r="Q250" i="53"/>
  <c r="O250" i="53"/>
  <c r="M250" i="53"/>
  <c r="K250" i="53"/>
  <c r="X249" i="53"/>
  <c r="W249" i="53"/>
  <c r="V249" i="53"/>
  <c r="U249" i="53"/>
  <c r="T249" i="53"/>
  <c r="S249" i="53"/>
  <c r="Q249" i="53"/>
  <c r="O249" i="53"/>
  <c r="M249" i="53"/>
  <c r="K249" i="53"/>
  <c r="X248" i="53"/>
  <c r="W248" i="53"/>
  <c r="V248" i="53"/>
  <c r="U248" i="53"/>
  <c r="T248" i="53"/>
  <c r="S248" i="53"/>
  <c r="Q248" i="53"/>
  <c r="O248" i="53"/>
  <c r="M248" i="53"/>
  <c r="K248" i="53"/>
  <c r="X247" i="53"/>
  <c r="W247" i="53"/>
  <c r="V247" i="53"/>
  <c r="U247" i="53"/>
  <c r="T247" i="53"/>
  <c r="S247" i="53"/>
  <c r="Q247" i="53"/>
  <c r="O247" i="53"/>
  <c r="M247" i="53"/>
  <c r="K247" i="53"/>
  <c r="X246" i="53"/>
  <c r="W246" i="53"/>
  <c r="V246" i="53"/>
  <c r="U246" i="53"/>
  <c r="T246" i="53"/>
  <c r="S246" i="53"/>
  <c r="Q246" i="53"/>
  <c r="O246" i="53"/>
  <c r="M246" i="53"/>
  <c r="K246" i="53"/>
  <c r="X245" i="53"/>
  <c r="W245" i="53"/>
  <c r="V245" i="53"/>
  <c r="U245" i="53"/>
  <c r="T245" i="53"/>
  <c r="S245" i="53"/>
  <c r="Q245" i="53"/>
  <c r="O245" i="53"/>
  <c r="M245" i="53"/>
  <c r="K245" i="53"/>
  <c r="X244" i="53"/>
  <c r="W244" i="53"/>
  <c r="V244" i="53"/>
  <c r="U244" i="53"/>
  <c r="T244" i="53"/>
  <c r="S244" i="53"/>
  <c r="Q244" i="53"/>
  <c r="O244" i="53"/>
  <c r="M244" i="53"/>
  <c r="K244" i="53"/>
  <c r="X243" i="53"/>
  <c r="W243" i="53"/>
  <c r="V243" i="53"/>
  <c r="U243" i="53"/>
  <c r="T243" i="53"/>
  <c r="S243" i="53"/>
  <c r="Q243" i="53"/>
  <c r="O243" i="53"/>
  <c r="M243" i="53"/>
  <c r="K243" i="53"/>
  <c r="X242" i="53"/>
  <c r="W242" i="53"/>
  <c r="V242" i="53"/>
  <c r="U242" i="53"/>
  <c r="T242" i="53"/>
  <c r="S242" i="53"/>
  <c r="Q242" i="53"/>
  <c r="O242" i="53"/>
  <c r="M242" i="53"/>
  <c r="K242" i="53"/>
  <c r="X241" i="53"/>
  <c r="W241" i="53"/>
  <c r="V241" i="53"/>
  <c r="U241" i="53"/>
  <c r="T241" i="53"/>
  <c r="S241" i="53"/>
  <c r="Q241" i="53"/>
  <c r="O241" i="53"/>
  <c r="M241" i="53"/>
  <c r="K241" i="53"/>
  <c r="X240" i="53"/>
  <c r="W240" i="53"/>
  <c r="V240" i="53"/>
  <c r="U240" i="53"/>
  <c r="T240" i="53"/>
  <c r="S240" i="53"/>
  <c r="Q240" i="53"/>
  <c r="O240" i="53"/>
  <c r="M240" i="53"/>
  <c r="K240" i="53"/>
  <c r="X239" i="53"/>
  <c r="W239" i="53"/>
  <c r="V239" i="53"/>
  <c r="U239" i="53"/>
  <c r="T239" i="53"/>
  <c r="S239" i="53"/>
  <c r="Q239" i="53"/>
  <c r="O239" i="53"/>
  <c r="M239" i="53"/>
  <c r="K239" i="53"/>
  <c r="X238" i="53"/>
  <c r="W238" i="53"/>
  <c r="V238" i="53"/>
  <c r="U238" i="53"/>
  <c r="T238" i="53"/>
  <c r="S238" i="53"/>
  <c r="Q238" i="53"/>
  <c r="O238" i="53"/>
  <c r="M238" i="53"/>
  <c r="K238" i="53"/>
  <c r="X237" i="53"/>
  <c r="W237" i="53"/>
  <c r="V237" i="53"/>
  <c r="U237" i="53"/>
  <c r="T237" i="53"/>
  <c r="S237" i="53"/>
  <c r="Q237" i="53"/>
  <c r="O237" i="53"/>
  <c r="M237" i="53"/>
  <c r="K237" i="53"/>
  <c r="X236" i="53"/>
  <c r="W236" i="53"/>
  <c r="V236" i="53"/>
  <c r="U236" i="53"/>
  <c r="T236" i="53"/>
  <c r="S236" i="53"/>
  <c r="Q236" i="53"/>
  <c r="O236" i="53"/>
  <c r="M236" i="53"/>
  <c r="K236" i="53"/>
  <c r="X235" i="53"/>
  <c r="W235" i="53"/>
  <c r="V235" i="53"/>
  <c r="U235" i="53"/>
  <c r="T235" i="53"/>
  <c r="S235" i="53"/>
  <c r="Q235" i="53"/>
  <c r="O235" i="53"/>
  <c r="M235" i="53"/>
  <c r="K235" i="53"/>
  <c r="X234" i="53"/>
  <c r="W234" i="53"/>
  <c r="V234" i="53"/>
  <c r="U234" i="53"/>
  <c r="T234" i="53"/>
  <c r="S234" i="53"/>
  <c r="Q234" i="53"/>
  <c r="O234" i="53"/>
  <c r="M234" i="53"/>
  <c r="K234" i="53"/>
  <c r="X233" i="53"/>
  <c r="W233" i="53"/>
  <c r="V233" i="53"/>
  <c r="U233" i="53"/>
  <c r="T233" i="53"/>
  <c r="S233" i="53"/>
  <c r="Q233" i="53"/>
  <c r="O233" i="53"/>
  <c r="M233" i="53"/>
  <c r="K233" i="53"/>
  <c r="X232" i="53"/>
  <c r="W232" i="53"/>
  <c r="V232" i="53"/>
  <c r="U232" i="53"/>
  <c r="T232" i="53"/>
  <c r="S232" i="53"/>
  <c r="Q232" i="53"/>
  <c r="O232" i="53"/>
  <c r="M232" i="53"/>
  <c r="K232" i="53"/>
  <c r="X231" i="53"/>
  <c r="W231" i="53"/>
  <c r="V231" i="53"/>
  <c r="U231" i="53"/>
  <c r="T231" i="53"/>
  <c r="S231" i="53"/>
  <c r="Q231" i="53"/>
  <c r="O231" i="53"/>
  <c r="M231" i="53"/>
  <c r="K231" i="53"/>
  <c r="X230" i="53"/>
  <c r="W230" i="53"/>
  <c r="V230" i="53"/>
  <c r="U230" i="53"/>
  <c r="T230" i="53"/>
  <c r="S230" i="53"/>
  <c r="Q230" i="53"/>
  <c r="O230" i="53"/>
  <c r="M230" i="53"/>
  <c r="K230" i="53"/>
  <c r="X229" i="53"/>
  <c r="W229" i="53"/>
  <c r="V229" i="53"/>
  <c r="U229" i="53"/>
  <c r="T229" i="53"/>
  <c r="S229" i="53"/>
  <c r="Q229" i="53"/>
  <c r="O229" i="53"/>
  <c r="M229" i="53"/>
  <c r="K229" i="53"/>
  <c r="X228" i="53"/>
  <c r="W228" i="53"/>
  <c r="V228" i="53"/>
  <c r="U228" i="53"/>
  <c r="T228" i="53"/>
  <c r="S228" i="53"/>
  <c r="Q228" i="53"/>
  <c r="O228" i="53"/>
  <c r="M228" i="53"/>
  <c r="K228" i="53"/>
  <c r="X227" i="53"/>
  <c r="W227" i="53"/>
  <c r="V227" i="53"/>
  <c r="U227" i="53"/>
  <c r="T227" i="53"/>
  <c r="S227" i="53"/>
  <c r="Q227" i="53"/>
  <c r="O227" i="53"/>
  <c r="M227" i="53"/>
  <c r="K227" i="53"/>
  <c r="X226" i="53"/>
  <c r="W226" i="53"/>
  <c r="V226" i="53"/>
  <c r="U226" i="53"/>
  <c r="T226" i="53"/>
  <c r="S226" i="53"/>
  <c r="Q226" i="53"/>
  <c r="O226" i="53"/>
  <c r="M226" i="53"/>
  <c r="K226" i="53"/>
  <c r="X225" i="53"/>
  <c r="W225" i="53"/>
  <c r="V225" i="53"/>
  <c r="U225" i="53"/>
  <c r="T225" i="53"/>
  <c r="S225" i="53"/>
  <c r="Q225" i="53"/>
  <c r="O225" i="53"/>
  <c r="M225" i="53"/>
  <c r="K225" i="53"/>
  <c r="X224" i="53"/>
  <c r="W224" i="53"/>
  <c r="V224" i="53"/>
  <c r="U224" i="53"/>
  <c r="T224" i="53"/>
  <c r="S224" i="53"/>
  <c r="Q224" i="53"/>
  <c r="O224" i="53"/>
  <c r="M224" i="53"/>
  <c r="K224" i="53"/>
  <c r="X223" i="53"/>
  <c r="W223" i="53"/>
  <c r="V223" i="53"/>
  <c r="U223" i="53"/>
  <c r="T223" i="53"/>
  <c r="S223" i="53"/>
  <c r="Q223" i="53"/>
  <c r="O223" i="53"/>
  <c r="M223" i="53"/>
  <c r="K223" i="53"/>
  <c r="X222" i="53"/>
  <c r="W222" i="53"/>
  <c r="V222" i="53"/>
  <c r="U222" i="53"/>
  <c r="T222" i="53"/>
  <c r="S222" i="53"/>
  <c r="Q222" i="53"/>
  <c r="O222" i="53"/>
  <c r="M222" i="53"/>
  <c r="K222" i="53"/>
  <c r="X221" i="53"/>
  <c r="W221" i="53"/>
  <c r="V221" i="53"/>
  <c r="U221" i="53"/>
  <c r="T221" i="53"/>
  <c r="S221" i="53"/>
  <c r="Q221" i="53"/>
  <c r="O221" i="53"/>
  <c r="M221" i="53"/>
  <c r="K221" i="53"/>
  <c r="X220" i="53"/>
  <c r="W220" i="53"/>
  <c r="V220" i="53"/>
  <c r="U220" i="53"/>
  <c r="T220" i="53"/>
  <c r="S220" i="53"/>
  <c r="Q220" i="53"/>
  <c r="O220" i="53"/>
  <c r="M220" i="53"/>
  <c r="K220" i="53"/>
  <c r="X219" i="53"/>
  <c r="W219" i="53"/>
  <c r="V219" i="53"/>
  <c r="U219" i="53"/>
  <c r="T219" i="53"/>
  <c r="S219" i="53"/>
  <c r="Q219" i="53"/>
  <c r="O219" i="53"/>
  <c r="M219" i="53"/>
  <c r="K219" i="53"/>
  <c r="X218" i="53"/>
  <c r="W218" i="53"/>
  <c r="V218" i="53"/>
  <c r="U218" i="53"/>
  <c r="T218" i="53"/>
  <c r="S218" i="53"/>
  <c r="Q218" i="53"/>
  <c r="O218" i="53"/>
  <c r="M218" i="53"/>
  <c r="K218" i="53"/>
  <c r="X217" i="53"/>
  <c r="W217" i="53"/>
  <c r="V217" i="53"/>
  <c r="U217" i="53"/>
  <c r="T217" i="53"/>
  <c r="S217" i="53"/>
  <c r="Q217" i="53"/>
  <c r="O217" i="53"/>
  <c r="M217" i="53"/>
  <c r="K217" i="53"/>
  <c r="X216" i="53"/>
  <c r="W216" i="53"/>
  <c r="V216" i="53"/>
  <c r="U216" i="53"/>
  <c r="T216" i="53"/>
  <c r="S216" i="53"/>
  <c r="Q216" i="53"/>
  <c r="O216" i="53"/>
  <c r="M216" i="53"/>
  <c r="K216" i="53"/>
  <c r="X215" i="53"/>
  <c r="W215" i="53"/>
  <c r="V215" i="53"/>
  <c r="U215" i="53"/>
  <c r="T215" i="53"/>
  <c r="S215" i="53"/>
  <c r="Q215" i="53"/>
  <c r="O215" i="53"/>
  <c r="M215" i="53"/>
  <c r="K215" i="53"/>
  <c r="X214" i="53"/>
  <c r="W214" i="53"/>
  <c r="V214" i="53"/>
  <c r="U214" i="53"/>
  <c r="T214" i="53"/>
  <c r="S214" i="53"/>
  <c r="Q214" i="53"/>
  <c r="O214" i="53"/>
  <c r="M214" i="53"/>
  <c r="K214" i="53"/>
  <c r="X213" i="53"/>
  <c r="W213" i="53"/>
  <c r="V213" i="53"/>
  <c r="U213" i="53"/>
  <c r="T213" i="53"/>
  <c r="S213" i="53"/>
  <c r="Q213" i="53"/>
  <c r="O213" i="53"/>
  <c r="M213" i="53"/>
  <c r="K213" i="53"/>
  <c r="X212" i="53"/>
  <c r="W212" i="53"/>
  <c r="V212" i="53"/>
  <c r="U212" i="53"/>
  <c r="T212" i="53"/>
  <c r="S212" i="53"/>
  <c r="Q212" i="53"/>
  <c r="O212" i="53"/>
  <c r="M212" i="53"/>
  <c r="K212" i="53"/>
  <c r="X211" i="53"/>
  <c r="W211" i="53"/>
  <c r="V211" i="53"/>
  <c r="U211" i="53"/>
  <c r="T211" i="53"/>
  <c r="S211" i="53"/>
  <c r="Q211" i="53"/>
  <c r="O211" i="53"/>
  <c r="M211" i="53"/>
  <c r="K211" i="53"/>
  <c r="X210" i="53"/>
  <c r="W210" i="53"/>
  <c r="V210" i="53"/>
  <c r="U210" i="53"/>
  <c r="T210" i="53"/>
  <c r="S210" i="53"/>
  <c r="Q210" i="53"/>
  <c r="O210" i="53"/>
  <c r="M210" i="53"/>
  <c r="K210" i="53"/>
  <c r="X209" i="53"/>
  <c r="W209" i="53"/>
  <c r="V209" i="53"/>
  <c r="U209" i="53"/>
  <c r="T209" i="53"/>
  <c r="S209" i="53"/>
  <c r="Q209" i="53"/>
  <c r="O209" i="53"/>
  <c r="M209" i="53"/>
  <c r="K209" i="53"/>
  <c r="X208" i="53"/>
  <c r="W208" i="53"/>
  <c r="V208" i="53"/>
  <c r="U208" i="53"/>
  <c r="T208" i="53"/>
  <c r="S208" i="53"/>
  <c r="Q208" i="53"/>
  <c r="O208" i="53"/>
  <c r="M208" i="53"/>
  <c r="K208" i="53"/>
  <c r="X207" i="53"/>
  <c r="W207" i="53"/>
  <c r="V207" i="53"/>
  <c r="U207" i="53"/>
  <c r="T207" i="53"/>
  <c r="S207" i="53"/>
  <c r="Q207" i="53"/>
  <c r="O207" i="53"/>
  <c r="M207" i="53"/>
  <c r="K207" i="53"/>
  <c r="X206" i="53"/>
  <c r="W206" i="53"/>
  <c r="V206" i="53"/>
  <c r="U206" i="53"/>
  <c r="T206" i="53"/>
  <c r="S206" i="53"/>
  <c r="Q206" i="53"/>
  <c r="O206" i="53"/>
  <c r="M206" i="53"/>
  <c r="K206" i="53"/>
  <c r="X205" i="53"/>
  <c r="W205" i="53"/>
  <c r="V205" i="53"/>
  <c r="U205" i="53"/>
  <c r="T205" i="53"/>
  <c r="S205" i="53"/>
  <c r="Q205" i="53"/>
  <c r="O205" i="53"/>
  <c r="M205" i="53"/>
  <c r="K205" i="53"/>
  <c r="X204" i="53"/>
  <c r="W204" i="53"/>
  <c r="V204" i="53"/>
  <c r="U204" i="53"/>
  <c r="T204" i="53"/>
  <c r="S204" i="53"/>
  <c r="Q204" i="53"/>
  <c r="O204" i="53"/>
  <c r="M204" i="53"/>
  <c r="K204" i="53"/>
  <c r="X203" i="53"/>
  <c r="W203" i="53"/>
  <c r="V203" i="53"/>
  <c r="U203" i="53"/>
  <c r="T203" i="53"/>
  <c r="S203" i="53"/>
  <c r="Q203" i="53"/>
  <c r="O203" i="53"/>
  <c r="M203" i="53"/>
  <c r="K203" i="53"/>
  <c r="X202" i="53"/>
  <c r="W202" i="53"/>
  <c r="V202" i="53"/>
  <c r="U202" i="53"/>
  <c r="T202" i="53"/>
  <c r="S202" i="53"/>
  <c r="Q202" i="53"/>
  <c r="O202" i="53"/>
  <c r="M202" i="53"/>
  <c r="K202" i="53"/>
  <c r="X201" i="53"/>
  <c r="W201" i="53"/>
  <c r="V201" i="53"/>
  <c r="U201" i="53"/>
  <c r="T201" i="53"/>
  <c r="S201" i="53"/>
  <c r="Q201" i="53"/>
  <c r="O201" i="53"/>
  <c r="M201" i="53"/>
  <c r="K201" i="53"/>
  <c r="X200" i="53"/>
  <c r="W200" i="53"/>
  <c r="V200" i="53"/>
  <c r="U200" i="53"/>
  <c r="T200" i="53"/>
  <c r="S200" i="53"/>
  <c r="Q200" i="53"/>
  <c r="O200" i="53"/>
  <c r="M200" i="53"/>
  <c r="K200" i="53"/>
  <c r="X199" i="53"/>
  <c r="W199" i="53"/>
  <c r="V199" i="53"/>
  <c r="U199" i="53"/>
  <c r="T199" i="53"/>
  <c r="S199" i="53"/>
  <c r="Q199" i="53"/>
  <c r="O199" i="53"/>
  <c r="M199" i="53"/>
  <c r="K199" i="53"/>
  <c r="X198" i="53"/>
  <c r="W198" i="53"/>
  <c r="V198" i="53"/>
  <c r="U198" i="53"/>
  <c r="T198" i="53"/>
  <c r="S198" i="53"/>
  <c r="Q198" i="53"/>
  <c r="O198" i="53"/>
  <c r="M198" i="53"/>
  <c r="K198" i="53"/>
  <c r="X197" i="53"/>
  <c r="W197" i="53"/>
  <c r="V197" i="53"/>
  <c r="U197" i="53"/>
  <c r="T197" i="53"/>
  <c r="S197" i="53"/>
  <c r="Q197" i="53"/>
  <c r="O197" i="53"/>
  <c r="M197" i="53"/>
  <c r="K197" i="53"/>
  <c r="X196" i="53"/>
  <c r="W196" i="53"/>
  <c r="V196" i="53"/>
  <c r="U196" i="53"/>
  <c r="T196" i="53"/>
  <c r="S196" i="53"/>
  <c r="Q196" i="53"/>
  <c r="O196" i="53"/>
  <c r="M196" i="53"/>
  <c r="K196" i="53"/>
  <c r="X195" i="53"/>
  <c r="W195" i="53"/>
  <c r="V195" i="53"/>
  <c r="U195" i="53"/>
  <c r="T195" i="53"/>
  <c r="S195" i="53"/>
  <c r="Q195" i="53"/>
  <c r="O195" i="53"/>
  <c r="M195" i="53"/>
  <c r="K195" i="53"/>
  <c r="X194" i="53"/>
  <c r="W194" i="53"/>
  <c r="V194" i="53"/>
  <c r="U194" i="53"/>
  <c r="T194" i="53"/>
  <c r="S194" i="53"/>
  <c r="Q194" i="53"/>
  <c r="O194" i="53"/>
  <c r="M194" i="53"/>
  <c r="K194" i="53"/>
  <c r="X193" i="53"/>
  <c r="W193" i="53"/>
  <c r="V193" i="53"/>
  <c r="U193" i="53"/>
  <c r="T193" i="53"/>
  <c r="S193" i="53"/>
  <c r="Q193" i="53"/>
  <c r="O193" i="53"/>
  <c r="M193" i="53"/>
  <c r="K193" i="53"/>
  <c r="X192" i="53"/>
  <c r="W192" i="53"/>
  <c r="V192" i="53"/>
  <c r="U192" i="53"/>
  <c r="T192" i="53"/>
  <c r="S192" i="53"/>
  <c r="Q192" i="53"/>
  <c r="O192" i="53"/>
  <c r="M192" i="53"/>
  <c r="K192" i="53"/>
  <c r="X191" i="53"/>
  <c r="W191" i="53"/>
  <c r="V191" i="53"/>
  <c r="U191" i="53"/>
  <c r="T191" i="53"/>
  <c r="S191" i="53"/>
  <c r="Q191" i="53"/>
  <c r="O191" i="53"/>
  <c r="M191" i="53"/>
  <c r="K191" i="53"/>
  <c r="X190" i="53"/>
  <c r="W190" i="53"/>
  <c r="V190" i="53"/>
  <c r="U190" i="53"/>
  <c r="T190" i="53"/>
  <c r="S190" i="53"/>
  <c r="Q190" i="53"/>
  <c r="O190" i="53"/>
  <c r="M190" i="53"/>
  <c r="K190" i="53"/>
  <c r="X189" i="53"/>
  <c r="W189" i="53"/>
  <c r="V189" i="53"/>
  <c r="U189" i="53"/>
  <c r="T189" i="53"/>
  <c r="S189" i="53"/>
  <c r="Q189" i="53"/>
  <c r="O189" i="53"/>
  <c r="M189" i="53"/>
  <c r="K189" i="53"/>
  <c r="X188" i="53"/>
  <c r="W188" i="53"/>
  <c r="V188" i="53"/>
  <c r="U188" i="53"/>
  <c r="T188" i="53"/>
  <c r="S188" i="53"/>
  <c r="Q188" i="53"/>
  <c r="O188" i="53"/>
  <c r="M188" i="53"/>
  <c r="K188" i="53"/>
  <c r="X187" i="53"/>
  <c r="W187" i="53"/>
  <c r="V187" i="53"/>
  <c r="U187" i="53"/>
  <c r="T187" i="53"/>
  <c r="S187" i="53"/>
  <c r="Q187" i="53"/>
  <c r="O187" i="53"/>
  <c r="M187" i="53"/>
  <c r="K187" i="53"/>
  <c r="X186" i="53"/>
  <c r="W186" i="53"/>
  <c r="V186" i="53"/>
  <c r="U186" i="53"/>
  <c r="T186" i="53"/>
  <c r="S186" i="53"/>
  <c r="Q186" i="53"/>
  <c r="O186" i="53"/>
  <c r="M186" i="53"/>
  <c r="K186" i="53"/>
  <c r="X185" i="53"/>
  <c r="W185" i="53"/>
  <c r="V185" i="53"/>
  <c r="U185" i="53"/>
  <c r="T185" i="53"/>
  <c r="S185" i="53"/>
  <c r="Q185" i="53"/>
  <c r="O185" i="53"/>
  <c r="M185" i="53"/>
  <c r="K185" i="53"/>
  <c r="X184" i="53"/>
  <c r="W184" i="53"/>
  <c r="V184" i="53"/>
  <c r="U184" i="53"/>
  <c r="T184" i="53"/>
  <c r="S184" i="53"/>
  <c r="Q184" i="53"/>
  <c r="O184" i="53"/>
  <c r="M184" i="53"/>
  <c r="K184" i="53"/>
  <c r="X183" i="53"/>
  <c r="W183" i="53"/>
  <c r="V183" i="53"/>
  <c r="U183" i="53"/>
  <c r="T183" i="53"/>
  <c r="S183" i="53"/>
  <c r="Q183" i="53"/>
  <c r="O183" i="53"/>
  <c r="M183" i="53"/>
  <c r="K183" i="53"/>
  <c r="X182" i="53"/>
  <c r="W182" i="53"/>
  <c r="V182" i="53"/>
  <c r="U182" i="53"/>
  <c r="T182" i="53"/>
  <c r="S182" i="53"/>
  <c r="Q182" i="53"/>
  <c r="O182" i="53"/>
  <c r="M182" i="53"/>
  <c r="K182" i="53"/>
  <c r="X181" i="53"/>
  <c r="W181" i="53"/>
  <c r="V181" i="53"/>
  <c r="U181" i="53"/>
  <c r="T181" i="53"/>
  <c r="S181" i="53"/>
  <c r="Q181" i="53"/>
  <c r="O181" i="53"/>
  <c r="M181" i="53"/>
  <c r="K181" i="53"/>
  <c r="X180" i="53"/>
  <c r="W180" i="53"/>
  <c r="V180" i="53"/>
  <c r="U180" i="53"/>
  <c r="T180" i="53"/>
  <c r="S180" i="53"/>
  <c r="Q180" i="53"/>
  <c r="O180" i="53"/>
  <c r="M180" i="53"/>
  <c r="K180" i="53"/>
  <c r="X179" i="53"/>
  <c r="W179" i="53"/>
  <c r="V179" i="53"/>
  <c r="U179" i="53"/>
  <c r="T179" i="53"/>
  <c r="S179" i="53"/>
  <c r="Q179" i="53"/>
  <c r="O179" i="53"/>
  <c r="M179" i="53"/>
  <c r="K179" i="53"/>
  <c r="X178" i="53"/>
  <c r="W178" i="53"/>
  <c r="V178" i="53"/>
  <c r="U178" i="53"/>
  <c r="T178" i="53"/>
  <c r="S178" i="53"/>
  <c r="Q178" i="53"/>
  <c r="O178" i="53"/>
  <c r="M178" i="53"/>
  <c r="K178" i="53"/>
  <c r="X177" i="53"/>
  <c r="W177" i="53"/>
  <c r="V177" i="53"/>
  <c r="U177" i="53"/>
  <c r="T177" i="53"/>
  <c r="S177" i="53"/>
  <c r="Q177" i="53"/>
  <c r="O177" i="53"/>
  <c r="M177" i="53"/>
  <c r="K177" i="53"/>
  <c r="X176" i="53"/>
  <c r="W176" i="53"/>
  <c r="V176" i="53"/>
  <c r="U176" i="53"/>
  <c r="T176" i="53"/>
  <c r="S176" i="53"/>
  <c r="Q176" i="53"/>
  <c r="O176" i="53"/>
  <c r="M176" i="53"/>
  <c r="K176" i="53"/>
  <c r="X175" i="53"/>
  <c r="W175" i="53"/>
  <c r="V175" i="53"/>
  <c r="U175" i="53"/>
  <c r="T175" i="53"/>
  <c r="S175" i="53"/>
  <c r="Q175" i="53"/>
  <c r="O175" i="53"/>
  <c r="M175" i="53"/>
  <c r="K175" i="53"/>
  <c r="X174" i="53"/>
  <c r="W174" i="53"/>
  <c r="V174" i="53"/>
  <c r="U174" i="53"/>
  <c r="T174" i="53"/>
  <c r="S174" i="53"/>
  <c r="Q174" i="53"/>
  <c r="O174" i="53"/>
  <c r="M174" i="53"/>
  <c r="K174" i="53"/>
  <c r="X173" i="53"/>
  <c r="W173" i="53"/>
  <c r="V173" i="53"/>
  <c r="U173" i="53"/>
  <c r="T173" i="53"/>
  <c r="S173" i="53"/>
  <c r="Q173" i="53"/>
  <c r="O173" i="53"/>
  <c r="M173" i="53"/>
  <c r="K173" i="53"/>
  <c r="X172" i="53"/>
  <c r="W172" i="53"/>
  <c r="V172" i="53"/>
  <c r="U172" i="53"/>
  <c r="T172" i="53"/>
  <c r="S172" i="53"/>
  <c r="Q172" i="53"/>
  <c r="O172" i="53"/>
  <c r="M172" i="53"/>
  <c r="K172" i="53"/>
  <c r="X171" i="53"/>
  <c r="W171" i="53"/>
  <c r="V171" i="53"/>
  <c r="U171" i="53"/>
  <c r="T171" i="53"/>
  <c r="S171" i="53"/>
  <c r="Q171" i="53"/>
  <c r="O171" i="53"/>
  <c r="M171" i="53"/>
  <c r="K171" i="53"/>
  <c r="X170" i="53"/>
  <c r="W170" i="53"/>
  <c r="V170" i="53"/>
  <c r="U170" i="53"/>
  <c r="T170" i="53"/>
  <c r="S170" i="53"/>
  <c r="Q170" i="53"/>
  <c r="O170" i="53"/>
  <c r="M170" i="53"/>
  <c r="K170" i="53"/>
  <c r="X169" i="53"/>
  <c r="W169" i="53"/>
  <c r="V169" i="53"/>
  <c r="U169" i="53"/>
  <c r="T169" i="53"/>
  <c r="S169" i="53"/>
  <c r="Q169" i="53"/>
  <c r="O169" i="53"/>
  <c r="M169" i="53"/>
  <c r="K169" i="53"/>
  <c r="X168" i="53"/>
  <c r="W168" i="53"/>
  <c r="V168" i="53"/>
  <c r="U168" i="53"/>
  <c r="T168" i="53"/>
  <c r="S168" i="53"/>
  <c r="Q168" i="53"/>
  <c r="O168" i="53"/>
  <c r="M168" i="53"/>
  <c r="K168" i="53"/>
  <c r="X167" i="53"/>
  <c r="W167" i="53"/>
  <c r="V167" i="53"/>
  <c r="U167" i="53"/>
  <c r="T167" i="53"/>
  <c r="S167" i="53"/>
  <c r="Q167" i="53"/>
  <c r="O167" i="53"/>
  <c r="M167" i="53"/>
  <c r="K167" i="53"/>
  <c r="X166" i="53"/>
  <c r="W166" i="53"/>
  <c r="V166" i="53"/>
  <c r="U166" i="53"/>
  <c r="T166" i="53"/>
  <c r="S166" i="53"/>
  <c r="Q166" i="53"/>
  <c r="O166" i="53"/>
  <c r="M166" i="53"/>
  <c r="K166" i="53"/>
  <c r="X165" i="53"/>
  <c r="W165" i="53"/>
  <c r="V165" i="53"/>
  <c r="U165" i="53"/>
  <c r="T165" i="53"/>
  <c r="S165" i="53"/>
  <c r="Q165" i="53"/>
  <c r="O165" i="53"/>
  <c r="M165" i="53"/>
  <c r="K165" i="53"/>
  <c r="X164" i="53"/>
  <c r="W164" i="53"/>
  <c r="V164" i="53"/>
  <c r="U164" i="53"/>
  <c r="T164" i="53"/>
  <c r="S164" i="53"/>
  <c r="Q164" i="53"/>
  <c r="O164" i="53"/>
  <c r="M164" i="53"/>
  <c r="K164" i="53"/>
  <c r="X163" i="53"/>
  <c r="W163" i="53"/>
  <c r="V163" i="53"/>
  <c r="U163" i="53"/>
  <c r="T163" i="53"/>
  <c r="S163" i="53"/>
  <c r="Q163" i="53"/>
  <c r="O163" i="53"/>
  <c r="M163" i="53"/>
  <c r="K163" i="53"/>
  <c r="X162" i="53"/>
  <c r="W162" i="53"/>
  <c r="V162" i="53"/>
  <c r="U162" i="53"/>
  <c r="T162" i="53"/>
  <c r="S162" i="53"/>
  <c r="Q162" i="53"/>
  <c r="O162" i="53"/>
  <c r="M162" i="53"/>
  <c r="K162" i="53"/>
  <c r="X161" i="53"/>
  <c r="W161" i="53"/>
  <c r="V161" i="53"/>
  <c r="U161" i="53"/>
  <c r="T161" i="53"/>
  <c r="S161" i="53"/>
  <c r="Q161" i="53"/>
  <c r="O161" i="53"/>
  <c r="M161" i="53"/>
  <c r="K161" i="53"/>
  <c r="X160" i="53"/>
  <c r="W160" i="53"/>
  <c r="V160" i="53"/>
  <c r="U160" i="53"/>
  <c r="T160" i="53"/>
  <c r="S160" i="53"/>
  <c r="Q160" i="53"/>
  <c r="O160" i="53"/>
  <c r="M160" i="53"/>
  <c r="K160" i="53"/>
  <c r="X159" i="53"/>
  <c r="W159" i="53"/>
  <c r="V159" i="53"/>
  <c r="U159" i="53"/>
  <c r="T159" i="53"/>
  <c r="S159" i="53"/>
  <c r="Q159" i="53"/>
  <c r="O159" i="53"/>
  <c r="M159" i="53"/>
  <c r="K159" i="53"/>
  <c r="X158" i="53"/>
  <c r="W158" i="53"/>
  <c r="V158" i="53"/>
  <c r="U158" i="53"/>
  <c r="T158" i="53"/>
  <c r="S158" i="53"/>
  <c r="Q158" i="53"/>
  <c r="O158" i="53"/>
  <c r="M158" i="53"/>
  <c r="K158" i="53"/>
  <c r="X157" i="53"/>
  <c r="W157" i="53"/>
  <c r="V157" i="53"/>
  <c r="U157" i="53"/>
  <c r="T157" i="53"/>
  <c r="S157" i="53"/>
  <c r="Q157" i="53"/>
  <c r="O157" i="53"/>
  <c r="M157" i="53"/>
  <c r="K157" i="53"/>
  <c r="X156" i="53"/>
  <c r="W156" i="53"/>
  <c r="V156" i="53"/>
  <c r="U156" i="53"/>
  <c r="T156" i="53"/>
  <c r="S156" i="53"/>
  <c r="Q156" i="53"/>
  <c r="O156" i="53"/>
  <c r="M156" i="53"/>
  <c r="K156" i="53"/>
  <c r="X155" i="53"/>
  <c r="W155" i="53"/>
  <c r="V155" i="53"/>
  <c r="U155" i="53"/>
  <c r="T155" i="53"/>
  <c r="S155" i="53"/>
  <c r="Q155" i="53"/>
  <c r="O155" i="53"/>
  <c r="M155" i="53"/>
  <c r="K155" i="53"/>
  <c r="X154" i="53"/>
  <c r="W154" i="53"/>
  <c r="V154" i="53"/>
  <c r="U154" i="53"/>
  <c r="T154" i="53"/>
  <c r="S154" i="53"/>
  <c r="Q154" i="53"/>
  <c r="O154" i="53"/>
  <c r="M154" i="53"/>
  <c r="K154" i="53"/>
  <c r="X153" i="53"/>
  <c r="W153" i="53"/>
  <c r="V153" i="53"/>
  <c r="U153" i="53"/>
  <c r="T153" i="53"/>
  <c r="S153" i="53"/>
  <c r="Q153" i="53"/>
  <c r="O153" i="53"/>
  <c r="M153" i="53"/>
  <c r="K153" i="53"/>
  <c r="X152" i="53"/>
  <c r="W152" i="53"/>
  <c r="V152" i="53"/>
  <c r="U152" i="53"/>
  <c r="T152" i="53"/>
  <c r="S152" i="53"/>
  <c r="Q152" i="53"/>
  <c r="O152" i="53"/>
  <c r="M152" i="53"/>
  <c r="K152" i="53"/>
  <c r="X151" i="53"/>
  <c r="W151" i="53"/>
  <c r="V151" i="53"/>
  <c r="U151" i="53"/>
  <c r="T151" i="53"/>
  <c r="S151" i="53"/>
  <c r="Q151" i="53"/>
  <c r="O151" i="53"/>
  <c r="M151" i="53"/>
  <c r="K151" i="53"/>
  <c r="X150" i="53"/>
  <c r="W150" i="53"/>
  <c r="V150" i="53"/>
  <c r="U150" i="53"/>
  <c r="T150" i="53"/>
  <c r="S150" i="53"/>
  <c r="Q150" i="53"/>
  <c r="O150" i="53"/>
  <c r="M150" i="53"/>
  <c r="K150" i="53"/>
  <c r="X149" i="53"/>
  <c r="W149" i="53"/>
  <c r="V149" i="53"/>
  <c r="U149" i="53"/>
  <c r="T149" i="53"/>
  <c r="S149" i="53"/>
  <c r="Q149" i="53"/>
  <c r="O149" i="53"/>
  <c r="M149" i="53"/>
  <c r="K149" i="53"/>
  <c r="X148" i="53"/>
  <c r="W148" i="53"/>
  <c r="V148" i="53"/>
  <c r="U148" i="53"/>
  <c r="T148" i="53"/>
  <c r="S148" i="53"/>
  <c r="Q148" i="53"/>
  <c r="O148" i="53"/>
  <c r="M148" i="53"/>
  <c r="K148" i="53"/>
  <c r="X147" i="53"/>
  <c r="W147" i="53"/>
  <c r="V147" i="53"/>
  <c r="U147" i="53"/>
  <c r="T147" i="53"/>
  <c r="S147" i="53"/>
  <c r="Q147" i="53"/>
  <c r="O147" i="53"/>
  <c r="M147" i="53"/>
  <c r="K147" i="53"/>
  <c r="X146" i="53"/>
  <c r="W146" i="53"/>
  <c r="V146" i="53"/>
  <c r="U146" i="53"/>
  <c r="T146" i="53"/>
  <c r="S146" i="53"/>
  <c r="Q146" i="53"/>
  <c r="O146" i="53"/>
  <c r="M146" i="53"/>
  <c r="K146" i="53"/>
  <c r="X145" i="53"/>
  <c r="W145" i="53"/>
  <c r="V145" i="53"/>
  <c r="U145" i="53"/>
  <c r="T145" i="53"/>
  <c r="S145" i="53"/>
  <c r="Q145" i="53"/>
  <c r="O145" i="53"/>
  <c r="M145" i="53"/>
  <c r="K145" i="53"/>
  <c r="X144" i="53"/>
  <c r="W144" i="53"/>
  <c r="V144" i="53"/>
  <c r="U144" i="53"/>
  <c r="T144" i="53"/>
  <c r="S144" i="53"/>
  <c r="Q144" i="53"/>
  <c r="O144" i="53"/>
  <c r="M144" i="53"/>
  <c r="K144" i="53"/>
  <c r="X143" i="53"/>
  <c r="W143" i="53"/>
  <c r="V143" i="53"/>
  <c r="U143" i="53"/>
  <c r="T143" i="53"/>
  <c r="S143" i="53"/>
  <c r="Q143" i="53"/>
  <c r="O143" i="53"/>
  <c r="M143" i="53"/>
  <c r="K143" i="53"/>
  <c r="X142" i="53"/>
  <c r="W142" i="53"/>
  <c r="V142" i="53"/>
  <c r="U142" i="53"/>
  <c r="T142" i="53"/>
  <c r="S142" i="53"/>
  <c r="Q142" i="53"/>
  <c r="O142" i="53"/>
  <c r="M142" i="53"/>
  <c r="K142" i="53"/>
  <c r="X141" i="53"/>
  <c r="W141" i="53"/>
  <c r="V141" i="53"/>
  <c r="U141" i="53"/>
  <c r="T141" i="53"/>
  <c r="S141" i="53"/>
  <c r="Q141" i="53"/>
  <c r="O141" i="53"/>
  <c r="M141" i="53"/>
  <c r="K141" i="53"/>
  <c r="X140" i="53"/>
  <c r="W140" i="53"/>
  <c r="V140" i="53"/>
  <c r="U140" i="53"/>
  <c r="T140" i="53"/>
  <c r="S140" i="53"/>
  <c r="Q140" i="53"/>
  <c r="O140" i="53"/>
  <c r="M140" i="53"/>
  <c r="K140" i="53"/>
  <c r="X139" i="53"/>
  <c r="W139" i="53"/>
  <c r="V139" i="53"/>
  <c r="U139" i="53"/>
  <c r="T139" i="53"/>
  <c r="S139" i="53"/>
  <c r="Q139" i="53"/>
  <c r="O139" i="53"/>
  <c r="M139" i="53"/>
  <c r="K139" i="53"/>
  <c r="X138" i="53"/>
  <c r="W138" i="53"/>
  <c r="V138" i="53"/>
  <c r="U138" i="53"/>
  <c r="T138" i="53"/>
  <c r="S138" i="53"/>
  <c r="Q138" i="53"/>
  <c r="O138" i="53"/>
  <c r="M138" i="53"/>
  <c r="K138" i="53"/>
  <c r="X137" i="53"/>
  <c r="W137" i="53"/>
  <c r="V137" i="53"/>
  <c r="U137" i="53"/>
  <c r="T137" i="53"/>
  <c r="S137" i="53"/>
  <c r="Q137" i="53"/>
  <c r="O137" i="53"/>
  <c r="M137" i="53"/>
  <c r="K137" i="53"/>
  <c r="X136" i="53"/>
  <c r="W136" i="53"/>
  <c r="V136" i="53"/>
  <c r="U136" i="53"/>
  <c r="T136" i="53"/>
  <c r="S136" i="53"/>
  <c r="Q136" i="53"/>
  <c r="O136" i="53"/>
  <c r="M136" i="53"/>
  <c r="K136" i="53"/>
  <c r="X135" i="53"/>
  <c r="W135" i="53"/>
  <c r="V135" i="53"/>
  <c r="U135" i="53"/>
  <c r="T135" i="53"/>
  <c r="S135" i="53"/>
  <c r="Q135" i="53"/>
  <c r="O135" i="53"/>
  <c r="M135" i="53"/>
  <c r="K135" i="53"/>
  <c r="X134" i="53"/>
  <c r="W134" i="53"/>
  <c r="V134" i="53"/>
  <c r="U134" i="53"/>
  <c r="T134" i="53"/>
  <c r="S134" i="53"/>
  <c r="Q134" i="53"/>
  <c r="O134" i="53"/>
  <c r="M134" i="53"/>
  <c r="K134" i="53"/>
  <c r="X133" i="53"/>
  <c r="W133" i="53"/>
  <c r="V133" i="53"/>
  <c r="U133" i="53"/>
  <c r="T133" i="53"/>
  <c r="S133" i="53"/>
  <c r="Q133" i="53"/>
  <c r="O133" i="53"/>
  <c r="M133" i="53"/>
  <c r="K133" i="53"/>
  <c r="X132" i="53"/>
  <c r="W132" i="53"/>
  <c r="V132" i="53"/>
  <c r="U132" i="53"/>
  <c r="T132" i="53"/>
  <c r="S132" i="53"/>
  <c r="Q132" i="53"/>
  <c r="O132" i="53"/>
  <c r="M132" i="53"/>
  <c r="K132" i="53"/>
  <c r="X131" i="53"/>
  <c r="W131" i="53"/>
  <c r="V131" i="53"/>
  <c r="U131" i="53"/>
  <c r="T131" i="53"/>
  <c r="S131" i="53"/>
  <c r="Q131" i="53"/>
  <c r="O131" i="53"/>
  <c r="M131" i="53"/>
  <c r="K131" i="53"/>
  <c r="X130" i="53"/>
  <c r="W130" i="53"/>
  <c r="V130" i="53"/>
  <c r="U130" i="53"/>
  <c r="T130" i="53"/>
  <c r="S130" i="53"/>
  <c r="Q130" i="53"/>
  <c r="O130" i="53"/>
  <c r="M130" i="53"/>
  <c r="K130" i="53"/>
  <c r="X129" i="53"/>
  <c r="W129" i="53"/>
  <c r="V129" i="53"/>
  <c r="U129" i="53"/>
  <c r="T129" i="53"/>
  <c r="S129" i="53"/>
  <c r="Q129" i="53"/>
  <c r="O129" i="53"/>
  <c r="M129" i="53"/>
  <c r="K129" i="53"/>
  <c r="X128" i="53"/>
  <c r="W128" i="53"/>
  <c r="V128" i="53"/>
  <c r="U128" i="53"/>
  <c r="T128" i="53"/>
  <c r="S128" i="53"/>
  <c r="Q128" i="53"/>
  <c r="O128" i="53"/>
  <c r="M128" i="53"/>
  <c r="K128" i="53"/>
  <c r="X127" i="53"/>
  <c r="W127" i="53"/>
  <c r="V127" i="53"/>
  <c r="U127" i="53"/>
  <c r="T127" i="53"/>
  <c r="S127" i="53"/>
  <c r="Q127" i="53"/>
  <c r="O127" i="53"/>
  <c r="M127" i="53"/>
  <c r="K127" i="53"/>
  <c r="X126" i="53"/>
  <c r="W126" i="53"/>
  <c r="V126" i="53"/>
  <c r="U126" i="53"/>
  <c r="T126" i="53"/>
  <c r="S126" i="53"/>
  <c r="Q126" i="53"/>
  <c r="O126" i="53"/>
  <c r="M126" i="53"/>
  <c r="K126" i="53"/>
  <c r="X125" i="53"/>
  <c r="W125" i="53"/>
  <c r="V125" i="53"/>
  <c r="U125" i="53"/>
  <c r="T125" i="53"/>
  <c r="S125" i="53"/>
  <c r="Q125" i="53"/>
  <c r="O125" i="53"/>
  <c r="M125" i="53"/>
  <c r="K125" i="53"/>
  <c r="X124" i="53"/>
  <c r="W124" i="53"/>
  <c r="V124" i="53"/>
  <c r="U124" i="53"/>
  <c r="T124" i="53"/>
  <c r="S124" i="53"/>
  <c r="Q124" i="53"/>
  <c r="O124" i="53"/>
  <c r="M124" i="53"/>
  <c r="K124" i="53"/>
  <c r="X123" i="53"/>
  <c r="W123" i="53"/>
  <c r="V123" i="53"/>
  <c r="U123" i="53"/>
  <c r="T123" i="53"/>
  <c r="S123" i="53"/>
  <c r="Q123" i="53"/>
  <c r="O123" i="53"/>
  <c r="M123" i="53"/>
  <c r="K123" i="53"/>
  <c r="X122" i="53"/>
  <c r="W122" i="53"/>
  <c r="V122" i="53"/>
  <c r="U122" i="53"/>
  <c r="T122" i="53"/>
  <c r="S122" i="53"/>
  <c r="Q122" i="53"/>
  <c r="O122" i="53"/>
  <c r="M122" i="53"/>
  <c r="K122" i="53"/>
  <c r="X121" i="53"/>
  <c r="W121" i="53"/>
  <c r="V121" i="53"/>
  <c r="U121" i="53"/>
  <c r="T121" i="53"/>
  <c r="S121" i="53"/>
  <c r="Q121" i="53"/>
  <c r="O121" i="53"/>
  <c r="M121" i="53"/>
  <c r="K121" i="53"/>
  <c r="X120" i="53"/>
  <c r="W120" i="53"/>
  <c r="V120" i="53"/>
  <c r="U120" i="53"/>
  <c r="T120" i="53"/>
  <c r="S120" i="53"/>
  <c r="Q120" i="53"/>
  <c r="O120" i="53"/>
  <c r="M120" i="53"/>
  <c r="K120" i="53"/>
  <c r="X119" i="53"/>
  <c r="W119" i="53"/>
  <c r="V119" i="53"/>
  <c r="U119" i="53"/>
  <c r="T119" i="53"/>
  <c r="S119" i="53"/>
  <c r="Q119" i="53"/>
  <c r="O119" i="53"/>
  <c r="M119" i="53"/>
  <c r="K119" i="53"/>
  <c r="X118" i="53"/>
  <c r="W118" i="53"/>
  <c r="V118" i="53"/>
  <c r="U118" i="53"/>
  <c r="T118" i="53"/>
  <c r="S118" i="53"/>
  <c r="Q118" i="53"/>
  <c r="O118" i="53"/>
  <c r="M118" i="53"/>
  <c r="K118" i="53"/>
  <c r="X117" i="53"/>
  <c r="W117" i="53"/>
  <c r="V117" i="53"/>
  <c r="U117" i="53"/>
  <c r="T117" i="53"/>
  <c r="S117" i="53"/>
  <c r="Q117" i="53"/>
  <c r="O117" i="53"/>
  <c r="M117" i="53"/>
  <c r="K117" i="53"/>
  <c r="X116" i="53"/>
  <c r="W116" i="53"/>
  <c r="V116" i="53"/>
  <c r="U116" i="53"/>
  <c r="T116" i="53"/>
  <c r="S116" i="53"/>
  <c r="Q116" i="53"/>
  <c r="O116" i="53"/>
  <c r="M116" i="53"/>
  <c r="K116" i="53"/>
  <c r="X115" i="53"/>
  <c r="W115" i="53"/>
  <c r="V115" i="53"/>
  <c r="U115" i="53"/>
  <c r="T115" i="53"/>
  <c r="S115" i="53"/>
  <c r="Q115" i="53"/>
  <c r="O115" i="53"/>
  <c r="M115" i="53"/>
  <c r="K115" i="53"/>
  <c r="X114" i="53"/>
  <c r="W114" i="53"/>
  <c r="V114" i="53"/>
  <c r="U114" i="53"/>
  <c r="T114" i="53"/>
  <c r="S114" i="53"/>
  <c r="Q114" i="53"/>
  <c r="O114" i="53"/>
  <c r="M114" i="53"/>
  <c r="K114" i="53"/>
  <c r="X113" i="53"/>
  <c r="W113" i="53"/>
  <c r="V113" i="53"/>
  <c r="U113" i="53"/>
  <c r="T113" i="53"/>
  <c r="S113" i="53"/>
  <c r="Q113" i="53"/>
  <c r="O113" i="53"/>
  <c r="M113" i="53"/>
  <c r="K113" i="53"/>
  <c r="X112" i="53"/>
  <c r="W112" i="53"/>
  <c r="V112" i="53"/>
  <c r="U112" i="53"/>
  <c r="T112" i="53"/>
  <c r="S112" i="53"/>
  <c r="Q112" i="53"/>
  <c r="O112" i="53"/>
  <c r="M112" i="53"/>
  <c r="K112" i="53"/>
  <c r="X111" i="53"/>
  <c r="W111" i="53"/>
  <c r="V111" i="53"/>
  <c r="U111" i="53"/>
  <c r="T111" i="53"/>
  <c r="S111" i="53"/>
  <c r="Q111" i="53"/>
  <c r="O111" i="53"/>
  <c r="M111" i="53"/>
  <c r="K111" i="53"/>
  <c r="X110" i="53"/>
  <c r="W110" i="53"/>
  <c r="V110" i="53"/>
  <c r="U110" i="53"/>
  <c r="T110" i="53"/>
  <c r="S110" i="53"/>
  <c r="Q110" i="53"/>
  <c r="O110" i="53"/>
  <c r="M110" i="53"/>
  <c r="K110" i="53"/>
  <c r="X109" i="53"/>
  <c r="W109" i="53"/>
  <c r="V109" i="53"/>
  <c r="U109" i="53"/>
  <c r="T109" i="53"/>
  <c r="S109" i="53"/>
  <c r="Q109" i="53"/>
  <c r="O109" i="53"/>
  <c r="M109" i="53"/>
  <c r="K109" i="53"/>
  <c r="X108" i="53"/>
  <c r="W108" i="53"/>
  <c r="V108" i="53"/>
  <c r="U108" i="53"/>
  <c r="T108" i="53"/>
  <c r="S108" i="53"/>
  <c r="Q108" i="53"/>
  <c r="O108" i="53"/>
  <c r="M108" i="53"/>
  <c r="K108" i="53"/>
  <c r="X107" i="53"/>
  <c r="W107" i="53"/>
  <c r="V107" i="53"/>
  <c r="U107" i="53"/>
  <c r="T107" i="53"/>
  <c r="S107" i="53"/>
  <c r="Q107" i="53"/>
  <c r="O107" i="53"/>
  <c r="M107" i="53"/>
  <c r="K107" i="53"/>
  <c r="X106" i="53"/>
  <c r="W106" i="53"/>
  <c r="V106" i="53"/>
  <c r="U106" i="53"/>
  <c r="T106" i="53"/>
  <c r="S106" i="53"/>
  <c r="Q106" i="53"/>
  <c r="O106" i="53"/>
  <c r="M106" i="53"/>
  <c r="K106" i="53"/>
  <c r="X105" i="53"/>
  <c r="W105" i="53"/>
  <c r="V105" i="53"/>
  <c r="U105" i="53"/>
  <c r="T105" i="53"/>
  <c r="S105" i="53"/>
  <c r="Q105" i="53"/>
  <c r="O105" i="53"/>
  <c r="M105" i="53"/>
  <c r="K105" i="53"/>
  <c r="X104" i="53"/>
  <c r="W104" i="53"/>
  <c r="V104" i="53"/>
  <c r="U104" i="53"/>
  <c r="T104" i="53"/>
  <c r="S104" i="53"/>
  <c r="Q104" i="53"/>
  <c r="O104" i="53"/>
  <c r="M104" i="53"/>
  <c r="K104" i="53"/>
  <c r="X103" i="53"/>
  <c r="W103" i="53"/>
  <c r="V103" i="53"/>
  <c r="U103" i="53"/>
  <c r="T103" i="53"/>
  <c r="S103" i="53"/>
  <c r="Q103" i="53"/>
  <c r="O103" i="53"/>
  <c r="M103" i="53"/>
  <c r="K103" i="53"/>
  <c r="X102" i="53"/>
  <c r="W102" i="53"/>
  <c r="V102" i="53"/>
  <c r="U102" i="53"/>
  <c r="T102" i="53"/>
  <c r="S102" i="53"/>
  <c r="Q102" i="53"/>
  <c r="O102" i="53"/>
  <c r="M102" i="53"/>
  <c r="K102" i="53"/>
  <c r="X101" i="53"/>
  <c r="W101" i="53"/>
  <c r="V101" i="53"/>
  <c r="U101" i="53"/>
  <c r="T101" i="53"/>
  <c r="S101" i="53"/>
  <c r="Q101" i="53"/>
  <c r="O101" i="53"/>
  <c r="M101" i="53"/>
  <c r="K101" i="53"/>
  <c r="X100" i="53"/>
  <c r="W100" i="53"/>
  <c r="V100" i="53"/>
  <c r="U100" i="53"/>
  <c r="T100" i="53"/>
  <c r="S100" i="53"/>
  <c r="Q100" i="53"/>
  <c r="O100" i="53"/>
  <c r="M100" i="53"/>
  <c r="K100" i="53"/>
  <c r="X99" i="53"/>
  <c r="W99" i="53"/>
  <c r="V99" i="53"/>
  <c r="U99" i="53"/>
  <c r="T99" i="53"/>
  <c r="S99" i="53"/>
  <c r="Q99" i="53"/>
  <c r="O99" i="53"/>
  <c r="M99" i="53"/>
  <c r="K99" i="53"/>
  <c r="X98" i="53"/>
  <c r="W98" i="53"/>
  <c r="V98" i="53"/>
  <c r="U98" i="53"/>
  <c r="T98" i="53"/>
  <c r="S98" i="53"/>
  <c r="Q98" i="53"/>
  <c r="O98" i="53"/>
  <c r="M98" i="53"/>
  <c r="K98" i="53"/>
  <c r="X97" i="53"/>
  <c r="W97" i="53"/>
  <c r="V97" i="53"/>
  <c r="U97" i="53"/>
  <c r="T97" i="53"/>
  <c r="S97" i="53"/>
  <c r="Q97" i="53"/>
  <c r="O97" i="53"/>
  <c r="M97" i="53"/>
  <c r="K97" i="53"/>
  <c r="X96" i="53"/>
  <c r="W96" i="53"/>
  <c r="V96" i="53"/>
  <c r="U96" i="53"/>
  <c r="T96" i="53"/>
  <c r="S96" i="53"/>
  <c r="Q96" i="53"/>
  <c r="O96" i="53"/>
  <c r="M96" i="53"/>
  <c r="K96" i="53"/>
  <c r="X95" i="53"/>
  <c r="W95" i="53"/>
  <c r="V95" i="53"/>
  <c r="U95" i="53"/>
  <c r="T95" i="53"/>
  <c r="S95" i="53"/>
  <c r="Q95" i="53"/>
  <c r="O95" i="53"/>
  <c r="M95" i="53"/>
  <c r="K95" i="53"/>
  <c r="X94" i="53"/>
  <c r="W94" i="53"/>
  <c r="V94" i="53"/>
  <c r="U94" i="53"/>
  <c r="T94" i="53"/>
  <c r="S94" i="53"/>
  <c r="Q94" i="53"/>
  <c r="O94" i="53"/>
  <c r="M94" i="53"/>
  <c r="K94" i="53"/>
  <c r="X93" i="53"/>
  <c r="W93" i="53"/>
  <c r="V93" i="53"/>
  <c r="U93" i="53"/>
  <c r="T93" i="53"/>
  <c r="S93" i="53"/>
  <c r="Q93" i="53"/>
  <c r="O93" i="53"/>
  <c r="M93" i="53"/>
  <c r="K93" i="53"/>
  <c r="X92" i="53"/>
  <c r="W92" i="53"/>
  <c r="V92" i="53"/>
  <c r="U92" i="53"/>
  <c r="T92" i="53"/>
  <c r="S92" i="53"/>
  <c r="Q92" i="53"/>
  <c r="O92" i="53"/>
  <c r="M92" i="53"/>
  <c r="K92" i="53"/>
  <c r="X91" i="53"/>
  <c r="W91" i="53"/>
  <c r="V91" i="53"/>
  <c r="U91" i="53"/>
  <c r="T91" i="53"/>
  <c r="S91" i="53"/>
  <c r="Q91" i="53"/>
  <c r="O91" i="53"/>
  <c r="M91" i="53"/>
  <c r="K91" i="53"/>
  <c r="X90" i="53"/>
  <c r="W90" i="53"/>
  <c r="V90" i="53"/>
  <c r="U90" i="53"/>
  <c r="T90" i="53"/>
  <c r="S90" i="53"/>
  <c r="Q90" i="53"/>
  <c r="O90" i="53"/>
  <c r="M90" i="53"/>
  <c r="K90" i="53"/>
  <c r="X89" i="53"/>
  <c r="W89" i="53"/>
  <c r="V89" i="53"/>
  <c r="U89" i="53"/>
  <c r="T89" i="53"/>
  <c r="S89" i="53"/>
  <c r="Q89" i="53"/>
  <c r="O89" i="53"/>
  <c r="M89" i="53"/>
  <c r="K89" i="53"/>
  <c r="X88" i="53"/>
  <c r="W88" i="53"/>
  <c r="V88" i="53"/>
  <c r="U88" i="53"/>
  <c r="T88" i="53"/>
  <c r="S88" i="53"/>
  <c r="Q88" i="53"/>
  <c r="O88" i="53"/>
  <c r="M88" i="53"/>
  <c r="K88" i="53"/>
  <c r="X87" i="53"/>
  <c r="W87" i="53"/>
  <c r="V87" i="53"/>
  <c r="U87" i="53"/>
  <c r="T87" i="53"/>
  <c r="S87" i="53"/>
  <c r="Q87" i="53"/>
  <c r="O87" i="53"/>
  <c r="M87" i="53"/>
  <c r="K87" i="53"/>
  <c r="X86" i="53"/>
  <c r="W86" i="53"/>
  <c r="V86" i="53"/>
  <c r="U86" i="53"/>
  <c r="T86" i="53"/>
  <c r="S86" i="53"/>
  <c r="Q86" i="53"/>
  <c r="O86" i="53"/>
  <c r="M86" i="53"/>
  <c r="K86" i="53"/>
  <c r="X85" i="53"/>
  <c r="W85" i="53"/>
  <c r="V85" i="53"/>
  <c r="U85" i="53"/>
  <c r="T85" i="53"/>
  <c r="S85" i="53"/>
  <c r="Q85" i="53"/>
  <c r="O85" i="53"/>
  <c r="M85" i="53"/>
  <c r="K85" i="53"/>
  <c r="X84" i="53"/>
  <c r="W84" i="53"/>
  <c r="V84" i="53"/>
  <c r="U84" i="53"/>
  <c r="T84" i="53"/>
  <c r="S84" i="53"/>
  <c r="Q84" i="53"/>
  <c r="O84" i="53"/>
  <c r="M84" i="53"/>
  <c r="K84" i="53"/>
  <c r="X83" i="53"/>
  <c r="W83" i="53"/>
  <c r="V83" i="53"/>
  <c r="U83" i="53"/>
  <c r="T83" i="53"/>
  <c r="S83" i="53"/>
  <c r="Q83" i="53"/>
  <c r="O83" i="53"/>
  <c r="M83" i="53"/>
  <c r="K83" i="53"/>
  <c r="X82" i="53"/>
  <c r="W82" i="53"/>
  <c r="V82" i="53"/>
  <c r="U82" i="53"/>
  <c r="T82" i="53"/>
  <c r="S82" i="53"/>
  <c r="Q82" i="53"/>
  <c r="O82" i="53"/>
  <c r="M82" i="53"/>
  <c r="K82" i="53"/>
  <c r="X81" i="53"/>
  <c r="W81" i="53"/>
  <c r="V81" i="53"/>
  <c r="U81" i="53"/>
  <c r="T81" i="53"/>
  <c r="S81" i="53"/>
  <c r="Q81" i="53"/>
  <c r="O81" i="53"/>
  <c r="M81" i="53"/>
  <c r="K81" i="53"/>
  <c r="X80" i="53"/>
  <c r="W80" i="53"/>
  <c r="V80" i="53"/>
  <c r="U80" i="53"/>
  <c r="T80" i="53"/>
  <c r="S80" i="53"/>
  <c r="Q80" i="53"/>
  <c r="O80" i="53"/>
  <c r="M80" i="53"/>
  <c r="K80" i="53"/>
  <c r="X79" i="53"/>
  <c r="W79" i="53"/>
  <c r="V79" i="53"/>
  <c r="U79" i="53"/>
  <c r="T79" i="53"/>
  <c r="S79" i="53"/>
  <c r="Q79" i="53"/>
  <c r="O79" i="53"/>
  <c r="M79" i="53"/>
  <c r="K79" i="53"/>
  <c r="X78" i="53"/>
  <c r="W78" i="53"/>
  <c r="V78" i="53"/>
  <c r="U78" i="53"/>
  <c r="T78" i="53"/>
  <c r="S78" i="53"/>
  <c r="Q78" i="53"/>
  <c r="O78" i="53"/>
  <c r="M78" i="53"/>
  <c r="K78" i="53"/>
  <c r="X77" i="53"/>
  <c r="W77" i="53"/>
  <c r="V77" i="53"/>
  <c r="U77" i="53"/>
  <c r="T77" i="53"/>
  <c r="S77" i="53"/>
  <c r="Q77" i="53"/>
  <c r="O77" i="53"/>
  <c r="M77" i="53"/>
  <c r="K77" i="53"/>
  <c r="X76" i="53"/>
  <c r="W76" i="53"/>
  <c r="V76" i="53"/>
  <c r="U76" i="53"/>
  <c r="T76" i="53"/>
  <c r="S76" i="53"/>
  <c r="Q76" i="53"/>
  <c r="O76" i="53"/>
  <c r="M76" i="53"/>
  <c r="K76" i="53"/>
  <c r="X75" i="53"/>
  <c r="W75" i="53"/>
  <c r="V75" i="53"/>
  <c r="U75" i="53"/>
  <c r="T75" i="53"/>
  <c r="S75" i="53"/>
  <c r="Q75" i="53"/>
  <c r="O75" i="53"/>
  <c r="M75" i="53"/>
  <c r="K75" i="53"/>
  <c r="X74" i="53"/>
  <c r="W74" i="53"/>
  <c r="V74" i="53"/>
  <c r="U74" i="53"/>
  <c r="T74" i="53"/>
  <c r="S74" i="53"/>
  <c r="Q74" i="53"/>
  <c r="O74" i="53"/>
  <c r="M74" i="53"/>
  <c r="K74" i="53"/>
  <c r="X73" i="53"/>
  <c r="W73" i="53"/>
  <c r="V73" i="53"/>
  <c r="U73" i="53"/>
  <c r="T73" i="53"/>
  <c r="S73" i="53"/>
  <c r="Q73" i="53"/>
  <c r="O73" i="53"/>
  <c r="M73" i="53"/>
  <c r="K73" i="53"/>
  <c r="X72" i="53"/>
  <c r="W72" i="53"/>
  <c r="V72" i="53"/>
  <c r="U72" i="53"/>
  <c r="T72" i="53"/>
  <c r="S72" i="53"/>
  <c r="Q72" i="53"/>
  <c r="O72" i="53"/>
  <c r="M72" i="53"/>
  <c r="K72" i="53"/>
  <c r="X71" i="53"/>
  <c r="W71" i="53"/>
  <c r="V71" i="53"/>
  <c r="U71" i="53"/>
  <c r="T71" i="53"/>
  <c r="S71" i="53"/>
  <c r="Q71" i="53"/>
  <c r="O71" i="53"/>
  <c r="M71" i="53"/>
  <c r="K71" i="53"/>
  <c r="X70" i="53"/>
  <c r="W70" i="53"/>
  <c r="V70" i="53"/>
  <c r="U70" i="53"/>
  <c r="T70" i="53"/>
  <c r="S70" i="53"/>
  <c r="Q70" i="53"/>
  <c r="O70" i="53"/>
  <c r="M70" i="53"/>
  <c r="K70" i="53"/>
  <c r="X69" i="53"/>
  <c r="W69" i="53"/>
  <c r="V69" i="53"/>
  <c r="U69" i="53"/>
  <c r="T69" i="53"/>
  <c r="S69" i="53"/>
  <c r="Q69" i="53"/>
  <c r="O69" i="53"/>
  <c r="M69" i="53"/>
  <c r="K69" i="53"/>
  <c r="X68" i="53"/>
  <c r="W68" i="53"/>
  <c r="V68" i="53"/>
  <c r="U68" i="53"/>
  <c r="T68" i="53"/>
  <c r="S68" i="53"/>
  <c r="Q68" i="53"/>
  <c r="O68" i="53"/>
  <c r="M68" i="53"/>
  <c r="K68" i="53"/>
  <c r="X67" i="53"/>
  <c r="W67" i="53"/>
  <c r="V67" i="53"/>
  <c r="U67" i="53"/>
  <c r="T67" i="53"/>
  <c r="S67" i="53"/>
  <c r="Q67" i="53"/>
  <c r="O67" i="53"/>
  <c r="M67" i="53"/>
  <c r="K67" i="53"/>
  <c r="X66" i="53"/>
  <c r="W66" i="53"/>
  <c r="V66" i="53"/>
  <c r="U66" i="53"/>
  <c r="T66" i="53"/>
  <c r="S66" i="53"/>
  <c r="Q66" i="53"/>
  <c r="O66" i="53"/>
  <c r="M66" i="53"/>
  <c r="K66" i="53"/>
  <c r="X65" i="53"/>
  <c r="W65" i="53"/>
  <c r="V65" i="53"/>
  <c r="U65" i="53"/>
  <c r="T65" i="53"/>
  <c r="S65" i="53"/>
  <c r="Q65" i="53"/>
  <c r="O65" i="53"/>
  <c r="M65" i="53"/>
  <c r="K65" i="53"/>
  <c r="X64" i="53"/>
  <c r="W64" i="53"/>
  <c r="V64" i="53"/>
  <c r="U64" i="53"/>
  <c r="T64" i="53"/>
  <c r="S64" i="53"/>
  <c r="Q64" i="53"/>
  <c r="O64" i="53"/>
  <c r="M64" i="53"/>
  <c r="K64" i="53"/>
  <c r="X63" i="53"/>
  <c r="W63" i="53"/>
  <c r="V63" i="53"/>
  <c r="U63" i="53"/>
  <c r="T63" i="53"/>
  <c r="S63" i="53"/>
  <c r="Q63" i="53"/>
  <c r="O63" i="53"/>
  <c r="M63" i="53"/>
  <c r="K63" i="53"/>
  <c r="X62" i="53"/>
  <c r="W62" i="53"/>
  <c r="V62" i="53"/>
  <c r="U62" i="53"/>
  <c r="T62" i="53"/>
  <c r="S62" i="53"/>
  <c r="Q62" i="53"/>
  <c r="O62" i="53"/>
  <c r="M62" i="53"/>
  <c r="K62" i="53"/>
  <c r="X61" i="53"/>
  <c r="W61" i="53"/>
  <c r="V61" i="53"/>
  <c r="U61" i="53"/>
  <c r="T61" i="53"/>
  <c r="S61" i="53"/>
  <c r="Q61" i="53"/>
  <c r="O61" i="53"/>
  <c r="M61" i="53"/>
  <c r="K61" i="53"/>
  <c r="X60" i="53"/>
  <c r="W60" i="53"/>
  <c r="V60" i="53"/>
  <c r="U60" i="53"/>
  <c r="T60" i="53"/>
  <c r="S60" i="53"/>
  <c r="Q60" i="53"/>
  <c r="O60" i="53"/>
  <c r="M60" i="53"/>
  <c r="K60" i="53"/>
  <c r="X59" i="53"/>
  <c r="W59" i="53"/>
  <c r="V59" i="53"/>
  <c r="U59" i="53"/>
  <c r="T59" i="53"/>
  <c r="S59" i="53"/>
  <c r="Q59" i="53"/>
  <c r="O59" i="53"/>
  <c r="M59" i="53"/>
  <c r="K59" i="53"/>
  <c r="X58" i="53"/>
  <c r="W58" i="53"/>
  <c r="V58" i="53"/>
  <c r="U58" i="53"/>
  <c r="T58" i="53"/>
  <c r="S58" i="53"/>
  <c r="Q58" i="53"/>
  <c r="O58" i="53"/>
  <c r="M58" i="53"/>
  <c r="K58" i="53"/>
  <c r="X57" i="53"/>
  <c r="W57" i="53"/>
  <c r="V57" i="53"/>
  <c r="U57" i="53"/>
  <c r="T57" i="53"/>
  <c r="S57" i="53"/>
  <c r="Q57" i="53"/>
  <c r="O57" i="53"/>
  <c r="M57" i="53"/>
  <c r="K57" i="53"/>
  <c r="X56" i="53"/>
  <c r="W56" i="53"/>
  <c r="V56" i="53"/>
  <c r="U56" i="53"/>
  <c r="T56" i="53"/>
  <c r="S56" i="53"/>
  <c r="Q56" i="53"/>
  <c r="O56" i="53"/>
  <c r="M56" i="53"/>
  <c r="K56" i="53"/>
  <c r="X55" i="53"/>
  <c r="W55" i="53"/>
  <c r="V55" i="53"/>
  <c r="U55" i="53"/>
  <c r="T55" i="53"/>
  <c r="S55" i="53"/>
  <c r="Q55" i="53"/>
  <c r="O55" i="53"/>
  <c r="M55" i="53"/>
  <c r="K55" i="53"/>
  <c r="X54" i="53"/>
  <c r="W54" i="53"/>
  <c r="V54" i="53"/>
  <c r="U54" i="53"/>
  <c r="T54" i="53"/>
  <c r="S54" i="53"/>
  <c r="Q54" i="53"/>
  <c r="O54" i="53"/>
  <c r="M54" i="53"/>
  <c r="K54" i="53"/>
  <c r="X53" i="53"/>
  <c r="W53" i="53"/>
  <c r="V53" i="53"/>
  <c r="U53" i="53"/>
  <c r="T53" i="53"/>
  <c r="S53" i="53"/>
  <c r="Q53" i="53"/>
  <c r="O53" i="53"/>
  <c r="M53" i="53"/>
  <c r="K53" i="53"/>
  <c r="X52" i="53"/>
  <c r="W52" i="53"/>
  <c r="V52" i="53"/>
  <c r="U52" i="53"/>
  <c r="T52" i="53"/>
  <c r="S52" i="53"/>
  <c r="Q52" i="53"/>
  <c r="O52" i="53"/>
  <c r="M52" i="53"/>
  <c r="K52" i="53"/>
  <c r="X51" i="53"/>
  <c r="W51" i="53"/>
  <c r="V51" i="53"/>
  <c r="U51" i="53"/>
  <c r="T51" i="53"/>
  <c r="S51" i="53"/>
  <c r="Q51" i="53"/>
  <c r="O51" i="53"/>
  <c r="M51" i="53"/>
  <c r="K51" i="53"/>
  <c r="X50" i="53"/>
  <c r="W50" i="53"/>
  <c r="V50" i="53"/>
  <c r="U50" i="53"/>
  <c r="T50" i="53"/>
  <c r="S50" i="53"/>
  <c r="Q50" i="53"/>
  <c r="O50" i="53"/>
  <c r="M50" i="53"/>
  <c r="K50" i="53"/>
  <c r="X49" i="53"/>
  <c r="W49" i="53"/>
  <c r="V49" i="53"/>
  <c r="U49" i="53"/>
  <c r="T49" i="53"/>
  <c r="S49" i="53"/>
  <c r="Q49" i="53"/>
  <c r="O49" i="53"/>
  <c r="M49" i="53"/>
  <c r="K49" i="53"/>
  <c r="X48" i="53"/>
  <c r="W48" i="53"/>
  <c r="V48" i="53"/>
  <c r="U48" i="53"/>
  <c r="T48" i="53"/>
  <c r="S48" i="53"/>
  <c r="Q48" i="53"/>
  <c r="O48" i="53"/>
  <c r="M48" i="53"/>
  <c r="K48" i="53"/>
  <c r="X47" i="53"/>
  <c r="W47" i="53"/>
  <c r="V47" i="53"/>
  <c r="U47" i="53"/>
  <c r="T47" i="53"/>
  <c r="S47" i="53"/>
  <c r="Q47" i="53"/>
  <c r="O47" i="53"/>
  <c r="M47" i="53"/>
  <c r="K47" i="53"/>
  <c r="X46" i="53"/>
  <c r="W46" i="53"/>
  <c r="V46" i="53"/>
  <c r="U46" i="53"/>
  <c r="T46" i="53"/>
  <c r="S46" i="53"/>
  <c r="Q46" i="53"/>
  <c r="O46" i="53"/>
  <c r="M46" i="53"/>
  <c r="K46" i="53"/>
  <c r="X45" i="53"/>
  <c r="W45" i="53"/>
  <c r="V45" i="53"/>
  <c r="U45" i="53"/>
  <c r="T45" i="53"/>
  <c r="S45" i="53"/>
  <c r="Q45" i="53"/>
  <c r="O45" i="53"/>
  <c r="M45" i="53"/>
  <c r="K45" i="53"/>
  <c r="X44" i="53"/>
  <c r="W44" i="53"/>
  <c r="V44" i="53"/>
  <c r="U44" i="53"/>
  <c r="T44" i="53"/>
  <c r="S44" i="53"/>
  <c r="Q44" i="53"/>
  <c r="O44" i="53"/>
  <c r="M44" i="53"/>
  <c r="K44" i="53"/>
  <c r="X43" i="53"/>
  <c r="W43" i="53"/>
  <c r="V43" i="53"/>
  <c r="U43" i="53"/>
  <c r="T43" i="53"/>
  <c r="S43" i="53"/>
  <c r="Q43" i="53"/>
  <c r="O43" i="53"/>
  <c r="M43" i="53"/>
  <c r="K43" i="53"/>
  <c r="X42" i="53"/>
  <c r="W42" i="53"/>
  <c r="V42" i="53"/>
  <c r="U42" i="53"/>
  <c r="T42" i="53"/>
  <c r="S42" i="53"/>
  <c r="Q42" i="53"/>
  <c r="O42" i="53"/>
  <c r="M42" i="53"/>
  <c r="K42" i="53"/>
  <c r="X41" i="53"/>
  <c r="W41" i="53"/>
  <c r="V41" i="53"/>
  <c r="U41" i="53"/>
  <c r="T41" i="53"/>
  <c r="S41" i="53"/>
  <c r="Q41" i="53"/>
  <c r="O41" i="53"/>
  <c r="M41" i="53"/>
  <c r="K41" i="53"/>
  <c r="X40" i="53"/>
  <c r="W40" i="53"/>
  <c r="V40" i="53"/>
  <c r="U40" i="53"/>
  <c r="T40" i="53"/>
  <c r="S40" i="53"/>
  <c r="Q40" i="53"/>
  <c r="O40" i="53"/>
  <c r="M40" i="53"/>
  <c r="K40" i="53"/>
  <c r="X39" i="53"/>
  <c r="W39" i="53"/>
  <c r="V39" i="53"/>
  <c r="U39" i="53"/>
  <c r="T39" i="53"/>
  <c r="S39" i="53"/>
  <c r="Q39" i="53"/>
  <c r="O39" i="53"/>
  <c r="M39" i="53"/>
  <c r="K39" i="53"/>
  <c r="X38" i="53"/>
  <c r="W38" i="53"/>
  <c r="V38" i="53"/>
  <c r="U38" i="53"/>
  <c r="T38" i="53"/>
  <c r="S38" i="53"/>
  <c r="Q38" i="53"/>
  <c r="O38" i="53"/>
  <c r="M38" i="53"/>
  <c r="K38" i="53"/>
  <c r="X37" i="53"/>
  <c r="W37" i="53"/>
  <c r="V37" i="53"/>
  <c r="U37" i="53"/>
  <c r="T37" i="53"/>
  <c r="S37" i="53"/>
  <c r="Q37" i="53"/>
  <c r="O37" i="53"/>
  <c r="M37" i="53"/>
  <c r="K37" i="53"/>
  <c r="X36" i="53"/>
  <c r="W36" i="53"/>
  <c r="V36" i="53"/>
  <c r="U36" i="53"/>
  <c r="T36" i="53"/>
  <c r="S36" i="53"/>
  <c r="Q36" i="53"/>
  <c r="O36" i="53"/>
  <c r="M36" i="53"/>
  <c r="K36" i="53"/>
  <c r="X35" i="53"/>
  <c r="W35" i="53"/>
  <c r="V35" i="53"/>
  <c r="U35" i="53"/>
  <c r="T35" i="53"/>
  <c r="S35" i="53"/>
  <c r="Q35" i="53"/>
  <c r="O35" i="53"/>
  <c r="M35" i="53"/>
  <c r="K35" i="53"/>
  <c r="X34" i="53"/>
  <c r="W34" i="53"/>
  <c r="V34" i="53"/>
  <c r="U34" i="53"/>
  <c r="T34" i="53"/>
  <c r="S34" i="53"/>
  <c r="Q34" i="53"/>
  <c r="O34" i="53"/>
  <c r="M34" i="53"/>
  <c r="K34" i="53"/>
  <c r="X33" i="53"/>
  <c r="W33" i="53"/>
  <c r="V33" i="53"/>
  <c r="U33" i="53"/>
  <c r="T33" i="53"/>
  <c r="S33" i="53"/>
  <c r="Q33" i="53"/>
  <c r="O33" i="53"/>
  <c r="M33" i="53"/>
  <c r="K33" i="53"/>
  <c r="X32" i="53"/>
  <c r="W32" i="53"/>
  <c r="V32" i="53"/>
  <c r="U32" i="53"/>
  <c r="T32" i="53"/>
  <c r="S32" i="53"/>
  <c r="Q32" i="53"/>
  <c r="O32" i="53"/>
  <c r="M32" i="53"/>
  <c r="K32" i="53"/>
  <c r="X31" i="53"/>
  <c r="W31" i="53"/>
  <c r="V31" i="53"/>
  <c r="U31" i="53"/>
  <c r="T31" i="53"/>
  <c r="S31" i="53"/>
  <c r="Q31" i="53"/>
  <c r="O31" i="53"/>
  <c r="M31" i="53"/>
  <c r="K31" i="53"/>
  <c r="X30" i="53"/>
  <c r="W30" i="53"/>
  <c r="V30" i="53"/>
  <c r="U30" i="53"/>
  <c r="T30" i="53"/>
  <c r="S30" i="53"/>
  <c r="Q30" i="53"/>
  <c r="O30" i="53"/>
  <c r="M30" i="53"/>
  <c r="K30" i="53"/>
  <c r="X29" i="53"/>
  <c r="W29" i="53"/>
  <c r="V29" i="53"/>
  <c r="U29" i="53"/>
  <c r="T29" i="53"/>
  <c r="S29" i="53"/>
  <c r="Q29" i="53"/>
  <c r="O29" i="53"/>
  <c r="M29" i="53"/>
  <c r="K29" i="53"/>
  <c r="X28" i="53"/>
  <c r="W28" i="53"/>
  <c r="V28" i="53"/>
  <c r="U28" i="53"/>
  <c r="T28" i="53"/>
  <c r="S28" i="53"/>
  <c r="Q28" i="53"/>
  <c r="O28" i="53"/>
  <c r="M28" i="53"/>
  <c r="K28" i="53"/>
  <c r="X27" i="53"/>
  <c r="W27" i="53"/>
  <c r="V27" i="53"/>
  <c r="U27" i="53"/>
  <c r="T27" i="53"/>
  <c r="S27" i="53"/>
  <c r="Q27" i="53"/>
  <c r="O27" i="53"/>
  <c r="M27" i="53"/>
  <c r="K27" i="53"/>
  <c r="X26" i="53"/>
  <c r="W26" i="53"/>
  <c r="V26" i="53"/>
  <c r="U26" i="53"/>
  <c r="T26" i="53"/>
  <c r="S26" i="53"/>
  <c r="Q26" i="53"/>
  <c r="O26" i="53"/>
  <c r="M26" i="53"/>
  <c r="K26" i="53"/>
  <c r="X25" i="53"/>
  <c r="W25" i="53"/>
  <c r="V25" i="53"/>
  <c r="U25" i="53"/>
  <c r="T25" i="53"/>
  <c r="S25" i="53"/>
  <c r="Q25" i="53"/>
  <c r="O25" i="53"/>
  <c r="M25" i="53"/>
  <c r="K25" i="53"/>
  <c r="X24" i="53"/>
  <c r="W24" i="53"/>
  <c r="V24" i="53"/>
  <c r="U24" i="53"/>
  <c r="T24" i="53"/>
  <c r="S24" i="53"/>
  <c r="Q24" i="53"/>
  <c r="O24" i="53"/>
  <c r="M24" i="53"/>
  <c r="K24" i="53"/>
  <c r="X23" i="53"/>
  <c r="W23" i="53"/>
  <c r="V23" i="53"/>
  <c r="U23" i="53"/>
  <c r="T23" i="53"/>
  <c r="S23" i="53"/>
  <c r="Q23" i="53"/>
  <c r="O23" i="53"/>
  <c r="M23" i="53"/>
  <c r="K23" i="53"/>
  <c r="X22" i="53"/>
  <c r="W22" i="53"/>
  <c r="V22" i="53"/>
  <c r="U22" i="53"/>
  <c r="T22" i="53"/>
  <c r="S22" i="53"/>
  <c r="Q22" i="53"/>
  <c r="O22" i="53"/>
  <c r="M22" i="53"/>
  <c r="K22" i="53"/>
  <c r="X21" i="53"/>
  <c r="W21" i="53"/>
  <c r="V21" i="53"/>
  <c r="U21" i="53"/>
  <c r="T21" i="53"/>
  <c r="S21" i="53"/>
  <c r="Q21" i="53"/>
  <c r="O21" i="53"/>
  <c r="M21" i="53"/>
  <c r="K21" i="53"/>
  <c r="X20" i="53"/>
  <c r="W20" i="53"/>
  <c r="V20" i="53"/>
  <c r="U20" i="53"/>
  <c r="T20" i="53"/>
  <c r="S20" i="53"/>
  <c r="Q20" i="53"/>
  <c r="O20" i="53"/>
  <c r="M20" i="53"/>
  <c r="K20" i="53"/>
  <c r="X19" i="53"/>
  <c r="W19" i="53"/>
  <c r="V19" i="53"/>
  <c r="U19" i="53"/>
  <c r="T19" i="53"/>
  <c r="S19" i="53"/>
  <c r="Q19" i="53"/>
  <c r="O19" i="53"/>
  <c r="M19" i="53"/>
  <c r="K19" i="53"/>
  <c r="X18" i="53"/>
  <c r="W18" i="53"/>
  <c r="V18" i="53"/>
  <c r="U18" i="53"/>
  <c r="T18" i="53"/>
  <c r="S18" i="53"/>
  <c r="Q18" i="53"/>
  <c r="O18" i="53"/>
  <c r="M18" i="53"/>
  <c r="K18" i="53"/>
  <c r="X17" i="53"/>
  <c r="W17" i="53"/>
  <c r="V17" i="53"/>
  <c r="U17" i="53"/>
  <c r="T17" i="53"/>
  <c r="S17" i="53"/>
  <c r="Q17" i="53"/>
  <c r="O17" i="53"/>
  <c r="M17" i="53"/>
  <c r="K17" i="53"/>
  <c r="X16" i="53"/>
  <c r="W16" i="53"/>
  <c r="V16" i="53"/>
  <c r="U16" i="53"/>
  <c r="T16" i="53"/>
  <c r="S16" i="53"/>
  <c r="Q16" i="53"/>
  <c r="O16" i="53"/>
  <c r="M16" i="53"/>
  <c r="K16" i="53"/>
  <c r="X15" i="53"/>
  <c r="W15" i="53"/>
  <c r="V15" i="53"/>
  <c r="U15" i="53"/>
  <c r="T15" i="53"/>
  <c r="S15" i="53"/>
  <c r="Q15" i="53"/>
  <c r="O15" i="53"/>
  <c r="M15" i="53"/>
  <c r="K15" i="53"/>
  <c r="X14" i="53"/>
  <c r="W14" i="53"/>
  <c r="V14" i="53"/>
  <c r="U14" i="53"/>
  <c r="T14" i="53"/>
  <c r="S14" i="53"/>
  <c r="Q14" i="53"/>
  <c r="O14" i="53"/>
  <c r="M14" i="53"/>
  <c r="K14" i="53"/>
  <c r="X13" i="53"/>
  <c r="W13" i="53"/>
  <c r="V13" i="53"/>
  <c r="U13" i="53"/>
  <c r="T13" i="53"/>
  <c r="S13" i="53"/>
  <c r="Q13" i="53"/>
  <c r="O13" i="53"/>
  <c r="M13" i="53"/>
  <c r="K13" i="53"/>
  <c r="X12" i="53"/>
  <c r="W12" i="53"/>
  <c r="V12" i="53"/>
  <c r="U12" i="53"/>
  <c r="T12" i="53"/>
  <c r="S12" i="53"/>
  <c r="Q12" i="53"/>
  <c r="O12" i="53"/>
  <c r="M12" i="53"/>
  <c r="K12" i="53"/>
  <c r="X11" i="53"/>
  <c r="W11" i="53"/>
  <c r="V11" i="53"/>
  <c r="U11" i="53"/>
  <c r="T11" i="53"/>
  <c r="S11" i="53"/>
  <c r="Q11" i="53"/>
  <c r="O11" i="53"/>
  <c r="M11" i="53"/>
  <c r="K11" i="53"/>
  <c r="X10" i="53"/>
  <c r="W10" i="53"/>
  <c r="V10" i="53"/>
  <c r="U10" i="53"/>
  <c r="T10" i="53"/>
  <c r="S10" i="53"/>
  <c r="Q10" i="53"/>
  <c r="O10" i="53"/>
  <c r="M10" i="53"/>
  <c r="K10" i="53"/>
  <c r="X9" i="53"/>
  <c r="W9" i="53"/>
  <c r="V9" i="53"/>
  <c r="U9" i="53"/>
  <c r="T9" i="53"/>
  <c r="S9" i="53"/>
  <c r="Q9" i="53"/>
  <c r="O9" i="53"/>
  <c r="M9" i="53"/>
  <c r="K9" i="53"/>
  <c r="X8" i="53"/>
  <c r="W8" i="53"/>
  <c r="V8" i="53"/>
  <c r="U8" i="53"/>
  <c r="T8" i="53"/>
  <c r="S8" i="53"/>
  <c r="Q8" i="53"/>
  <c r="O8" i="53"/>
  <c r="M8" i="53"/>
  <c r="K8" i="53"/>
  <c r="X7" i="53"/>
  <c r="W7" i="53"/>
  <c r="V7" i="53"/>
  <c r="U7" i="53"/>
  <c r="T7" i="53"/>
  <c r="S7" i="53"/>
  <c r="Q7" i="53"/>
  <c r="O7" i="53"/>
  <c r="M7" i="53"/>
  <c r="K7" i="53"/>
  <c r="X389" i="52"/>
  <c r="W389" i="52"/>
  <c r="V389" i="52"/>
  <c r="U389" i="52"/>
  <c r="T389" i="52"/>
  <c r="S389" i="52"/>
  <c r="Q389" i="52"/>
  <c r="O389" i="52"/>
  <c r="M389" i="52"/>
  <c r="K389" i="52"/>
  <c r="X388" i="52"/>
  <c r="W388" i="52"/>
  <c r="V388" i="52"/>
  <c r="U388" i="52"/>
  <c r="T388" i="52"/>
  <c r="S388" i="52"/>
  <c r="Q388" i="52"/>
  <c r="O388" i="52"/>
  <c r="M388" i="52"/>
  <c r="K388" i="52"/>
  <c r="X387" i="52"/>
  <c r="W387" i="52"/>
  <c r="V387" i="52"/>
  <c r="U387" i="52"/>
  <c r="T387" i="52"/>
  <c r="S387" i="52"/>
  <c r="Q387" i="52"/>
  <c r="O387" i="52"/>
  <c r="M387" i="52"/>
  <c r="K387" i="52"/>
  <c r="X386" i="52"/>
  <c r="W386" i="52"/>
  <c r="V386" i="52"/>
  <c r="U386" i="52"/>
  <c r="T386" i="52"/>
  <c r="S386" i="52"/>
  <c r="Q386" i="52"/>
  <c r="O386" i="52"/>
  <c r="M386" i="52"/>
  <c r="K386" i="52"/>
  <c r="X385" i="52"/>
  <c r="W385" i="52"/>
  <c r="V385" i="52"/>
  <c r="U385" i="52"/>
  <c r="T385" i="52"/>
  <c r="S385" i="52"/>
  <c r="Q385" i="52"/>
  <c r="O385" i="52"/>
  <c r="M385" i="52"/>
  <c r="K385" i="52"/>
  <c r="X384" i="52"/>
  <c r="W384" i="52"/>
  <c r="V384" i="52"/>
  <c r="U384" i="52"/>
  <c r="T384" i="52"/>
  <c r="S384" i="52"/>
  <c r="Q384" i="52"/>
  <c r="O384" i="52"/>
  <c r="M384" i="52"/>
  <c r="K384" i="52"/>
  <c r="X383" i="52"/>
  <c r="W383" i="52"/>
  <c r="V383" i="52"/>
  <c r="U383" i="52"/>
  <c r="T383" i="52"/>
  <c r="S383" i="52"/>
  <c r="Q383" i="52"/>
  <c r="O383" i="52"/>
  <c r="M383" i="52"/>
  <c r="K383" i="52"/>
  <c r="X382" i="52"/>
  <c r="W382" i="52"/>
  <c r="V382" i="52"/>
  <c r="U382" i="52"/>
  <c r="T382" i="52"/>
  <c r="S382" i="52"/>
  <c r="Q382" i="52"/>
  <c r="O382" i="52"/>
  <c r="M382" i="52"/>
  <c r="K382" i="52"/>
  <c r="X381" i="52"/>
  <c r="W381" i="52"/>
  <c r="V381" i="52"/>
  <c r="U381" i="52"/>
  <c r="T381" i="52"/>
  <c r="S381" i="52"/>
  <c r="Q381" i="52"/>
  <c r="O381" i="52"/>
  <c r="M381" i="52"/>
  <c r="K381" i="52"/>
  <c r="X380" i="52"/>
  <c r="W380" i="52"/>
  <c r="V380" i="52"/>
  <c r="U380" i="52"/>
  <c r="T380" i="52"/>
  <c r="S380" i="52"/>
  <c r="Q380" i="52"/>
  <c r="O380" i="52"/>
  <c r="M380" i="52"/>
  <c r="K380" i="52"/>
  <c r="X379" i="52"/>
  <c r="W379" i="52"/>
  <c r="V379" i="52"/>
  <c r="U379" i="52"/>
  <c r="T379" i="52"/>
  <c r="S379" i="52"/>
  <c r="Q379" i="52"/>
  <c r="O379" i="52"/>
  <c r="M379" i="52"/>
  <c r="K379" i="52"/>
  <c r="X378" i="52"/>
  <c r="W378" i="52"/>
  <c r="V378" i="52"/>
  <c r="U378" i="52"/>
  <c r="T378" i="52"/>
  <c r="S378" i="52"/>
  <c r="Q378" i="52"/>
  <c r="O378" i="52"/>
  <c r="M378" i="52"/>
  <c r="K378" i="52"/>
  <c r="X377" i="52"/>
  <c r="W377" i="52"/>
  <c r="V377" i="52"/>
  <c r="U377" i="52"/>
  <c r="T377" i="52"/>
  <c r="S377" i="52"/>
  <c r="Q377" i="52"/>
  <c r="O377" i="52"/>
  <c r="M377" i="52"/>
  <c r="K377" i="52"/>
  <c r="X376" i="52"/>
  <c r="W376" i="52"/>
  <c r="V376" i="52"/>
  <c r="U376" i="52"/>
  <c r="T376" i="52"/>
  <c r="S376" i="52"/>
  <c r="Q376" i="52"/>
  <c r="O376" i="52"/>
  <c r="M376" i="52"/>
  <c r="K376" i="52"/>
  <c r="X375" i="52"/>
  <c r="W375" i="52"/>
  <c r="V375" i="52"/>
  <c r="U375" i="52"/>
  <c r="T375" i="52"/>
  <c r="S375" i="52"/>
  <c r="Q375" i="52"/>
  <c r="O375" i="52"/>
  <c r="M375" i="52"/>
  <c r="K375" i="52"/>
  <c r="X374" i="52"/>
  <c r="W374" i="52"/>
  <c r="V374" i="52"/>
  <c r="U374" i="52"/>
  <c r="T374" i="52"/>
  <c r="S374" i="52"/>
  <c r="Q374" i="52"/>
  <c r="O374" i="52"/>
  <c r="M374" i="52"/>
  <c r="K374" i="52"/>
  <c r="X373" i="52"/>
  <c r="W373" i="52"/>
  <c r="V373" i="52"/>
  <c r="U373" i="52"/>
  <c r="T373" i="52"/>
  <c r="S373" i="52"/>
  <c r="Q373" i="52"/>
  <c r="O373" i="52"/>
  <c r="M373" i="52"/>
  <c r="K373" i="52"/>
  <c r="X372" i="52"/>
  <c r="W372" i="52"/>
  <c r="V372" i="52"/>
  <c r="U372" i="52"/>
  <c r="T372" i="52"/>
  <c r="S372" i="52"/>
  <c r="Q372" i="52"/>
  <c r="O372" i="52"/>
  <c r="M372" i="52"/>
  <c r="K372" i="52"/>
  <c r="X371" i="52"/>
  <c r="W371" i="52"/>
  <c r="V371" i="52"/>
  <c r="U371" i="52"/>
  <c r="T371" i="52"/>
  <c r="S371" i="52"/>
  <c r="Q371" i="52"/>
  <c r="O371" i="52"/>
  <c r="M371" i="52"/>
  <c r="K371" i="52"/>
  <c r="X370" i="52"/>
  <c r="W370" i="52"/>
  <c r="V370" i="52"/>
  <c r="U370" i="52"/>
  <c r="T370" i="52"/>
  <c r="S370" i="52"/>
  <c r="Q370" i="52"/>
  <c r="O370" i="52"/>
  <c r="M370" i="52"/>
  <c r="K370" i="52"/>
  <c r="X369" i="52"/>
  <c r="W369" i="52"/>
  <c r="V369" i="52"/>
  <c r="U369" i="52"/>
  <c r="T369" i="52"/>
  <c r="S369" i="52"/>
  <c r="Q369" i="52"/>
  <c r="O369" i="52"/>
  <c r="M369" i="52"/>
  <c r="K369" i="52"/>
  <c r="X368" i="52"/>
  <c r="W368" i="52"/>
  <c r="V368" i="52"/>
  <c r="U368" i="52"/>
  <c r="T368" i="52"/>
  <c r="S368" i="52"/>
  <c r="Q368" i="52"/>
  <c r="O368" i="52"/>
  <c r="M368" i="52"/>
  <c r="K368" i="52"/>
  <c r="X367" i="52"/>
  <c r="W367" i="52"/>
  <c r="V367" i="52"/>
  <c r="U367" i="52"/>
  <c r="T367" i="52"/>
  <c r="S367" i="52"/>
  <c r="Q367" i="52"/>
  <c r="O367" i="52"/>
  <c r="M367" i="52"/>
  <c r="K367" i="52"/>
  <c r="X366" i="52"/>
  <c r="W366" i="52"/>
  <c r="V366" i="52"/>
  <c r="U366" i="52"/>
  <c r="T366" i="52"/>
  <c r="S366" i="52"/>
  <c r="Q366" i="52"/>
  <c r="O366" i="52"/>
  <c r="M366" i="52"/>
  <c r="K366" i="52"/>
  <c r="X365" i="52"/>
  <c r="W365" i="52"/>
  <c r="V365" i="52"/>
  <c r="U365" i="52"/>
  <c r="T365" i="52"/>
  <c r="S365" i="52"/>
  <c r="Q365" i="52"/>
  <c r="O365" i="52"/>
  <c r="M365" i="52"/>
  <c r="K365" i="52"/>
  <c r="X364" i="52"/>
  <c r="W364" i="52"/>
  <c r="V364" i="52"/>
  <c r="U364" i="52"/>
  <c r="T364" i="52"/>
  <c r="S364" i="52"/>
  <c r="Q364" i="52"/>
  <c r="O364" i="52"/>
  <c r="M364" i="52"/>
  <c r="K364" i="52"/>
  <c r="X363" i="52"/>
  <c r="W363" i="52"/>
  <c r="V363" i="52"/>
  <c r="U363" i="52"/>
  <c r="T363" i="52"/>
  <c r="S363" i="52"/>
  <c r="Q363" i="52"/>
  <c r="O363" i="52"/>
  <c r="M363" i="52"/>
  <c r="K363" i="52"/>
  <c r="X362" i="52"/>
  <c r="W362" i="52"/>
  <c r="V362" i="52"/>
  <c r="U362" i="52"/>
  <c r="T362" i="52"/>
  <c r="S362" i="52"/>
  <c r="Q362" i="52"/>
  <c r="O362" i="52"/>
  <c r="M362" i="52"/>
  <c r="K362" i="52"/>
  <c r="X361" i="52"/>
  <c r="W361" i="52"/>
  <c r="V361" i="52"/>
  <c r="U361" i="52"/>
  <c r="T361" i="52"/>
  <c r="S361" i="52"/>
  <c r="Q361" i="52"/>
  <c r="O361" i="52"/>
  <c r="M361" i="52"/>
  <c r="K361" i="52"/>
  <c r="X360" i="52"/>
  <c r="W360" i="52"/>
  <c r="V360" i="52"/>
  <c r="U360" i="52"/>
  <c r="T360" i="52"/>
  <c r="S360" i="52"/>
  <c r="Q360" i="52"/>
  <c r="O360" i="52"/>
  <c r="M360" i="52"/>
  <c r="K360" i="52"/>
  <c r="X359" i="52"/>
  <c r="W359" i="52"/>
  <c r="V359" i="52"/>
  <c r="U359" i="52"/>
  <c r="T359" i="52"/>
  <c r="S359" i="52"/>
  <c r="Q359" i="52"/>
  <c r="O359" i="52"/>
  <c r="M359" i="52"/>
  <c r="K359" i="52"/>
  <c r="X358" i="52"/>
  <c r="W358" i="52"/>
  <c r="V358" i="52"/>
  <c r="U358" i="52"/>
  <c r="T358" i="52"/>
  <c r="S358" i="52"/>
  <c r="Q358" i="52"/>
  <c r="O358" i="52"/>
  <c r="M358" i="52"/>
  <c r="K358" i="52"/>
  <c r="X357" i="52"/>
  <c r="W357" i="52"/>
  <c r="V357" i="52"/>
  <c r="U357" i="52"/>
  <c r="T357" i="52"/>
  <c r="S357" i="52"/>
  <c r="Q357" i="52"/>
  <c r="O357" i="52"/>
  <c r="M357" i="52"/>
  <c r="K357" i="52"/>
  <c r="X356" i="52"/>
  <c r="W356" i="52"/>
  <c r="V356" i="52"/>
  <c r="U356" i="52"/>
  <c r="T356" i="52"/>
  <c r="S356" i="52"/>
  <c r="Q356" i="52"/>
  <c r="O356" i="52"/>
  <c r="M356" i="52"/>
  <c r="K356" i="52"/>
  <c r="X355" i="52"/>
  <c r="W355" i="52"/>
  <c r="V355" i="52"/>
  <c r="U355" i="52"/>
  <c r="T355" i="52"/>
  <c r="S355" i="52"/>
  <c r="Q355" i="52"/>
  <c r="O355" i="52"/>
  <c r="M355" i="52"/>
  <c r="K355" i="52"/>
  <c r="X354" i="52"/>
  <c r="W354" i="52"/>
  <c r="V354" i="52"/>
  <c r="U354" i="52"/>
  <c r="T354" i="52"/>
  <c r="S354" i="52"/>
  <c r="Q354" i="52"/>
  <c r="O354" i="52"/>
  <c r="M354" i="52"/>
  <c r="K354" i="52"/>
  <c r="X353" i="52"/>
  <c r="W353" i="52"/>
  <c r="V353" i="52"/>
  <c r="U353" i="52"/>
  <c r="T353" i="52"/>
  <c r="S353" i="52"/>
  <c r="Q353" i="52"/>
  <c r="O353" i="52"/>
  <c r="M353" i="52"/>
  <c r="K353" i="52"/>
  <c r="X352" i="52"/>
  <c r="W352" i="52"/>
  <c r="V352" i="52"/>
  <c r="U352" i="52"/>
  <c r="T352" i="52"/>
  <c r="S352" i="52"/>
  <c r="Q352" i="52"/>
  <c r="O352" i="52"/>
  <c r="M352" i="52"/>
  <c r="K352" i="52"/>
  <c r="X351" i="52"/>
  <c r="W351" i="52"/>
  <c r="V351" i="52"/>
  <c r="U351" i="52"/>
  <c r="T351" i="52"/>
  <c r="S351" i="52"/>
  <c r="Q351" i="52"/>
  <c r="O351" i="52"/>
  <c r="M351" i="52"/>
  <c r="K351" i="52"/>
  <c r="X350" i="52"/>
  <c r="W350" i="52"/>
  <c r="V350" i="52"/>
  <c r="U350" i="52"/>
  <c r="T350" i="52"/>
  <c r="S350" i="52"/>
  <c r="Q350" i="52"/>
  <c r="O350" i="52"/>
  <c r="M350" i="52"/>
  <c r="K350" i="52"/>
  <c r="X349" i="52"/>
  <c r="W349" i="52"/>
  <c r="V349" i="52"/>
  <c r="U349" i="52"/>
  <c r="T349" i="52"/>
  <c r="S349" i="52"/>
  <c r="Q349" i="52"/>
  <c r="O349" i="52"/>
  <c r="M349" i="52"/>
  <c r="K349" i="52"/>
  <c r="X348" i="52"/>
  <c r="W348" i="52"/>
  <c r="V348" i="52"/>
  <c r="U348" i="52"/>
  <c r="T348" i="52"/>
  <c r="S348" i="52"/>
  <c r="Q348" i="52"/>
  <c r="O348" i="52"/>
  <c r="M348" i="52"/>
  <c r="K348" i="52"/>
  <c r="X347" i="52"/>
  <c r="W347" i="52"/>
  <c r="V347" i="52"/>
  <c r="U347" i="52"/>
  <c r="T347" i="52"/>
  <c r="S347" i="52"/>
  <c r="Q347" i="52"/>
  <c r="O347" i="52"/>
  <c r="M347" i="52"/>
  <c r="K347" i="52"/>
  <c r="X346" i="52"/>
  <c r="W346" i="52"/>
  <c r="V346" i="52"/>
  <c r="U346" i="52"/>
  <c r="T346" i="52"/>
  <c r="S346" i="52"/>
  <c r="Q346" i="52"/>
  <c r="O346" i="52"/>
  <c r="M346" i="52"/>
  <c r="K346" i="52"/>
  <c r="X345" i="52"/>
  <c r="W345" i="52"/>
  <c r="V345" i="52"/>
  <c r="U345" i="52"/>
  <c r="T345" i="52"/>
  <c r="S345" i="52"/>
  <c r="Q345" i="52"/>
  <c r="O345" i="52"/>
  <c r="M345" i="52"/>
  <c r="K345" i="52"/>
  <c r="X344" i="52"/>
  <c r="W344" i="52"/>
  <c r="V344" i="52"/>
  <c r="U344" i="52"/>
  <c r="T344" i="52"/>
  <c r="S344" i="52"/>
  <c r="Q344" i="52"/>
  <c r="O344" i="52"/>
  <c r="M344" i="52"/>
  <c r="K344" i="52"/>
  <c r="X343" i="52"/>
  <c r="W343" i="52"/>
  <c r="V343" i="52"/>
  <c r="U343" i="52"/>
  <c r="T343" i="52"/>
  <c r="S343" i="52"/>
  <c r="Q343" i="52"/>
  <c r="O343" i="52"/>
  <c r="M343" i="52"/>
  <c r="K343" i="52"/>
  <c r="X342" i="52"/>
  <c r="W342" i="52"/>
  <c r="V342" i="52"/>
  <c r="U342" i="52"/>
  <c r="T342" i="52"/>
  <c r="S342" i="52"/>
  <c r="Q342" i="52"/>
  <c r="O342" i="52"/>
  <c r="M342" i="52"/>
  <c r="K342" i="52"/>
  <c r="X341" i="52"/>
  <c r="W341" i="52"/>
  <c r="V341" i="52"/>
  <c r="U341" i="52"/>
  <c r="T341" i="52"/>
  <c r="S341" i="52"/>
  <c r="Q341" i="52"/>
  <c r="O341" i="52"/>
  <c r="M341" i="52"/>
  <c r="K341" i="52"/>
  <c r="X340" i="52"/>
  <c r="W340" i="52"/>
  <c r="V340" i="52"/>
  <c r="U340" i="52"/>
  <c r="T340" i="52"/>
  <c r="S340" i="52"/>
  <c r="Q340" i="52"/>
  <c r="O340" i="52"/>
  <c r="M340" i="52"/>
  <c r="K340" i="52"/>
  <c r="X339" i="52"/>
  <c r="W339" i="52"/>
  <c r="V339" i="52"/>
  <c r="U339" i="52"/>
  <c r="T339" i="52"/>
  <c r="S339" i="52"/>
  <c r="Q339" i="52"/>
  <c r="O339" i="52"/>
  <c r="M339" i="52"/>
  <c r="K339" i="52"/>
  <c r="X338" i="52"/>
  <c r="W338" i="52"/>
  <c r="V338" i="52"/>
  <c r="U338" i="52"/>
  <c r="T338" i="52"/>
  <c r="S338" i="52"/>
  <c r="Q338" i="52"/>
  <c r="O338" i="52"/>
  <c r="M338" i="52"/>
  <c r="K338" i="52"/>
  <c r="X337" i="52"/>
  <c r="W337" i="52"/>
  <c r="V337" i="52"/>
  <c r="U337" i="52"/>
  <c r="T337" i="52"/>
  <c r="S337" i="52"/>
  <c r="Q337" i="52"/>
  <c r="O337" i="52"/>
  <c r="M337" i="52"/>
  <c r="K337" i="52"/>
  <c r="X336" i="52"/>
  <c r="W336" i="52"/>
  <c r="V336" i="52"/>
  <c r="U336" i="52"/>
  <c r="T336" i="52"/>
  <c r="S336" i="52"/>
  <c r="Q336" i="52"/>
  <c r="O336" i="52"/>
  <c r="M336" i="52"/>
  <c r="K336" i="52"/>
  <c r="X335" i="52"/>
  <c r="W335" i="52"/>
  <c r="V335" i="52"/>
  <c r="U335" i="52"/>
  <c r="T335" i="52"/>
  <c r="S335" i="52"/>
  <c r="Q335" i="52"/>
  <c r="O335" i="52"/>
  <c r="M335" i="52"/>
  <c r="K335" i="52"/>
  <c r="X334" i="52"/>
  <c r="W334" i="52"/>
  <c r="V334" i="52"/>
  <c r="U334" i="52"/>
  <c r="T334" i="52"/>
  <c r="S334" i="52"/>
  <c r="Q334" i="52"/>
  <c r="O334" i="52"/>
  <c r="M334" i="52"/>
  <c r="K334" i="52"/>
  <c r="X333" i="52"/>
  <c r="W333" i="52"/>
  <c r="V333" i="52"/>
  <c r="U333" i="52"/>
  <c r="T333" i="52"/>
  <c r="S333" i="52"/>
  <c r="Q333" i="52"/>
  <c r="O333" i="52"/>
  <c r="M333" i="52"/>
  <c r="K333" i="52"/>
  <c r="X332" i="52"/>
  <c r="W332" i="52"/>
  <c r="V332" i="52"/>
  <c r="U332" i="52"/>
  <c r="T332" i="52"/>
  <c r="S332" i="52"/>
  <c r="Q332" i="52"/>
  <c r="O332" i="52"/>
  <c r="M332" i="52"/>
  <c r="K332" i="52"/>
  <c r="X331" i="52"/>
  <c r="W331" i="52"/>
  <c r="V331" i="52"/>
  <c r="U331" i="52"/>
  <c r="T331" i="52"/>
  <c r="S331" i="52"/>
  <c r="Q331" i="52"/>
  <c r="O331" i="52"/>
  <c r="M331" i="52"/>
  <c r="K331" i="52"/>
  <c r="X330" i="52"/>
  <c r="W330" i="52"/>
  <c r="V330" i="52"/>
  <c r="U330" i="52"/>
  <c r="T330" i="52"/>
  <c r="S330" i="52"/>
  <c r="Q330" i="52"/>
  <c r="O330" i="52"/>
  <c r="M330" i="52"/>
  <c r="K330" i="52"/>
  <c r="X329" i="52"/>
  <c r="W329" i="52"/>
  <c r="V329" i="52"/>
  <c r="U329" i="52"/>
  <c r="T329" i="52"/>
  <c r="S329" i="52"/>
  <c r="Q329" i="52"/>
  <c r="O329" i="52"/>
  <c r="M329" i="52"/>
  <c r="K329" i="52"/>
  <c r="X328" i="52"/>
  <c r="W328" i="52"/>
  <c r="V328" i="52"/>
  <c r="U328" i="52"/>
  <c r="T328" i="52"/>
  <c r="S328" i="52"/>
  <c r="Q328" i="52"/>
  <c r="O328" i="52"/>
  <c r="M328" i="52"/>
  <c r="K328" i="52"/>
  <c r="X327" i="52"/>
  <c r="W327" i="52"/>
  <c r="V327" i="52"/>
  <c r="U327" i="52"/>
  <c r="T327" i="52"/>
  <c r="S327" i="52"/>
  <c r="Q327" i="52"/>
  <c r="O327" i="52"/>
  <c r="M327" i="52"/>
  <c r="K327" i="52"/>
  <c r="X326" i="52"/>
  <c r="W326" i="52"/>
  <c r="V326" i="52"/>
  <c r="U326" i="52"/>
  <c r="T326" i="52"/>
  <c r="S326" i="52"/>
  <c r="Q326" i="52"/>
  <c r="O326" i="52"/>
  <c r="M326" i="52"/>
  <c r="K326" i="52"/>
  <c r="X325" i="52"/>
  <c r="W325" i="52"/>
  <c r="V325" i="52"/>
  <c r="U325" i="52"/>
  <c r="T325" i="52"/>
  <c r="S325" i="52"/>
  <c r="Q325" i="52"/>
  <c r="O325" i="52"/>
  <c r="M325" i="52"/>
  <c r="K325" i="52"/>
  <c r="X324" i="52"/>
  <c r="W324" i="52"/>
  <c r="V324" i="52"/>
  <c r="U324" i="52"/>
  <c r="T324" i="52"/>
  <c r="S324" i="52"/>
  <c r="Q324" i="52"/>
  <c r="O324" i="52"/>
  <c r="M324" i="52"/>
  <c r="K324" i="52"/>
  <c r="X323" i="52"/>
  <c r="W323" i="52"/>
  <c r="V323" i="52"/>
  <c r="U323" i="52"/>
  <c r="T323" i="52"/>
  <c r="S323" i="52"/>
  <c r="Q323" i="52"/>
  <c r="O323" i="52"/>
  <c r="M323" i="52"/>
  <c r="K323" i="52"/>
  <c r="X322" i="52"/>
  <c r="W322" i="52"/>
  <c r="V322" i="52"/>
  <c r="U322" i="52"/>
  <c r="T322" i="52"/>
  <c r="S322" i="52"/>
  <c r="Q322" i="52"/>
  <c r="O322" i="52"/>
  <c r="M322" i="52"/>
  <c r="K322" i="52"/>
  <c r="X321" i="52"/>
  <c r="W321" i="52"/>
  <c r="V321" i="52"/>
  <c r="U321" i="52"/>
  <c r="T321" i="52"/>
  <c r="S321" i="52"/>
  <c r="Q321" i="52"/>
  <c r="O321" i="52"/>
  <c r="M321" i="52"/>
  <c r="K321" i="52"/>
  <c r="X320" i="52"/>
  <c r="W320" i="52"/>
  <c r="V320" i="52"/>
  <c r="U320" i="52"/>
  <c r="T320" i="52"/>
  <c r="S320" i="52"/>
  <c r="Q320" i="52"/>
  <c r="O320" i="52"/>
  <c r="M320" i="52"/>
  <c r="K320" i="52"/>
  <c r="X319" i="52"/>
  <c r="W319" i="52"/>
  <c r="V319" i="52"/>
  <c r="U319" i="52"/>
  <c r="T319" i="52"/>
  <c r="S319" i="52"/>
  <c r="Q319" i="52"/>
  <c r="O319" i="52"/>
  <c r="M319" i="52"/>
  <c r="K319" i="52"/>
  <c r="X318" i="52"/>
  <c r="W318" i="52"/>
  <c r="V318" i="52"/>
  <c r="U318" i="52"/>
  <c r="T318" i="52"/>
  <c r="S318" i="52"/>
  <c r="Q318" i="52"/>
  <c r="O318" i="52"/>
  <c r="M318" i="52"/>
  <c r="K318" i="52"/>
  <c r="X317" i="52"/>
  <c r="W317" i="52"/>
  <c r="V317" i="52"/>
  <c r="U317" i="52"/>
  <c r="T317" i="52"/>
  <c r="S317" i="52"/>
  <c r="Q317" i="52"/>
  <c r="O317" i="52"/>
  <c r="M317" i="52"/>
  <c r="K317" i="52"/>
  <c r="X316" i="52"/>
  <c r="W316" i="52"/>
  <c r="V316" i="52"/>
  <c r="U316" i="52"/>
  <c r="T316" i="52"/>
  <c r="S316" i="52"/>
  <c r="Q316" i="52"/>
  <c r="O316" i="52"/>
  <c r="M316" i="52"/>
  <c r="K316" i="52"/>
  <c r="X315" i="52"/>
  <c r="W315" i="52"/>
  <c r="V315" i="52"/>
  <c r="U315" i="52"/>
  <c r="T315" i="52"/>
  <c r="S315" i="52"/>
  <c r="Q315" i="52"/>
  <c r="O315" i="52"/>
  <c r="M315" i="52"/>
  <c r="K315" i="52"/>
  <c r="X314" i="52"/>
  <c r="W314" i="52"/>
  <c r="V314" i="52"/>
  <c r="U314" i="52"/>
  <c r="T314" i="52"/>
  <c r="S314" i="52"/>
  <c r="Q314" i="52"/>
  <c r="O314" i="52"/>
  <c r="M314" i="52"/>
  <c r="K314" i="52"/>
  <c r="X313" i="52"/>
  <c r="W313" i="52"/>
  <c r="V313" i="52"/>
  <c r="U313" i="52"/>
  <c r="T313" i="52"/>
  <c r="S313" i="52"/>
  <c r="Q313" i="52"/>
  <c r="O313" i="52"/>
  <c r="M313" i="52"/>
  <c r="K313" i="52"/>
  <c r="X312" i="52"/>
  <c r="W312" i="52"/>
  <c r="V312" i="52"/>
  <c r="U312" i="52"/>
  <c r="T312" i="52"/>
  <c r="S312" i="52"/>
  <c r="Q312" i="52"/>
  <c r="O312" i="52"/>
  <c r="M312" i="52"/>
  <c r="K312" i="52"/>
  <c r="X311" i="52"/>
  <c r="W311" i="52"/>
  <c r="V311" i="52"/>
  <c r="U311" i="52"/>
  <c r="T311" i="52"/>
  <c r="S311" i="52"/>
  <c r="Q311" i="52"/>
  <c r="O311" i="52"/>
  <c r="M311" i="52"/>
  <c r="K311" i="52"/>
  <c r="X310" i="52"/>
  <c r="W310" i="52"/>
  <c r="V310" i="52"/>
  <c r="U310" i="52"/>
  <c r="T310" i="52"/>
  <c r="S310" i="52"/>
  <c r="Q310" i="52"/>
  <c r="O310" i="52"/>
  <c r="M310" i="52"/>
  <c r="K310" i="52"/>
  <c r="X309" i="52"/>
  <c r="W309" i="52"/>
  <c r="V309" i="52"/>
  <c r="U309" i="52"/>
  <c r="T309" i="52"/>
  <c r="S309" i="52"/>
  <c r="Q309" i="52"/>
  <c r="O309" i="52"/>
  <c r="M309" i="52"/>
  <c r="K309" i="52"/>
  <c r="X308" i="52"/>
  <c r="W308" i="52"/>
  <c r="V308" i="52"/>
  <c r="U308" i="52"/>
  <c r="T308" i="52"/>
  <c r="S308" i="52"/>
  <c r="Q308" i="52"/>
  <c r="O308" i="52"/>
  <c r="M308" i="52"/>
  <c r="K308" i="52"/>
  <c r="X307" i="52"/>
  <c r="W307" i="52"/>
  <c r="V307" i="52"/>
  <c r="U307" i="52"/>
  <c r="T307" i="52"/>
  <c r="S307" i="52"/>
  <c r="Q307" i="52"/>
  <c r="O307" i="52"/>
  <c r="M307" i="52"/>
  <c r="K307" i="52"/>
  <c r="X306" i="52"/>
  <c r="W306" i="52"/>
  <c r="V306" i="52"/>
  <c r="U306" i="52"/>
  <c r="T306" i="52"/>
  <c r="S306" i="52"/>
  <c r="Q306" i="52"/>
  <c r="O306" i="52"/>
  <c r="M306" i="52"/>
  <c r="K306" i="52"/>
  <c r="X305" i="52"/>
  <c r="W305" i="52"/>
  <c r="V305" i="52"/>
  <c r="U305" i="52"/>
  <c r="T305" i="52"/>
  <c r="S305" i="52"/>
  <c r="Q305" i="52"/>
  <c r="O305" i="52"/>
  <c r="M305" i="52"/>
  <c r="K305" i="52"/>
  <c r="X304" i="52"/>
  <c r="W304" i="52"/>
  <c r="V304" i="52"/>
  <c r="U304" i="52"/>
  <c r="T304" i="52"/>
  <c r="S304" i="52"/>
  <c r="Q304" i="52"/>
  <c r="O304" i="52"/>
  <c r="M304" i="52"/>
  <c r="K304" i="52"/>
  <c r="X303" i="52"/>
  <c r="W303" i="52"/>
  <c r="V303" i="52"/>
  <c r="U303" i="52"/>
  <c r="T303" i="52"/>
  <c r="S303" i="52"/>
  <c r="Q303" i="52"/>
  <c r="O303" i="52"/>
  <c r="M303" i="52"/>
  <c r="K303" i="52"/>
  <c r="X302" i="52"/>
  <c r="W302" i="52"/>
  <c r="V302" i="52"/>
  <c r="U302" i="52"/>
  <c r="T302" i="52"/>
  <c r="S302" i="52"/>
  <c r="Q302" i="52"/>
  <c r="O302" i="52"/>
  <c r="M302" i="52"/>
  <c r="K302" i="52"/>
  <c r="X301" i="52"/>
  <c r="W301" i="52"/>
  <c r="V301" i="52"/>
  <c r="U301" i="52"/>
  <c r="T301" i="52"/>
  <c r="S301" i="52"/>
  <c r="Q301" i="52"/>
  <c r="O301" i="52"/>
  <c r="M301" i="52"/>
  <c r="K301" i="52"/>
  <c r="X300" i="52"/>
  <c r="W300" i="52"/>
  <c r="V300" i="52"/>
  <c r="U300" i="52"/>
  <c r="T300" i="52"/>
  <c r="S300" i="52"/>
  <c r="Q300" i="52"/>
  <c r="O300" i="52"/>
  <c r="M300" i="52"/>
  <c r="K300" i="52"/>
  <c r="X299" i="52"/>
  <c r="W299" i="52"/>
  <c r="V299" i="52"/>
  <c r="U299" i="52"/>
  <c r="T299" i="52"/>
  <c r="S299" i="52"/>
  <c r="Q299" i="52"/>
  <c r="O299" i="52"/>
  <c r="M299" i="52"/>
  <c r="K299" i="52"/>
  <c r="X298" i="52"/>
  <c r="W298" i="52"/>
  <c r="V298" i="52"/>
  <c r="U298" i="52"/>
  <c r="T298" i="52"/>
  <c r="S298" i="52"/>
  <c r="Q298" i="52"/>
  <c r="O298" i="52"/>
  <c r="M298" i="52"/>
  <c r="K298" i="52"/>
  <c r="X297" i="52"/>
  <c r="W297" i="52"/>
  <c r="V297" i="52"/>
  <c r="U297" i="52"/>
  <c r="T297" i="52"/>
  <c r="S297" i="52"/>
  <c r="Q297" i="52"/>
  <c r="O297" i="52"/>
  <c r="M297" i="52"/>
  <c r="K297" i="52"/>
  <c r="X296" i="52"/>
  <c r="W296" i="52"/>
  <c r="V296" i="52"/>
  <c r="U296" i="52"/>
  <c r="T296" i="52"/>
  <c r="S296" i="52"/>
  <c r="Q296" i="52"/>
  <c r="O296" i="52"/>
  <c r="M296" i="52"/>
  <c r="K296" i="52"/>
  <c r="X295" i="52"/>
  <c r="W295" i="52"/>
  <c r="V295" i="52"/>
  <c r="U295" i="52"/>
  <c r="T295" i="52"/>
  <c r="S295" i="52"/>
  <c r="Q295" i="52"/>
  <c r="O295" i="52"/>
  <c r="M295" i="52"/>
  <c r="K295" i="52"/>
  <c r="X294" i="52"/>
  <c r="W294" i="52"/>
  <c r="V294" i="52"/>
  <c r="U294" i="52"/>
  <c r="T294" i="52"/>
  <c r="S294" i="52"/>
  <c r="Q294" i="52"/>
  <c r="O294" i="52"/>
  <c r="M294" i="52"/>
  <c r="K294" i="52"/>
  <c r="X293" i="52"/>
  <c r="W293" i="52"/>
  <c r="V293" i="52"/>
  <c r="U293" i="52"/>
  <c r="T293" i="52"/>
  <c r="S293" i="52"/>
  <c r="Q293" i="52"/>
  <c r="O293" i="52"/>
  <c r="M293" i="52"/>
  <c r="K293" i="52"/>
  <c r="X292" i="52"/>
  <c r="W292" i="52"/>
  <c r="V292" i="52"/>
  <c r="U292" i="52"/>
  <c r="T292" i="52"/>
  <c r="S292" i="52"/>
  <c r="Q292" i="52"/>
  <c r="O292" i="52"/>
  <c r="M292" i="52"/>
  <c r="K292" i="52"/>
  <c r="X291" i="52"/>
  <c r="W291" i="52"/>
  <c r="V291" i="52"/>
  <c r="U291" i="52"/>
  <c r="T291" i="52"/>
  <c r="S291" i="52"/>
  <c r="Q291" i="52"/>
  <c r="O291" i="52"/>
  <c r="M291" i="52"/>
  <c r="K291" i="52"/>
  <c r="X290" i="52"/>
  <c r="W290" i="52"/>
  <c r="V290" i="52"/>
  <c r="U290" i="52"/>
  <c r="T290" i="52"/>
  <c r="S290" i="52"/>
  <c r="Q290" i="52"/>
  <c r="O290" i="52"/>
  <c r="M290" i="52"/>
  <c r="K290" i="52"/>
  <c r="X289" i="52"/>
  <c r="W289" i="52"/>
  <c r="V289" i="52"/>
  <c r="U289" i="52"/>
  <c r="T289" i="52"/>
  <c r="S289" i="52"/>
  <c r="Q289" i="52"/>
  <c r="O289" i="52"/>
  <c r="M289" i="52"/>
  <c r="K289" i="52"/>
  <c r="X288" i="52"/>
  <c r="W288" i="52"/>
  <c r="V288" i="52"/>
  <c r="U288" i="52"/>
  <c r="T288" i="52"/>
  <c r="S288" i="52"/>
  <c r="Q288" i="52"/>
  <c r="O288" i="52"/>
  <c r="M288" i="52"/>
  <c r="K288" i="52"/>
  <c r="X287" i="52"/>
  <c r="W287" i="52"/>
  <c r="V287" i="52"/>
  <c r="U287" i="52"/>
  <c r="T287" i="52"/>
  <c r="S287" i="52"/>
  <c r="Q287" i="52"/>
  <c r="O287" i="52"/>
  <c r="M287" i="52"/>
  <c r="K287" i="52"/>
  <c r="X286" i="52"/>
  <c r="W286" i="52"/>
  <c r="V286" i="52"/>
  <c r="U286" i="52"/>
  <c r="T286" i="52"/>
  <c r="S286" i="52"/>
  <c r="Q286" i="52"/>
  <c r="O286" i="52"/>
  <c r="M286" i="52"/>
  <c r="K286" i="52"/>
  <c r="X285" i="52"/>
  <c r="W285" i="52"/>
  <c r="V285" i="52"/>
  <c r="U285" i="52"/>
  <c r="T285" i="52"/>
  <c r="S285" i="52"/>
  <c r="Q285" i="52"/>
  <c r="O285" i="52"/>
  <c r="M285" i="52"/>
  <c r="K285" i="52"/>
  <c r="X284" i="52"/>
  <c r="W284" i="52"/>
  <c r="V284" i="52"/>
  <c r="U284" i="52"/>
  <c r="T284" i="52"/>
  <c r="S284" i="52"/>
  <c r="Q284" i="52"/>
  <c r="O284" i="52"/>
  <c r="M284" i="52"/>
  <c r="K284" i="52"/>
  <c r="X283" i="52"/>
  <c r="W283" i="52"/>
  <c r="V283" i="52"/>
  <c r="U283" i="52"/>
  <c r="T283" i="52"/>
  <c r="S283" i="52"/>
  <c r="Q283" i="52"/>
  <c r="O283" i="52"/>
  <c r="M283" i="52"/>
  <c r="K283" i="52"/>
  <c r="X282" i="52"/>
  <c r="W282" i="52"/>
  <c r="V282" i="52"/>
  <c r="U282" i="52"/>
  <c r="T282" i="52"/>
  <c r="S282" i="52"/>
  <c r="Q282" i="52"/>
  <c r="O282" i="52"/>
  <c r="M282" i="52"/>
  <c r="K282" i="52"/>
  <c r="X281" i="52"/>
  <c r="W281" i="52"/>
  <c r="V281" i="52"/>
  <c r="U281" i="52"/>
  <c r="T281" i="52"/>
  <c r="S281" i="52"/>
  <c r="Q281" i="52"/>
  <c r="O281" i="52"/>
  <c r="M281" i="52"/>
  <c r="K281" i="52"/>
  <c r="X280" i="52"/>
  <c r="W280" i="52"/>
  <c r="V280" i="52"/>
  <c r="U280" i="52"/>
  <c r="T280" i="52"/>
  <c r="S280" i="52"/>
  <c r="Q280" i="52"/>
  <c r="O280" i="52"/>
  <c r="M280" i="52"/>
  <c r="K280" i="52"/>
  <c r="X279" i="52"/>
  <c r="W279" i="52"/>
  <c r="V279" i="52"/>
  <c r="U279" i="52"/>
  <c r="T279" i="52"/>
  <c r="S279" i="52"/>
  <c r="Q279" i="52"/>
  <c r="O279" i="52"/>
  <c r="M279" i="52"/>
  <c r="K279" i="52"/>
  <c r="X278" i="52"/>
  <c r="W278" i="52"/>
  <c r="V278" i="52"/>
  <c r="U278" i="52"/>
  <c r="T278" i="52"/>
  <c r="S278" i="52"/>
  <c r="Q278" i="52"/>
  <c r="O278" i="52"/>
  <c r="M278" i="52"/>
  <c r="K278" i="52"/>
  <c r="X277" i="52"/>
  <c r="W277" i="52"/>
  <c r="V277" i="52"/>
  <c r="U277" i="52"/>
  <c r="T277" i="52"/>
  <c r="S277" i="52"/>
  <c r="Q277" i="52"/>
  <c r="O277" i="52"/>
  <c r="M277" i="52"/>
  <c r="K277" i="52"/>
  <c r="X276" i="52"/>
  <c r="W276" i="52"/>
  <c r="V276" i="52"/>
  <c r="U276" i="52"/>
  <c r="T276" i="52"/>
  <c r="S276" i="52"/>
  <c r="Q276" i="52"/>
  <c r="O276" i="52"/>
  <c r="M276" i="52"/>
  <c r="K276" i="52"/>
  <c r="X275" i="52"/>
  <c r="W275" i="52"/>
  <c r="V275" i="52"/>
  <c r="U275" i="52"/>
  <c r="T275" i="52"/>
  <c r="S275" i="52"/>
  <c r="Q275" i="52"/>
  <c r="O275" i="52"/>
  <c r="M275" i="52"/>
  <c r="K275" i="52"/>
  <c r="X274" i="52"/>
  <c r="W274" i="52"/>
  <c r="V274" i="52"/>
  <c r="U274" i="52"/>
  <c r="T274" i="52"/>
  <c r="S274" i="52"/>
  <c r="Q274" i="52"/>
  <c r="O274" i="52"/>
  <c r="M274" i="52"/>
  <c r="K274" i="52"/>
  <c r="X273" i="52"/>
  <c r="W273" i="52"/>
  <c r="V273" i="52"/>
  <c r="U273" i="52"/>
  <c r="T273" i="52"/>
  <c r="S273" i="52"/>
  <c r="Q273" i="52"/>
  <c r="O273" i="52"/>
  <c r="M273" i="52"/>
  <c r="K273" i="52"/>
  <c r="X272" i="52"/>
  <c r="W272" i="52"/>
  <c r="V272" i="52"/>
  <c r="U272" i="52"/>
  <c r="T272" i="52"/>
  <c r="S272" i="52"/>
  <c r="Q272" i="52"/>
  <c r="O272" i="52"/>
  <c r="M272" i="52"/>
  <c r="K272" i="52"/>
  <c r="X271" i="52"/>
  <c r="W271" i="52"/>
  <c r="V271" i="52"/>
  <c r="U271" i="52"/>
  <c r="T271" i="52"/>
  <c r="S271" i="52"/>
  <c r="Q271" i="52"/>
  <c r="O271" i="52"/>
  <c r="M271" i="52"/>
  <c r="K271" i="52"/>
  <c r="X270" i="52"/>
  <c r="W270" i="52"/>
  <c r="V270" i="52"/>
  <c r="U270" i="52"/>
  <c r="T270" i="52"/>
  <c r="S270" i="52"/>
  <c r="Q270" i="52"/>
  <c r="O270" i="52"/>
  <c r="M270" i="52"/>
  <c r="K270" i="52"/>
  <c r="X269" i="52"/>
  <c r="W269" i="52"/>
  <c r="V269" i="52"/>
  <c r="U269" i="52"/>
  <c r="T269" i="52"/>
  <c r="S269" i="52"/>
  <c r="Q269" i="52"/>
  <c r="O269" i="52"/>
  <c r="M269" i="52"/>
  <c r="K269" i="52"/>
  <c r="X268" i="52"/>
  <c r="W268" i="52"/>
  <c r="V268" i="52"/>
  <c r="U268" i="52"/>
  <c r="T268" i="52"/>
  <c r="S268" i="52"/>
  <c r="Q268" i="52"/>
  <c r="O268" i="52"/>
  <c r="M268" i="52"/>
  <c r="K268" i="52"/>
  <c r="X267" i="52"/>
  <c r="W267" i="52"/>
  <c r="V267" i="52"/>
  <c r="U267" i="52"/>
  <c r="T267" i="52"/>
  <c r="S267" i="52"/>
  <c r="Q267" i="52"/>
  <c r="O267" i="52"/>
  <c r="M267" i="52"/>
  <c r="K267" i="52"/>
  <c r="X266" i="52"/>
  <c r="W266" i="52"/>
  <c r="V266" i="52"/>
  <c r="U266" i="52"/>
  <c r="T266" i="52"/>
  <c r="S266" i="52"/>
  <c r="Q266" i="52"/>
  <c r="O266" i="52"/>
  <c r="M266" i="52"/>
  <c r="K266" i="52"/>
  <c r="X265" i="52"/>
  <c r="W265" i="52"/>
  <c r="V265" i="52"/>
  <c r="U265" i="52"/>
  <c r="T265" i="52"/>
  <c r="S265" i="52"/>
  <c r="Q265" i="52"/>
  <c r="O265" i="52"/>
  <c r="M265" i="52"/>
  <c r="K265" i="52"/>
  <c r="X264" i="52"/>
  <c r="W264" i="52"/>
  <c r="V264" i="52"/>
  <c r="U264" i="52"/>
  <c r="T264" i="52"/>
  <c r="S264" i="52"/>
  <c r="Q264" i="52"/>
  <c r="O264" i="52"/>
  <c r="M264" i="52"/>
  <c r="K264" i="52"/>
  <c r="X263" i="52"/>
  <c r="W263" i="52"/>
  <c r="V263" i="52"/>
  <c r="U263" i="52"/>
  <c r="T263" i="52"/>
  <c r="S263" i="52"/>
  <c r="Q263" i="52"/>
  <c r="O263" i="52"/>
  <c r="M263" i="52"/>
  <c r="K263" i="52"/>
  <c r="X262" i="52"/>
  <c r="W262" i="52"/>
  <c r="V262" i="52"/>
  <c r="U262" i="52"/>
  <c r="T262" i="52"/>
  <c r="S262" i="52"/>
  <c r="Q262" i="52"/>
  <c r="O262" i="52"/>
  <c r="M262" i="52"/>
  <c r="K262" i="52"/>
  <c r="X261" i="52"/>
  <c r="W261" i="52"/>
  <c r="V261" i="52"/>
  <c r="U261" i="52"/>
  <c r="T261" i="52"/>
  <c r="S261" i="52"/>
  <c r="Q261" i="52"/>
  <c r="O261" i="52"/>
  <c r="M261" i="52"/>
  <c r="K261" i="52"/>
  <c r="X260" i="52"/>
  <c r="W260" i="52"/>
  <c r="V260" i="52"/>
  <c r="U260" i="52"/>
  <c r="T260" i="52"/>
  <c r="S260" i="52"/>
  <c r="Q260" i="52"/>
  <c r="O260" i="52"/>
  <c r="M260" i="52"/>
  <c r="K260" i="52"/>
  <c r="X259" i="52"/>
  <c r="W259" i="52"/>
  <c r="V259" i="52"/>
  <c r="U259" i="52"/>
  <c r="T259" i="52"/>
  <c r="S259" i="52"/>
  <c r="Q259" i="52"/>
  <c r="O259" i="52"/>
  <c r="M259" i="52"/>
  <c r="K259" i="52"/>
  <c r="X258" i="52"/>
  <c r="W258" i="52"/>
  <c r="V258" i="52"/>
  <c r="U258" i="52"/>
  <c r="T258" i="52"/>
  <c r="S258" i="52"/>
  <c r="Q258" i="52"/>
  <c r="O258" i="52"/>
  <c r="M258" i="52"/>
  <c r="K258" i="52"/>
  <c r="X257" i="52"/>
  <c r="W257" i="52"/>
  <c r="V257" i="52"/>
  <c r="U257" i="52"/>
  <c r="T257" i="52"/>
  <c r="S257" i="52"/>
  <c r="Q257" i="52"/>
  <c r="O257" i="52"/>
  <c r="M257" i="52"/>
  <c r="K257" i="52"/>
  <c r="X256" i="52"/>
  <c r="W256" i="52"/>
  <c r="V256" i="52"/>
  <c r="U256" i="52"/>
  <c r="T256" i="52"/>
  <c r="S256" i="52"/>
  <c r="Q256" i="52"/>
  <c r="O256" i="52"/>
  <c r="M256" i="52"/>
  <c r="K256" i="52"/>
  <c r="X255" i="52"/>
  <c r="W255" i="52"/>
  <c r="V255" i="52"/>
  <c r="U255" i="52"/>
  <c r="T255" i="52"/>
  <c r="S255" i="52"/>
  <c r="Q255" i="52"/>
  <c r="O255" i="52"/>
  <c r="M255" i="52"/>
  <c r="K255" i="52"/>
  <c r="X254" i="52"/>
  <c r="W254" i="52"/>
  <c r="V254" i="52"/>
  <c r="U254" i="52"/>
  <c r="T254" i="52"/>
  <c r="S254" i="52"/>
  <c r="Q254" i="52"/>
  <c r="O254" i="52"/>
  <c r="M254" i="52"/>
  <c r="K254" i="52"/>
  <c r="X253" i="52"/>
  <c r="W253" i="52"/>
  <c r="V253" i="52"/>
  <c r="U253" i="52"/>
  <c r="T253" i="52"/>
  <c r="S253" i="52"/>
  <c r="Q253" i="52"/>
  <c r="O253" i="52"/>
  <c r="M253" i="52"/>
  <c r="K253" i="52"/>
  <c r="X252" i="52"/>
  <c r="W252" i="52"/>
  <c r="V252" i="52"/>
  <c r="U252" i="52"/>
  <c r="T252" i="52"/>
  <c r="S252" i="52"/>
  <c r="Q252" i="52"/>
  <c r="O252" i="52"/>
  <c r="M252" i="52"/>
  <c r="K252" i="52"/>
  <c r="X251" i="52"/>
  <c r="W251" i="52"/>
  <c r="V251" i="52"/>
  <c r="U251" i="52"/>
  <c r="T251" i="52"/>
  <c r="S251" i="52"/>
  <c r="Q251" i="52"/>
  <c r="O251" i="52"/>
  <c r="M251" i="52"/>
  <c r="K251" i="52"/>
  <c r="X250" i="52"/>
  <c r="W250" i="52"/>
  <c r="V250" i="52"/>
  <c r="U250" i="52"/>
  <c r="T250" i="52"/>
  <c r="S250" i="52"/>
  <c r="Q250" i="52"/>
  <c r="O250" i="52"/>
  <c r="M250" i="52"/>
  <c r="K250" i="52"/>
  <c r="X249" i="52"/>
  <c r="W249" i="52"/>
  <c r="V249" i="52"/>
  <c r="U249" i="52"/>
  <c r="T249" i="52"/>
  <c r="S249" i="52"/>
  <c r="Q249" i="52"/>
  <c r="O249" i="52"/>
  <c r="M249" i="52"/>
  <c r="K249" i="52"/>
  <c r="X248" i="52"/>
  <c r="W248" i="52"/>
  <c r="V248" i="52"/>
  <c r="U248" i="52"/>
  <c r="T248" i="52"/>
  <c r="S248" i="52"/>
  <c r="Q248" i="52"/>
  <c r="O248" i="52"/>
  <c r="M248" i="52"/>
  <c r="K248" i="52"/>
  <c r="X247" i="52"/>
  <c r="W247" i="52"/>
  <c r="V247" i="52"/>
  <c r="U247" i="52"/>
  <c r="T247" i="52"/>
  <c r="S247" i="52"/>
  <c r="Q247" i="52"/>
  <c r="O247" i="52"/>
  <c r="M247" i="52"/>
  <c r="K247" i="52"/>
  <c r="X246" i="52"/>
  <c r="W246" i="52"/>
  <c r="V246" i="52"/>
  <c r="U246" i="52"/>
  <c r="T246" i="52"/>
  <c r="S246" i="52"/>
  <c r="Q246" i="52"/>
  <c r="O246" i="52"/>
  <c r="M246" i="52"/>
  <c r="K246" i="52"/>
  <c r="X245" i="52"/>
  <c r="W245" i="52"/>
  <c r="V245" i="52"/>
  <c r="U245" i="52"/>
  <c r="T245" i="52"/>
  <c r="S245" i="52"/>
  <c r="Q245" i="52"/>
  <c r="O245" i="52"/>
  <c r="M245" i="52"/>
  <c r="K245" i="52"/>
  <c r="X244" i="52"/>
  <c r="W244" i="52"/>
  <c r="V244" i="52"/>
  <c r="U244" i="52"/>
  <c r="T244" i="52"/>
  <c r="S244" i="52"/>
  <c r="Q244" i="52"/>
  <c r="O244" i="52"/>
  <c r="M244" i="52"/>
  <c r="K244" i="52"/>
  <c r="X243" i="52"/>
  <c r="W243" i="52"/>
  <c r="V243" i="52"/>
  <c r="U243" i="52"/>
  <c r="T243" i="52"/>
  <c r="S243" i="52"/>
  <c r="Q243" i="52"/>
  <c r="O243" i="52"/>
  <c r="M243" i="52"/>
  <c r="K243" i="52"/>
  <c r="X242" i="52"/>
  <c r="W242" i="52"/>
  <c r="V242" i="52"/>
  <c r="U242" i="52"/>
  <c r="T242" i="52"/>
  <c r="S242" i="52"/>
  <c r="Q242" i="52"/>
  <c r="O242" i="52"/>
  <c r="M242" i="52"/>
  <c r="K242" i="52"/>
  <c r="X241" i="52"/>
  <c r="W241" i="52"/>
  <c r="V241" i="52"/>
  <c r="U241" i="52"/>
  <c r="T241" i="52"/>
  <c r="S241" i="52"/>
  <c r="Q241" i="52"/>
  <c r="O241" i="52"/>
  <c r="M241" i="52"/>
  <c r="K241" i="52"/>
  <c r="X240" i="52"/>
  <c r="W240" i="52"/>
  <c r="V240" i="52"/>
  <c r="U240" i="52"/>
  <c r="T240" i="52"/>
  <c r="S240" i="52"/>
  <c r="Q240" i="52"/>
  <c r="O240" i="52"/>
  <c r="M240" i="52"/>
  <c r="K240" i="52"/>
  <c r="X239" i="52"/>
  <c r="W239" i="52"/>
  <c r="V239" i="52"/>
  <c r="U239" i="52"/>
  <c r="T239" i="52"/>
  <c r="S239" i="52"/>
  <c r="Q239" i="52"/>
  <c r="O239" i="52"/>
  <c r="M239" i="52"/>
  <c r="K239" i="52"/>
  <c r="X238" i="52"/>
  <c r="W238" i="52"/>
  <c r="V238" i="52"/>
  <c r="U238" i="52"/>
  <c r="T238" i="52"/>
  <c r="S238" i="52"/>
  <c r="Q238" i="52"/>
  <c r="O238" i="52"/>
  <c r="M238" i="52"/>
  <c r="K238" i="52"/>
  <c r="X237" i="52"/>
  <c r="W237" i="52"/>
  <c r="V237" i="52"/>
  <c r="U237" i="52"/>
  <c r="T237" i="52"/>
  <c r="S237" i="52"/>
  <c r="Q237" i="52"/>
  <c r="O237" i="52"/>
  <c r="M237" i="52"/>
  <c r="K237" i="52"/>
  <c r="X236" i="52"/>
  <c r="W236" i="52"/>
  <c r="V236" i="52"/>
  <c r="U236" i="52"/>
  <c r="T236" i="52"/>
  <c r="S236" i="52"/>
  <c r="Q236" i="52"/>
  <c r="O236" i="52"/>
  <c r="M236" i="52"/>
  <c r="K236" i="52"/>
  <c r="X235" i="52"/>
  <c r="W235" i="52"/>
  <c r="V235" i="52"/>
  <c r="U235" i="52"/>
  <c r="T235" i="52"/>
  <c r="S235" i="52"/>
  <c r="Q235" i="52"/>
  <c r="O235" i="52"/>
  <c r="M235" i="52"/>
  <c r="K235" i="52"/>
  <c r="X234" i="52"/>
  <c r="W234" i="52"/>
  <c r="V234" i="52"/>
  <c r="U234" i="52"/>
  <c r="T234" i="52"/>
  <c r="S234" i="52"/>
  <c r="Q234" i="52"/>
  <c r="O234" i="52"/>
  <c r="M234" i="52"/>
  <c r="K234" i="52"/>
  <c r="X233" i="52"/>
  <c r="W233" i="52"/>
  <c r="V233" i="52"/>
  <c r="U233" i="52"/>
  <c r="T233" i="52"/>
  <c r="S233" i="52"/>
  <c r="Q233" i="52"/>
  <c r="O233" i="52"/>
  <c r="M233" i="52"/>
  <c r="K233" i="52"/>
  <c r="X232" i="52"/>
  <c r="W232" i="52"/>
  <c r="V232" i="52"/>
  <c r="U232" i="52"/>
  <c r="T232" i="52"/>
  <c r="S232" i="52"/>
  <c r="Q232" i="52"/>
  <c r="O232" i="52"/>
  <c r="M232" i="52"/>
  <c r="K232" i="52"/>
  <c r="X231" i="52"/>
  <c r="W231" i="52"/>
  <c r="V231" i="52"/>
  <c r="U231" i="52"/>
  <c r="T231" i="52"/>
  <c r="S231" i="52"/>
  <c r="Q231" i="52"/>
  <c r="O231" i="52"/>
  <c r="M231" i="52"/>
  <c r="K231" i="52"/>
  <c r="X230" i="52"/>
  <c r="W230" i="52"/>
  <c r="V230" i="52"/>
  <c r="U230" i="52"/>
  <c r="T230" i="52"/>
  <c r="S230" i="52"/>
  <c r="Q230" i="52"/>
  <c r="O230" i="52"/>
  <c r="M230" i="52"/>
  <c r="K230" i="52"/>
  <c r="X229" i="52"/>
  <c r="W229" i="52"/>
  <c r="V229" i="52"/>
  <c r="U229" i="52"/>
  <c r="T229" i="52"/>
  <c r="S229" i="52"/>
  <c r="Q229" i="52"/>
  <c r="O229" i="52"/>
  <c r="M229" i="52"/>
  <c r="K229" i="52"/>
  <c r="X228" i="52"/>
  <c r="W228" i="52"/>
  <c r="V228" i="52"/>
  <c r="U228" i="52"/>
  <c r="T228" i="52"/>
  <c r="S228" i="52"/>
  <c r="Q228" i="52"/>
  <c r="O228" i="52"/>
  <c r="M228" i="52"/>
  <c r="K228" i="52"/>
  <c r="X227" i="52"/>
  <c r="W227" i="52"/>
  <c r="V227" i="52"/>
  <c r="U227" i="52"/>
  <c r="T227" i="52"/>
  <c r="S227" i="52"/>
  <c r="Q227" i="52"/>
  <c r="O227" i="52"/>
  <c r="M227" i="52"/>
  <c r="K227" i="52"/>
  <c r="X226" i="52"/>
  <c r="W226" i="52"/>
  <c r="V226" i="52"/>
  <c r="U226" i="52"/>
  <c r="T226" i="52"/>
  <c r="S226" i="52"/>
  <c r="Q226" i="52"/>
  <c r="O226" i="52"/>
  <c r="M226" i="52"/>
  <c r="K226" i="52"/>
  <c r="X225" i="52"/>
  <c r="W225" i="52"/>
  <c r="V225" i="52"/>
  <c r="U225" i="52"/>
  <c r="T225" i="52"/>
  <c r="S225" i="52"/>
  <c r="Q225" i="52"/>
  <c r="O225" i="52"/>
  <c r="M225" i="52"/>
  <c r="K225" i="52"/>
  <c r="X224" i="52"/>
  <c r="W224" i="52"/>
  <c r="V224" i="52"/>
  <c r="U224" i="52"/>
  <c r="T224" i="52"/>
  <c r="S224" i="52"/>
  <c r="Q224" i="52"/>
  <c r="O224" i="52"/>
  <c r="M224" i="52"/>
  <c r="K224" i="52"/>
  <c r="X223" i="52"/>
  <c r="W223" i="52"/>
  <c r="V223" i="52"/>
  <c r="U223" i="52"/>
  <c r="T223" i="52"/>
  <c r="S223" i="52"/>
  <c r="Q223" i="52"/>
  <c r="O223" i="52"/>
  <c r="M223" i="52"/>
  <c r="K223" i="52"/>
  <c r="X222" i="52"/>
  <c r="W222" i="52"/>
  <c r="V222" i="52"/>
  <c r="U222" i="52"/>
  <c r="T222" i="52"/>
  <c r="S222" i="52"/>
  <c r="Q222" i="52"/>
  <c r="O222" i="52"/>
  <c r="M222" i="52"/>
  <c r="K222" i="52"/>
  <c r="X221" i="52"/>
  <c r="W221" i="52"/>
  <c r="V221" i="52"/>
  <c r="U221" i="52"/>
  <c r="T221" i="52"/>
  <c r="S221" i="52"/>
  <c r="Q221" i="52"/>
  <c r="O221" i="52"/>
  <c r="M221" i="52"/>
  <c r="K221" i="52"/>
  <c r="X220" i="52"/>
  <c r="W220" i="52"/>
  <c r="V220" i="52"/>
  <c r="U220" i="52"/>
  <c r="T220" i="52"/>
  <c r="S220" i="52"/>
  <c r="Q220" i="52"/>
  <c r="O220" i="52"/>
  <c r="M220" i="52"/>
  <c r="K220" i="52"/>
  <c r="X219" i="52"/>
  <c r="W219" i="52"/>
  <c r="V219" i="52"/>
  <c r="U219" i="52"/>
  <c r="T219" i="52"/>
  <c r="S219" i="52"/>
  <c r="Q219" i="52"/>
  <c r="O219" i="52"/>
  <c r="M219" i="52"/>
  <c r="K219" i="52"/>
  <c r="X218" i="52"/>
  <c r="W218" i="52"/>
  <c r="V218" i="52"/>
  <c r="U218" i="52"/>
  <c r="T218" i="52"/>
  <c r="S218" i="52"/>
  <c r="Q218" i="52"/>
  <c r="O218" i="52"/>
  <c r="M218" i="52"/>
  <c r="K218" i="52"/>
  <c r="X217" i="52"/>
  <c r="W217" i="52"/>
  <c r="V217" i="52"/>
  <c r="U217" i="52"/>
  <c r="T217" i="52"/>
  <c r="S217" i="52"/>
  <c r="Q217" i="52"/>
  <c r="O217" i="52"/>
  <c r="M217" i="52"/>
  <c r="K217" i="52"/>
  <c r="X216" i="52"/>
  <c r="W216" i="52"/>
  <c r="V216" i="52"/>
  <c r="U216" i="52"/>
  <c r="T216" i="52"/>
  <c r="S216" i="52"/>
  <c r="Q216" i="52"/>
  <c r="O216" i="52"/>
  <c r="M216" i="52"/>
  <c r="K216" i="52"/>
  <c r="X215" i="52"/>
  <c r="W215" i="52"/>
  <c r="V215" i="52"/>
  <c r="U215" i="52"/>
  <c r="T215" i="52"/>
  <c r="S215" i="52"/>
  <c r="Q215" i="52"/>
  <c r="O215" i="52"/>
  <c r="M215" i="52"/>
  <c r="K215" i="52"/>
  <c r="X214" i="52"/>
  <c r="W214" i="52"/>
  <c r="V214" i="52"/>
  <c r="U214" i="52"/>
  <c r="T214" i="52"/>
  <c r="S214" i="52"/>
  <c r="Q214" i="52"/>
  <c r="O214" i="52"/>
  <c r="M214" i="52"/>
  <c r="K214" i="52"/>
  <c r="X213" i="52"/>
  <c r="W213" i="52"/>
  <c r="V213" i="52"/>
  <c r="U213" i="52"/>
  <c r="T213" i="52"/>
  <c r="S213" i="52"/>
  <c r="Q213" i="52"/>
  <c r="O213" i="52"/>
  <c r="M213" i="52"/>
  <c r="K213" i="52"/>
  <c r="X212" i="52"/>
  <c r="W212" i="52"/>
  <c r="V212" i="52"/>
  <c r="U212" i="52"/>
  <c r="T212" i="52"/>
  <c r="S212" i="52"/>
  <c r="Q212" i="52"/>
  <c r="O212" i="52"/>
  <c r="M212" i="52"/>
  <c r="K212" i="52"/>
  <c r="X211" i="52"/>
  <c r="W211" i="52"/>
  <c r="V211" i="52"/>
  <c r="U211" i="52"/>
  <c r="T211" i="52"/>
  <c r="S211" i="52"/>
  <c r="Q211" i="52"/>
  <c r="O211" i="52"/>
  <c r="M211" i="52"/>
  <c r="K211" i="52"/>
  <c r="X210" i="52"/>
  <c r="W210" i="52"/>
  <c r="V210" i="52"/>
  <c r="U210" i="52"/>
  <c r="T210" i="52"/>
  <c r="S210" i="52"/>
  <c r="Q210" i="52"/>
  <c r="O210" i="52"/>
  <c r="M210" i="52"/>
  <c r="K210" i="52"/>
  <c r="X209" i="52"/>
  <c r="W209" i="52"/>
  <c r="V209" i="52"/>
  <c r="U209" i="52"/>
  <c r="T209" i="52"/>
  <c r="S209" i="52"/>
  <c r="Q209" i="52"/>
  <c r="O209" i="52"/>
  <c r="M209" i="52"/>
  <c r="K209" i="52"/>
  <c r="X208" i="52"/>
  <c r="W208" i="52"/>
  <c r="V208" i="52"/>
  <c r="U208" i="52"/>
  <c r="T208" i="52"/>
  <c r="S208" i="52"/>
  <c r="Q208" i="52"/>
  <c r="O208" i="52"/>
  <c r="M208" i="52"/>
  <c r="K208" i="52"/>
  <c r="X207" i="52"/>
  <c r="W207" i="52"/>
  <c r="V207" i="52"/>
  <c r="U207" i="52"/>
  <c r="T207" i="52"/>
  <c r="S207" i="52"/>
  <c r="Q207" i="52"/>
  <c r="O207" i="52"/>
  <c r="M207" i="52"/>
  <c r="K207" i="52"/>
  <c r="X206" i="52"/>
  <c r="W206" i="52"/>
  <c r="V206" i="52"/>
  <c r="U206" i="52"/>
  <c r="T206" i="52"/>
  <c r="S206" i="52"/>
  <c r="Q206" i="52"/>
  <c r="O206" i="52"/>
  <c r="M206" i="52"/>
  <c r="K206" i="52"/>
  <c r="X205" i="52"/>
  <c r="W205" i="52"/>
  <c r="V205" i="52"/>
  <c r="U205" i="52"/>
  <c r="T205" i="52"/>
  <c r="S205" i="52"/>
  <c r="Q205" i="52"/>
  <c r="O205" i="52"/>
  <c r="M205" i="52"/>
  <c r="K205" i="52"/>
  <c r="X204" i="52"/>
  <c r="W204" i="52"/>
  <c r="V204" i="52"/>
  <c r="U204" i="52"/>
  <c r="T204" i="52"/>
  <c r="S204" i="52"/>
  <c r="Q204" i="52"/>
  <c r="O204" i="52"/>
  <c r="M204" i="52"/>
  <c r="K204" i="52"/>
  <c r="X203" i="52"/>
  <c r="W203" i="52"/>
  <c r="V203" i="52"/>
  <c r="U203" i="52"/>
  <c r="T203" i="52"/>
  <c r="S203" i="52"/>
  <c r="Q203" i="52"/>
  <c r="O203" i="52"/>
  <c r="M203" i="52"/>
  <c r="K203" i="52"/>
  <c r="X202" i="52"/>
  <c r="W202" i="52"/>
  <c r="V202" i="52"/>
  <c r="U202" i="52"/>
  <c r="T202" i="52"/>
  <c r="S202" i="52"/>
  <c r="Q202" i="52"/>
  <c r="O202" i="52"/>
  <c r="M202" i="52"/>
  <c r="K202" i="52"/>
  <c r="X201" i="52"/>
  <c r="W201" i="52"/>
  <c r="V201" i="52"/>
  <c r="U201" i="52"/>
  <c r="T201" i="52"/>
  <c r="S201" i="52"/>
  <c r="Q201" i="52"/>
  <c r="O201" i="52"/>
  <c r="M201" i="52"/>
  <c r="K201" i="52"/>
  <c r="X200" i="52"/>
  <c r="W200" i="52"/>
  <c r="V200" i="52"/>
  <c r="U200" i="52"/>
  <c r="T200" i="52"/>
  <c r="S200" i="52"/>
  <c r="Q200" i="52"/>
  <c r="O200" i="52"/>
  <c r="M200" i="52"/>
  <c r="K200" i="52"/>
  <c r="X199" i="52"/>
  <c r="W199" i="52"/>
  <c r="V199" i="52"/>
  <c r="U199" i="52"/>
  <c r="T199" i="52"/>
  <c r="S199" i="52"/>
  <c r="Q199" i="52"/>
  <c r="O199" i="52"/>
  <c r="M199" i="52"/>
  <c r="K199" i="52"/>
  <c r="X198" i="52"/>
  <c r="W198" i="52"/>
  <c r="V198" i="52"/>
  <c r="U198" i="52"/>
  <c r="T198" i="52"/>
  <c r="S198" i="52"/>
  <c r="Q198" i="52"/>
  <c r="O198" i="52"/>
  <c r="M198" i="52"/>
  <c r="K198" i="52"/>
  <c r="X197" i="52"/>
  <c r="W197" i="52"/>
  <c r="V197" i="52"/>
  <c r="U197" i="52"/>
  <c r="T197" i="52"/>
  <c r="S197" i="52"/>
  <c r="Q197" i="52"/>
  <c r="O197" i="52"/>
  <c r="M197" i="52"/>
  <c r="K197" i="52"/>
  <c r="X196" i="52"/>
  <c r="W196" i="52"/>
  <c r="V196" i="52"/>
  <c r="U196" i="52"/>
  <c r="T196" i="52"/>
  <c r="S196" i="52"/>
  <c r="Q196" i="52"/>
  <c r="O196" i="52"/>
  <c r="M196" i="52"/>
  <c r="K196" i="52"/>
  <c r="X195" i="52"/>
  <c r="W195" i="52"/>
  <c r="V195" i="52"/>
  <c r="U195" i="52"/>
  <c r="T195" i="52"/>
  <c r="S195" i="52"/>
  <c r="Q195" i="52"/>
  <c r="O195" i="52"/>
  <c r="M195" i="52"/>
  <c r="K195" i="52"/>
  <c r="X194" i="52"/>
  <c r="W194" i="52"/>
  <c r="V194" i="52"/>
  <c r="U194" i="52"/>
  <c r="T194" i="52"/>
  <c r="S194" i="52"/>
  <c r="Q194" i="52"/>
  <c r="O194" i="52"/>
  <c r="M194" i="52"/>
  <c r="K194" i="52"/>
  <c r="X193" i="52"/>
  <c r="W193" i="52"/>
  <c r="V193" i="52"/>
  <c r="U193" i="52"/>
  <c r="T193" i="52"/>
  <c r="S193" i="52"/>
  <c r="Q193" i="52"/>
  <c r="O193" i="52"/>
  <c r="M193" i="52"/>
  <c r="K193" i="52"/>
  <c r="X192" i="52"/>
  <c r="W192" i="52"/>
  <c r="V192" i="52"/>
  <c r="U192" i="52"/>
  <c r="T192" i="52"/>
  <c r="S192" i="52"/>
  <c r="Q192" i="52"/>
  <c r="O192" i="52"/>
  <c r="M192" i="52"/>
  <c r="K192" i="52"/>
  <c r="X191" i="52"/>
  <c r="W191" i="52"/>
  <c r="V191" i="52"/>
  <c r="U191" i="52"/>
  <c r="T191" i="52"/>
  <c r="S191" i="52"/>
  <c r="Q191" i="52"/>
  <c r="O191" i="52"/>
  <c r="M191" i="52"/>
  <c r="K191" i="52"/>
  <c r="X190" i="52"/>
  <c r="W190" i="52"/>
  <c r="V190" i="52"/>
  <c r="U190" i="52"/>
  <c r="T190" i="52"/>
  <c r="S190" i="52"/>
  <c r="Q190" i="52"/>
  <c r="O190" i="52"/>
  <c r="M190" i="52"/>
  <c r="K190" i="52"/>
  <c r="X189" i="52"/>
  <c r="W189" i="52"/>
  <c r="V189" i="52"/>
  <c r="U189" i="52"/>
  <c r="T189" i="52"/>
  <c r="S189" i="52"/>
  <c r="Q189" i="52"/>
  <c r="O189" i="52"/>
  <c r="M189" i="52"/>
  <c r="K189" i="52"/>
  <c r="X188" i="52"/>
  <c r="W188" i="52"/>
  <c r="V188" i="52"/>
  <c r="U188" i="52"/>
  <c r="T188" i="52"/>
  <c r="S188" i="52"/>
  <c r="Q188" i="52"/>
  <c r="O188" i="52"/>
  <c r="M188" i="52"/>
  <c r="K188" i="52"/>
  <c r="X187" i="52"/>
  <c r="W187" i="52"/>
  <c r="V187" i="52"/>
  <c r="U187" i="52"/>
  <c r="T187" i="52"/>
  <c r="S187" i="52"/>
  <c r="Q187" i="52"/>
  <c r="O187" i="52"/>
  <c r="M187" i="52"/>
  <c r="K187" i="52"/>
  <c r="X186" i="52"/>
  <c r="W186" i="52"/>
  <c r="V186" i="52"/>
  <c r="U186" i="52"/>
  <c r="T186" i="52"/>
  <c r="S186" i="52"/>
  <c r="Q186" i="52"/>
  <c r="O186" i="52"/>
  <c r="M186" i="52"/>
  <c r="K186" i="52"/>
  <c r="X185" i="52"/>
  <c r="W185" i="52"/>
  <c r="V185" i="52"/>
  <c r="U185" i="52"/>
  <c r="T185" i="52"/>
  <c r="S185" i="52"/>
  <c r="Q185" i="52"/>
  <c r="O185" i="52"/>
  <c r="M185" i="52"/>
  <c r="K185" i="52"/>
  <c r="X184" i="52"/>
  <c r="W184" i="52"/>
  <c r="V184" i="52"/>
  <c r="U184" i="52"/>
  <c r="T184" i="52"/>
  <c r="S184" i="52"/>
  <c r="Q184" i="52"/>
  <c r="O184" i="52"/>
  <c r="M184" i="52"/>
  <c r="K184" i="52"/>
  <c r="X183" i="52"/>
  <c r="W183" i="52"/>
  <c r="V183" i="52"/>
  <c r="U183" i="52"/>
  <c r="T183" i="52"/>
  <c r="S183" i="52"/>
  <c r="Q183" i="52"/>
  <c r="O183" i="52"/>
  <c r="M183" i="52"/>
  <c r="K183" i="52"/>
  <c r="X182" i="52"/>
  <c r="W182" i="52"/>
  <c r="V182" i="52"/>
  <c r="U182" i="52"/>
  <c r="T182" i="52"/>
  <c r="S182" i="52"/>
  <c r="Q182" i="52"/>
  <c r="O182" i="52"/>
  <c r="M182" i="52"/>
  <c r="K182" i="52"/>
  <c r="X181" i="52"/>
  <c r="W181" i="52"/>
  <c r="V181" i="52"/>
  <c r="U181" i="52"/>
  <c r="T181" i="52"/>
  <c r="S181" i="52"/>
  <c r="Q181" i="52"/>
  <c r="O181" i="52"/>
  <c r="M181" i="52"/>
  <c r="K181" i="52"/>
  <c r="X180" i="52"/>
  <c r="W180" i="52"/>
  <c r="V180" i="52"/>
  <c r="U180" i="52"/>
  <c r="T180" i="52"/>
  <c r="S180" i="52"/>
  <c r="Q180" i="52"/>
  <c r="O180" i="52"/>
  <c r="M180" i="52"/>
  <c r="K180" i="52"/>
  <c r="X179" i="52"/>
  <c r="W179" i="52"/>
  <c r="V179" i="52"/>
  <c r="U179" i="52"/>
  <c r="T179" i="52"/>
  <c r="S179" i="52"/>
  <c r="Q179" i="52"/>
  <c r="O179" i="52"/>
  <c r="M179" i="52"/>
  <c r="K179" i="52"/>
  <c r="X178" i="52"/>
  <c r="W178" i="52"/>
  <c r="V178" i="52"/>
  <c r="U178" i="52"/>
  <c r="T178" i="52"/>
  <c r="S178" i="52"/>
  <c r="Q178" i="52"/>
  <c r="O178" i="52"/>
  <c r="M178" i="52"/>
  <c r="K178" i="52"/>
  <c r="X177" i="52"/>
  <c r="W177" i="52"/>
  <c r="V177" i="52"/>
  <c r="U177" i="52"/>
  <c r="T177" i="52"/>
  <c r="S177" i="52"/>
  <c r="Q177" i="52"/>
  <c r="O177" i="52"/>
  <c r="M177" i="52"/>
  <c r="K177" i="52"/>
  <c r="X176" i="52"/>
  <c r="W176" i="52"/>
  <c r="V176" i="52"/>
  <c r="U176" i="52"/>
  <c r="T176" i="52"/>
  <c r="S176" i="52"/>
  <c r="Q176" i="52"/>
  <c r="O176" i="52"/>
  <c r="M176" i="52"/>
  <c r="K176" i="52"/>
  <c r="X175" i="52"/>
  <c r="W175" i="52"/>
  <c r="V175" i="52"/>
  <c r="U175" i="52"/>
  <c r="T175" i="52"/>
  <c r="S175" i="52"/>
  <c r="Q175" i="52"/>
  <c r="O175" i="52"/>
  <c r="M175" i="52"/>
  <c r="K175" i="52"/>
  <c r="X174" i="52"/>
  <c r="W174" i="52"/>
  <c r="V174" i="52"/>
  <c r="U174" i="52"/>
  <c r="T174" i="52"/>
  <c r="S174" i="52"/>
  <c r="Q174" i="52"/>
  <c r="O174" i="52"/>
  <c r="M174" i="52"/>
  <c r="K174" i="52"/>
  <c r="X173" i="52"/>
  <c r="W173" i="52"/>
  <c r="V173" i="52"/>
  <c r="U173" i="52"/>
  <c r="T173" i="52"/>
  <c r="S173" i="52"/>
  <c r="Q173" i="52"/>
  <c r="O173" i="52"/>
  <c r="M173" i="52"/>
  <c r="K173" i="52"/>
  <c r="X172" i="52"/>
  <c r="W172" i="52"/>
  <c r="V172" i="52"/>
  <c r="U172" i="52"/>
  <c r="T172" i="52"/>
  <c r="S172" i="52"/>
  <c r="Q172" i="52"/>
  <c r="O172" i="52"/>
  <c r="M172" i="52"/>
  <c r="K172" i="52"/>
  <c r="X171" i="52"/>
  <c r="W171" i="52"/>
  <c r="V171" i="52"/>
  <c r="U171" i="52"/>
  <c r="T171" i="52"/>
  <c r="S171" i="52"/>
  <c r="Q171" i="52"/>
  <c r="O171" i="52"/>
  <c r="M171" i="52"/>
  <c r="K171" i="52"/>
  <c r="X170" i="52"/>
  <c r="W170" i="52"/>
  <c r="V170" i="52"/>
  <c r="U170" i="52"/>
  <c r="T170" i="52"/>
  <c r="S170" i="52"/>
  <c r="Q170" i="52"/>
  <c r="O170" i="52"/>
  <c r="M170" i="52"/>
  <c r="K170" i="52"/>
  <c r="X169" i="52"/>
  <c r="W169" i="52"/>
  <c r="V169" i="52"/>
  <c r="U169" i="52"/>
  <c r="T169" i="52"/>
  <c r="S169" i="52"/>
  <c r="Q169" i="52"/>
  <c r="O169" i="52"/>
  <c r="M169" i="52"/>
  <c r="K169" i="52"/>
  <c r="X168" i="52"/>
  <c r="W168" i="52"/>
  <c r="V168" i="52"/>
  <c r="U168" i="52"/>
  <c r="T168" i="52"/>
  <c r="S168" i="52"/>
  <c r="Q168" i="52"/>
  <c r="O168" i="52"/>
  <c r="M168" i="52"/>
  <c r="K168" i="52"/>
  <c r="X167" i="52"/>
  <c r="W167" i="52"/>
  <c r="V167" i="52"/>
  <c r="U167" i="52"/>
  <c r="T167" i="52"/>
  <c r="S167" i="52"/>
  <c r="Q167" i="52"/>
  <c r="O167" i="52"/>
  <c r="M167" i="52"/>
  <c r="K167" i="52"/>
  <c r="X166" i="52"/>
  <c r="W166" i="52"/>
  <c r="V166" i="52"/>
  <c r="U166" i="52"/>
  <c r="T166" i="52"/>
  <c r="S166" i="52"/>
  <c r="Q166" i="52"/>
  <c r="O166" i="52"/>
  <c r="M166" i="52"/>
  <c r="K166" i="52"/>
  <c r="X165" i="52"/>
  <c r="W165" i="52"/>
  <c r="V165" i="52"/>
  <c r="U165" i="52"/>
  <c r="T165" i="52"/>
  <c r="S165" i="52"/>
  <c r="Q165" i="52"/>
  <c r="O165" i="52"/>
  <c r="M165" i="52"/>
  <c r="K165" i="52"/>
  <c r="X164" i="52"/>
  <c r="W164" i="52"/>
  <c r="V164" i="52"/>
  <c r="U164" i="52"/>
  <c r="T164" i="52"/>
  <c r="S164" i="52"/>
  <c r="Q164" i="52"/>
  <c r="O164" i="52"/>
  <c r="M164" i="52"/>
  <c r="K164" i="52"/>
  <c r="X163" i="52"/>
  <c r="W163" i="52"/>
  <c r="V163" i="52"/>
  <c r="U163" i="52"/>
  <c r="T163" i="52"/>
  <c r="S163" i="52"/>
  <c r="Q163" i="52"/>
  <c r="O163" i="52"/>
  <c r="M163" i="52"/>
  <c r="K163" i="52"/>
  <c r="X162" i="52"/>
  <c r="W162" i="52"/>
  <c r="V162" i="52"/>
  <c r="U162" i="52"/>
  <c r="T162" i="52"/>
  <c r="S162" i="52"/>
  <c r="Q162" i="52"/>
  <c r="O162" i="52"/>
  <c r="M162" i="52"/>
  <c r="K162" i="52"/>
  <c r="X161" i="52"/>
  <c r="W161" i="52"/>
  <c r="V161" i="52"/>
  <c r="U161" i="52"/>
  <c r="T161" i="52"/>
  <c r="S161" i="52"/>
  <c r="Q161" i="52"/>
  <c r="O161" i="52"/>
  <c r="M161" i="52"/>
  <c r="K161" i="52"/>
  <c r="X160" i="52"/>
  <c r="W160" i="52"/>
  <c r="V160" i="52"/>
  <c r="U160" i="52"/>
  <c r="T160" i="52"/>
  <c r="S160" i="52"/>
  <c r="Q160" i="52"/>
  <c r="O160" i="52"/>
  <c r="M160" i="52"/>
  <c r="K160" i="52"/>
  <c r="X159" i="52"/>
  <c r="W159" i="52"/>
  <c r="V159" i="52"/>
  <c r="U159" i="52"/>
  <c r="T159" i="52"/>
  <c r="S159" i="52"/>
  <c r="Q159" i="52"/>
  <c r="O159" i="52"/>
  <c r="M159" i="52"/>
  <c r="K159" i="52"/>
  <c r="X158" i="52"/>
  <c r="W158" i="52"/>
  <c r="V158" i="52"/>
  <c r="U158" i="52"/>
  <c r="T158" i="52"/>
  <c r="S158" i="52"/>
  <c r="Q158" i="52"/>
  <c r="O158" i="52"/>
  <c r="M158" i="52"/>
  <c r="K158" i="52"/>
  <c r="X157" i="52"/>
  <c r="W157" i="52"/>
  <c r="V157" i="52"/>
  <c r="U157" i="52"/>
  <c r="T157" i="52"/>
  <c r="S157" i="52"/>
  <c r="Q157" i="52"/>
  <c r="O157" i="52"/>
  <c r="M157" i="52"/>
  <c r="K157" i="52"/>
  <c r="X156" i="52"/>
  <c r="W156" i="52"/>
  <c r="V156" i="52"/>
  <c r="U156" i="52"/>
  <c r="T156" i="52"/>
  <c r="S156" i="52"/>
  <c r="Q156" i="52"/>
  <c r="O156" i="52"/>
  <c r="M156" i="52"/>
  <c r="K156" i="52"/>
  <c r="X155" i="52"/>
  <c r="W155" i="52"/>
  <c r="V155" i="52"/>
  <c r="U155" i="52"/>
  <c r="T155" i="52"/>
  <c r="S155" i="52"/>
  <c r="Q155" i="52"/>
  <c r="O155" i="52"/>
  <c r="M155" i="52"/>
  <c r="K155" i="52"/>
  <c r="X154" i="52"/>
  <c r="W154" i="52"/>
  <c r="V154" i="52"/>
  <c r="U154" i="52"/>
  <c r="T154" i="52"/>
  <c r="S154" i="52"/>
  <c r="Q154" i="52"/>
  <c r="O154" i="52"/>
  <c r="M154" i="52"/>
  <c r="K154" i="52"/>
  <c r="X153" i="52"/>
  <c r="W153" i="52"/>
  <c r="V153" i="52"/>
  <c r="U153" i="52"/>
  <c r="T153" i="52"/>
  <c r="S153" i="52"/>
  <c r="Q153" i="52"/>
  <c r="O153" i="52"/>
  <c r="M153" i="52"/>
  <c r="K153" i="52"/>
  <c r="X152" i="52"/>
  <c r="W152" i="52"/>
  <c r="V152" i="52"/>
  <c r="U152" i="52"/>
  <c r="T152" i="52"/>
  <c r="S152" i="52"/>
  <c r="Q152" i="52"/>
  <c r="O152" i="52"/>
  <c r="M152" i="52"/>
  <c r="K152" i="52"/>
  <c r="X151" i="52"/>
  <c r="W151" i="52"/>
  <c r="V151" i="52"/>
  <c r="U151" i="52"/>
  <c r="T151" i="52"/>
  <c r="S151" i="52"/>
  <c r="Q151" i="52"/>
  <c r="O151" i="52"/>
  <c r="M151" i="52"/>
  <c r="K151" i="52"/>
  <c r="X150" i="52"/>
  <c r="W150" i="52"/>
  <c r="V150" i="52"/>
  <c r="U150" i="52"/>
  <c r="T150" i="52"/>
  <c r="S150" i="52"/>
  <c r="Q150" i="52"/>
  <c r="O150" i="52"/>
  <c r="M150" i="52"/>
  <c r="K150" i="52"/>
  <c r="X149" i="52"/>
  <c r="W149" i="52"/>
  <c r="V149" i="52"/>
  <c r="U149" i="52"/>
  <c r="T149" i="52"/>
  <c r="S149" i="52"/>
  <c r="Q149" i="52"/>
  <c r="O149" i="52"/>
  <c r="M149" i="52"/>
  <c r="K149" i="52"/>
  <c r="X148" i="52"/>
  <c r="W148" i="52"/>
  <c r="V148" i="52"/>
  <c r="U148" i="52"/>
  <c r="T148" i="52"/>
  <c r="S148" i="52"/>
  <c r="Q148" i="52"/>
  <c r="O148" i="52"/>
  <c r="M148" i="52"/>
  <c r="K148" i="52"/>
  <c r="X147" i="52"/>
  <c r="W147" i="52"/>
  <c r="V147" i="52"/>
  <c r="U147" i="52"/>
  <c r="T147" i="52"/>
  <c r="S147" i="52"/>
  <c r="Q147" i="52"/>
  <c r="O147" i="52"/>
  <c r="M147" i="52"/>
  <c r="K147" i="52"/>
  <c r="X146" i="52"/>
  <c r="W146" i="52"/>
  <c r="V146" i="52"/>
  <c r="U146" i="52"/>
  <c r="T146" i="52"/>
  <c r="S146" i="52"/>
  <c r="Q146" i="52"/>
  <c r="O146" i="52"/>
  <c r="M146" i="52"/>
  <c r="K146" i="52"/>
  <c r="X145" i="52"/>
  <c r="W145" i="52"/>
  <c r="V145" i="52"/>
  <c r="U145" i="52"/>
  <c r="T145" i="52"/>
  <c r="S145" i="52"/>
  <c r="Q145" i="52"/>
  <c r="O145" i="52"/>
  <c r="M145" i="52"/>
  <c r="K145" i="52"/>
  <c r="X144" i="52"/>
  <c r="W144" i="52"/>
  <c r="V144" i="52"/>
  <c r="U144" i="52"/>
  <c r="T144" i="52"/>
  <c r="S144" i="52"/>
  <c r="Q144" i="52"/>
  <c r="O144" i="52"/>
  <c r="M144" i="52"/>
  <c r="K144" i="52"/>
  <c r="X143" i="52"/>
  <c r="W143" i="52"/>
  <c r="V143" i="52"/>
  <c r="U143" i="52"/>
  <c r="T143" i="52"/>
  <c r="S143" i="52"/>
  <c r="Q143" i="52"/>
  <c r="O143" i="52"/>
  <c r="M143" i="52"/>
  <c r="K143" i="52"/>
  <c r="X142" i="52"/>
  <c r="W142" i="52"/>
  <c r="V142" i="52"/>
  <c r="U142" i="52"/>
  <c r="T142" i="52"/>
  <c r="S142" i="52"/>
  <c r="Q142" i="52"/>
  <c r="O142" i="52"/>
  <c r="M142" i="52"/>
  <c r="K142" i="52"/>
  <c r="X141" i="52"/>
  <c r="W141" i="52"/>
  <c r="V141" i="52"/>
  <c r="U141" i="52"/>
  <c r="T141" i="52"/>
  <c r="S141" i="52"/>
  <c r="Q141" i="52"/>
  <c r="O141" i="52"/>
  <c r="M141" i="52"/>
  <c r="K141" i="52"/>
  <c r="X140" i="52"/>
  <c r="W140" i="52"/>
  <c r="V140" i="52"/>
  <c r="U140" i="52"/>
  <c r="T140" i="52"/>
  <c r="S140" i="52"/>
  <c r="Q140" i="52"/>
  <c r="O140" i="52"/>
  <c r="M140" i="52"/>
  <c r="K140" i="52"/>
  <c r="X139" i="52"/>
  <c r="W139" i="52"/>
  <c r="V139" i="52"/>
  <c r="U139" i="52"/>
  <c r="T139" i="52"/>
  <c r="S139" i="52"/>
  <c r="Q139" i="52"/>
  <c r="O139" i="52"/>
  <c r="M139" i="52"/>
  <c r="K139" i="52"/>
  <c r="X138" i="52"/>
  <c r="W138" i="52"/>
  <c r="V138" i="52"/>
  <c r="U138" i="52"/>
  <c r="T138" i="52"/>
  <c r="S138" i="52"/>
  <c r="Q138" i="52"/>
  <c r="O138" i="52"/>
  <c r="M138" i="52"/>
  <c r="K138" i="52"/>
  <c r="X137" i="52"/>
  <c r="W137" i="52"/>
  <c r="V137" i="52"/>
  <c r="U137" i="52"/>
  <c r="T137" i="52"/>
  <c r="S137" i="52"/>
  <c r="Q137" i="52"/>
  <c r="O137" i="52"/>
  <c r="M137" i="52"/>
  <c r="K137" i="52"/>
  <c r="X136" i="52"/>
  <c r="W136" i="52"/>
  <c r="V136" i="52"/>
  <c r="U136" i="52"/>
  <c r="T136" i="52"/>
  <c r="S136" i="52"/>
  <c r="Q136" i="52"/>
  <c r="O136" i="52"/>
  <c r="M136" i="52"/>
  <c r="K136" i="52"/>
  <c r="X135" i="52"/>
  <c r="W135" i="52"/>
  <c r="V135" i="52"/>
  <c r="U135" i="52"/>
  <c r="T135" i="52"/>
  <c r="S135" i="52"/>
  <c r="Q135" i="52"/>
  <c r="O135" i="52"/>
  <c r="M135" i="52"/>
  <c r="K135" i="52"/>
  <c r="X134" i="52"/>
  <c r="W134" i="52"/>
  <c r="V134" i="52"/>
  <c r="U134" i="52"/>
  <c r="T134" i="52"/>
  <c r="S134" i="52"/>
  <c r="Q134" i="52"/>
  <c r="O134" i="52"/>
  <c r="M134" i="52"/>
  <c r="K134" i="52"/>
  <c r="X133" i="52"/>
  <c r="W133" i="52"/>
  <c r="V133" i="52"/>
  <c r="U133" i="52"/>
  <c r="T133" i="52"/>
  <c r="S133" i="52"/>
  <c r="Q133" i="52"/>
  <c r="O133" i="52"/>
  <c r="M133" i="52"/>
  <c r="K133" i="52"/>
  <c r="X132" i="52"/>
  <c r="W132" i="52"/>
  <c r="V132" i="52"/>
  <c r="U132" i="52"/>
  <c r="T132" i="52"/>
  <c r="S132" i="52"/>
  <c r="Q132" i="52"/>
  <c r="O132" i="52"/>
  <c r="M132" i="52"/>
  <c r="K132" i="52"/>
  <c r="X131" i="52"/>
  <c r="W131" i="52"/>
  <c r="V131" i="52"/>
  <c r="U131" i="52"/>
  <c r="T131" i="52"/>
  <c r="S131" i="52"/>
  <c r="Q131" i="52"/>
  <c r="O131" i="52"/>
  <c r="M131" i="52"/>
  <c r="K131" i="52"/>
  <c r="X130" i="52"/>
  <c r="W130" i="52"/>
  <c r="V130" i="52"/>
  <c r="U130" i="52"/>
  <c r="T130" i="52"/>
  <c r="S130" i="52"/>
  <c r="Q130" i="52"/>
  <c r="O130" i="52"/>
  <c r="M130" i="52"/>
  <c r="K130" i="52"/>
  <c r="X129" i="52"/>
  <c r="W129" i="52"/>
  <c r="V129" i="52"/>
  <c r="U129" i="52"/>
  <c r="T129" i="52"/>
  <c r="S129" i="52"/>
  <c r="Q129" i="52"/>
  <c r="O129" i="52"/>
  <c r="M129" i="52"/>
  <c r="K129" i="52"/>
  <c r="X128" i="52"/>
  <c r="W128" i="52"/>
  <c r="V128" i="52"/>
  <c r="U128" i="52"/>
  <c r="T128" i="52"/>
  <c r="S128" i="52"/>
  <c r="Q128" i="52"/>
  <c r="O128" i="52"/>
  <c r="M128" i="52"/>
  <c r="K128" i="52"/>
  <c r="X127" i="52"/>
  <c r="W127" i="52"/>
  <c r="V127" i="52"/>
  <c r="U127" i="52"/>
  <c r="T127" i="52"/>
  <c r="S127" i="52"/>
  <c r="Q127" i="52"/>
  <c r="O127" i="52"/>
  <c r="M127" i="52"/>
  <c r="K127" i="52"/>
  <c r="X126" i="52"/>
  <c r="W126" i="52"/>
  <c r="V126" i="52"/>
  <c r="U126" i="52"/>
  <c r="T126" i="52"/>
  <c r="S126" i="52"/>
  <c r="Q126" i="52"/>
  <c r="O126" i="52"/>
  <c r="M126" i="52"/>
  <c r="K126" i="52"/>
  <c r="X125" i="52"/>
  <c r="W125" i="52"/>
  <c r="V125" i="52"/>
  <c r="U125" i="52"/>
  <c r="T125" i="52"/>
  <c r="S125" i="52"/>
  <c r="Q125" i="52"/>
  <c r="O125" i="52"/>
  <c r="M125" i="52"/>
  <c r="K125" i="52"/>
  <c r="X124" i="52"/>
  <c r="W124" i="52"/>
  <c r="V124" i="52"/>
  <c r="U124" i="52"/>
  <c r="T124" i="52"/>
  <c r="S124" i="52"/>
  <c r="Q124" i="52"/>
  <c r="O124" i="52"/>
  <c r="M124" i="52"/>
  <c r="K124" i="52"/>
  <c r="X123" i="52"/>
  <c r="W123" i="52"/>
  <c r="V123" i="52"/>
  <c r="U123" i="52"/>
  <c r="T123" i="52"/>
  <c r="S123" i="52"/>
  <c r="Q123" i="52"/>
  <c r="O123" i="52"/>
  <c r="M123" i="52"/>
  <c r="K123" i="52"/>
  <c r="X122" i="52"/>
  <c r="W122" i="52"/>
  <c r="V122" i="52"/>
  <c r="U122" i="52"/>
  <c r="T122" i="52"/>
  <c r="S122" i="52"/>
  <c r="Q122" i="52"/>
  <c r="O122" i="52"/>
  <c r="M122" i="52"/>
  <c r="K122" i="52"/>
  <c r="X121" i="52"/>
  <c r="W121" i="52"/>
  <c r="V121" i="52"/>
  <c r="U121" i="52"/>
  <c r="T121" i="52"/>
  <c r="S121" i="52"/>
  <c r="Q121" i="52"/>
  <c r="O121" i="52"/>
  <c r="M121" i="52"/>
  <c r="K121" i="52"/>
  <c r="X120" i="52"/>
  <c r="W120" i="52"/>
  <c r="V120" i="52"/>
  <c r="U120" i="52"/>
  <c r="T120" i="52"/>
  <c r="S120" i="52"/>
  <c r="Q120" i="52"/>
  <c r="O120" i="52"/>
  <c r="M120" i="52"/>
  <c r="K120" i="52"/>
  <c r="X119" i="52"/>
  <c r="W119" i="52"/>
  <c r="V119" i="52"/>
  <c r="U119" i="52"/>
  <c r="T119" i="52"/>
  <c r="S119" i="52"/>
  <c r="Q119" i="52"/>
  <c r="O119" i="52"/>
  <c r="M119" i="52"/>
  <c r="K119" i="52"/>
  <c r="X118" i="52"/>
  <c r="W118" i="52"/>
  <c r="V118" i="52"/>
  <c r="U118" i="52"/>
  <c r="T118" i="52"/>
  <c r="S118" i="52"/>
  <c r="Q118" i="52"/>
  <c r="O118" i="52"/>
  <c r="M118" i="52"/>
  <c r="K118" i="52"/>
  <c r="X117" i="52"/>
  <c r="W117" i="52"/>
  <c r="V117" i="52"/>
  <c r="U117" i="52"/>
  <c r="T117" i="52"/>
  <c r="S117" i="52"/>
  <c r="Q117" i="52"/>
  <c r="O117" i="52"/>
  <c r="M117" i="52"/>
  <c r="K117" i="52"/>
  <c r="X116" i="52"/>
  <c r="W116" i="52"/>
  <c r="V116" i="52"/>
  <c r="U116" i="52"/>
  <c r="T116" i="52"/>
  <c r="S116" i="52"/>
  <c r="Q116" i="52"/>
  <c r="O116" i="52"/>
  <c r="M116" i="52"/>
  <c r="K116" i="52"/>
  <c r="X115" i="52"/>
  <c r="W115" i="52"/>
  <c r="V115" i="52"/>
  <c r="U115" i="52"/>
  <c r="T115" i="52"/>
  <c r="S115" i="52"/>
  <c r="Q115" i="52"/>
  <c r="O115" i="52"/>
  <c r="M115" i="52"/>
  <c r="K115" i="52"/>
  <c r="X114" i="52"/>
  <c r="W114" i="52"/>
  <c r="V114" i="52"/>
  <c r="U114" i="52"/>
  <c r="T114" i="52"/>
  <c r="S114" i="52"/>
  <c r="Q114" i="52"/>
  <c r="O114" i="52"/>
  <c r="M114" i="52"/>
  <c r="K114" i="52"/>
  <c r="X113" i="52"/>
  <c r="W113" i="52"/>
  <c r="V113" i="52"/>
  <c r="U113" i="52"/>
  <c r="T113" i="52"/>
  <c r="S113" i="52"/>
  <c r="Q113" i="52"/>
  <c r="O113" i="52"/>
  <c r="M113" i="52"/>
  <c r="K113" i="52"/>
  <c r="X112" i="52"/>
  <c r="W112" i="52"/>
  <c r="V112" i="52"/>
  <c r="U112" i="52"/>
  <c r="T112" i="52"/>
  <c r="S112" i="52"/>
  <c r="Q112" i="52"/>
  <c r="O112" i="52"/>
  <c r="M112" i="52"/>
  <c r="K112" i="52"/>
  <c r="X111" i="52"/>
  <c r="W111" i="52"/>
  <c r="V111" i="52"/>
  <c r="U111" i="52"/>
  <c r="T111" i="52"/>
  <c r="S111" i="52"/>
  <c r="Q111" i="52"/>
  <c r="O111" i="52"/>
  <c r="M111" i="52"/>
  <c r="K111" i="52"/>
  <c r="X110" i="52"/>
  <c r="W110" i="52"/>
  <c r="V110" i="52"/>
  <c r="U110" i="52"/>
  <c r="T110" i="52"/>
  <c r="S110" i="52"/>
  <c r="Q110" i="52"/>
  <c r="O110" i="52"/>
  <c r="M110" i="52"/>
  <c r="K110" i="52"/>
  <c r="X109" i="52"/>
  <c r="W109" i="52"/>
  <c r="V109" i="52"/>
  <c r="U109" i="52"/>
  <c r="T109" i="52"/>
  <c r="S109" i="52"/>
  <c r="Q109" i="52"/>
  <c r="O109" i="52"/>
  <c r="M109" i="52"/>
  <c r="K109" i="52"/>
  <c r="X108" i="52"/>
  <c r="W108" i="52"/>
  <c r="V108" i="52"/>
  <c r="U108" i="52"/>
  <c r="T108" i="52"/>
  <c r="S108" i="52"/>
  <c r="Q108" i="52"/>
  <c r="O108" i="52"/>
  <c r="M108" i="52"/>
  <c r="K108" i="52"/>
  <c r="X107" i="52"/>
  <c r="W107" i="52"/>
  <c r="V107" i="52"/>
  <c r="U107" i="52"/>
  <c r="T107" i="52"/>
  <c r="S107" i="52"/>
  <c r="Q107" i="52"/>
  <c r="O107" i="52"/>
  <c r="M107" i="52"/>
  <c r="K107" i="52"/>
  <c r="X106" i="52"/>
  <c r="W106" i="52"/>
  <c r="V106" i="52"/>
  <c r="U106" i="52"/>
  <c r="T106" i="52"/>
  <c r="S106" i="52"/>
  <c r="Q106" i="52"/>
  <c r="O106" i="52"/>
  <c r="M106" i="52"/>
  <c r="K106" i="52"/>
  <c r="X105" i="52"/>
  <c r="W105" i="52"/>
  <c r="V105" i="52"/>
  <c r="U105" i="52"/>
  <c r="T105" i="52"/>
  <c r="S105" i="52"/>
  <c r="Q105" i="52"/>
  <c r="O105" i="52"/>
  <c r="M105" i="52"/>
  <c r="K105" i="52"/>
  <c r="X104" i="52"/>
  <c r="W104" i="52"/>
  <c r="V104" i="52"/>
  <c r="U104" i="52"/>
  <c r="T104" i="52"/>
  <c r="S104" i="52"/>
  <c r="Q104" i="52"/>
  <c r="O104" i="52"/>
  <c r="M104" i="52"/>
  <c r="K104" i="52"/>
  <c r="X103" i="52"/>
  <c r="W103" i="52"/>
  <c r="V103" i="52"/>
  <c r="U103" i="52"/>
  <c r="T103" i="52"/>
  <c r="S103" i="52"/>
  <c r="Q103" i="52"/>
  <c r="O103" i="52"/>
  <c r="M103" i="52"/>
  <c r="K103" i="52"/>
  <c r="X102" i="52"/>
  <c r="W102" i="52"/>
  <c r="V102" i="52"/>
  <c r="U102" i="52"/>
  <c r="T102" i="52"/>
  <c r="S102" i="52"/>
  <c r="Q102" i="52"/>
  <c r="O102" i="52"/>
  <c r="M102" i="52"/>
  <c r="K102" i="52"/>
  <c r="X101" i="52"/>
  <c r="W101" i="52"/>
  <c r="V101" i="52"/>
  <c r="U101" i="52"/>
  <c r="T101" i="52"/>
  <c r="S101" i="52"/>
  <c r="Q101" i="52"/>
  <c r="O101" i="52"/>
  <c r="M101" i="52"/>
  <c r="K101" i="52"/>
  <c r="X100" i="52"/>
  <c r="W100" i="52"/>
  <c r="V100" i="52"/>
  <c r="U100" i="52"/>
  <c r="T100" i="52"/>
  <c r="S100" i="52"/>
  <c r="Q100" i="52"/>
  <c r="O100" i="52"/>
  <c r="M100" i="52"/>
  <c r="K100" i="52"/>
  <c r="X99" i="52"/>
  <c r="W99" i="52"/>
  <c r="V99" i="52"/>
  <c r="U99" i="52"/>
  <c r="T99" i="52"/>
  <c r="S99" i="52"/>
  <c r="Q99" i="52"/>
  <c r="O99" i="52"/>
  <c r="M99" i="52"/>
  <c r="K99" i="52"/>
  <c r="X98" i="52"/>
  <c r="W98" i="52"/>
  <c r="V98" i="52"/>
  <c r="U98" i="52"/>
  <c r="T98" i="52"/>
  <c r="S98" i="52"/>
  <c r="Q98" i="52"/>
  <c r="O98" i="52"/>
  <c r="M98" i="52"/>
  <c r="K98" i="52"/>
  <c r="X97" i="52"/>
  <c r="W97" i="52"/>
  <c r="V97" i="52"/>
  <c r="U97" i="52"/>
  <c r="T97" i="52"/>
  <c r="S97" i="52"/>
  <c r="Q97" i="52"/>
  <c r="O97" i="52"/>
  <c r="M97" i="52"/>
  <c r="K97" i="52"/>
  <c r="X96" i="52"/>
  <c r="W96" i="52"/>
  <c r="V96" i="52"/>
  <c r="U96" i="52"/>
  <c r="T96" i="52"/>
  <c r="S96" i="52"/>
  <c r="Q96" i="52"/>
  <c r="O96" i="52"/>
  <c r="M96" i="52"/>
  <c r="K96" i="52"/>
  <c r="X95" i="52"/>
  <c r="W95" i="52"/>
  <c r="V95" i="52"/>
  <c r="U95" i="52"/>
  <c r="T95" i="52"/>
  <c r="S95" i="52"/>
  <c r="Q95" i="52"/>
  <c r="O95" i="52"/>
  <c r="M95" i="52"/>
  <c r="K95" i="52"/>
  <c r="X94" i="52"/>
  <c r="W94" i="52"/>
  <c r="V94" i="52"/>
  <c r="U94" i="52"/>
  <c r="T94" i="52"/>
  <c r="S94" i="52"/>
  <c r="Q94" i="52"/>
  <c r="O94" i="52"/>
  <c r="M94" i="52"/>
  <c r="K94" i="52"/>
  <c r="X93" i="52"/>
  <c r="W93" i="52"/>
  <c r="V93" i="52"/>
  <c r="U93" i="52"/>
  <c r="T93" i="52"/>
  <c r="S93" i="52"/>
  <c r="Q93" i="52"/>
  <c r="O93" i="52"/>
  <c r="M93" i="52"/>
  <c r="K93" i="52"/>
  <c r="X92" i="52"/>
  <c r="W92" i="52"/>
  <c r="V92" i="52"/>
  <c r="U92" i="52"/>
  <c r="T92" i="52"/>
  <c r="S92" i="52"/>
  <c r="Q92" i="52"/>
  <c r="O92" i="52"/>
  <c r="M92" i="52"/>
  <c r="K92" i="52"/>
  <c r="X91" i="52"/>
  <c r="W91" i="52"/>
  <c r="V91" i="52"/>
  <c r="U91" i="52"/>
  <c r="T91" i="52"/>
  <c r="S91" i="52"/>
  <c r="Q91" i="52"/>
  <c r="O91" i="52"/>
  <c r="M91" i="52"/>
  <c r="K91" i="52"/>
  <c r="X90" i="52"/>
  <c r="W90" i="52"/>
  <c r="V90" i="52"/>
  <c r="U90" i="52"/>
  <c r="T90" i="52"/>
  <c r="S90" i="52"/>
  <c r="Q90" i="52"/>
  <c r="O90" i="52"/>
  <c r="M90" i="52"/>
  <c r="K90" i="52"/>
  <c r="X89" i="52"/>
  <c r="W89" i="52"/>
  <c r="V89" i="52"/>
  <c r="U89" i="52"/>
  <c r="T89" i="52"/>
  <c r="S89" i="52"/>
  <c r="Q89" i="52"/>
  <c r="O89" i="52"/>
  <c r="M89" i="52"/>
  <c r="K89" i="52"/>
  <c r="X88" i="52"/>
  <c r="W88" i="52"/>
  <c r="V88" i="52"/>
  <c r="U88" i="52"/>
  <c r="T88" i="52"/>
  <c r="S88" i="52"/>
  <c r="Q88" i="52"/>
  <c r="O88" i="52"/>
  <c r="M88" i="52"/>
  <c r="K88" i="52"/>
  <c r="X87" i="52"/>
  <c r="W87" i="52"/>
  <c r="V87" i="52"/>
  <c r="U87" i="52"/>
  <c r="T87" i="52"/>
  <c r="S87" i="52"/>
  <c r="Q87" i="52"/>
  <c r="O87" i="52"/>
  <c r="M87" i="52"/>
  <c r="K87" i="52"/>
  <c r="X86" i="52"/>
  <c r="W86" i="52"/>
  <c r="V86" i="52"/>
  <c r="U86" i="52"/>
  <c r="T86" i="52"/>
  <c r="S86" i="52"/>
  <c r="Q86" i="52"/>
  <c r="O86" i="52"/>
  <c r="M86" i="52"/>
  <c r="K86" i="52"/>
  <c r="X85" i="52"/>
  <c r="W85" i="52"/>
  <c r="V85" i="52"/>
  <c r="U85" i="52"/>
  <c r="T85" i="52"/>
  <c r="S85" i="52"/>
  <c r="Q85" i="52"/>
  <c r="O85" i="52"/>
  <c r="M85" i="52"/>
  <c r="K85" i="52"/>
  <c r="X84" i="52"/>
  <c r="W84" i="52"/>
  <c r="V84" i="52"/>
  <c r="U84" i="52"/>
  <c r="T84" i="52"/>
  <c r="S84" i="52"/>
  <c r="Q84" i="52"/>
  <c r="O84" i="52"/>
  <c r="M84" i="52"/>
  <c r="K84" i="52"/>
  <c r="X83" i="52"/>
  <c r="W83" i="52"/>
  <c r="V83" i="52"/>
  <c r="U83" i="52"/>
  <c r="T83" i="52"/>
  <c r="S83" i="52"/>
  <c r="Q83" i="52"/>
  <c r="O83" i="52"/>
  <c r="M83" i="52"/>
  <c r="K83" i="52"/>
  <c r="X82" i="52"/>
  <c r="W82" i="52"/>
  <c r="V82" i="52"/>
  <c r="U82" i="52"/>
  <c r="T82" i="52"/>
  <c r="S82" i="52"/>
  <c r="Q82" i="52"/>
  <c r="O82" i="52"/>
  <c r="M82" i="52"/>
  <c r="K82" i="52"/>
  <c r="X81" i="52"/>
  <c r="W81" i="52"/>
  <c r="V81" i="52"/>
  <c r="U81" i="52"/>
  <c r="T81" i="52"/>
  <c r="S81" i="52"/>
  <c r="Q81" i="52"/>
  <c r="O81" i="52"/>
  <c r="M81" i="52"/>
  <c r="K81" i="52"/>
  <c r="X80" i="52"/>
  <c r="W80" i="52"/>
  <c r="V80" i="52"/>
  <c r="U80" i="52"/>
  <c r="T80" i="52"/>
  <c r="S80" i="52"/>
  <c r="Q80" i="52"/>
  <c r="O80" i="52"/>
  <c r="M80" i="52"/>
  <c r="K80" i="52"/>
  <c r="X79" i="52"/>
  <c r="W79" i="52"/>
  <c r="V79" i="52"/>
  <c r="U79" i="52"/>
  <c r="T79" i="52"/>
  <c r="S79" i="52"/>
  <c r="Q79" i="52"/>
  <c r="O79" i="52"/>
  <c r="M79" i="52"/>
  <c r="K79" i="52"/>
  <c r="X78" i="52"/>
  <c r="W78" i="52"/>
  <c r="V78" i="52"/>
  <c r="U78" i="52"/>
  <c r="T78" i="52"/>
  <c r="S78" i="52"/>
  <c r="Q78" i="52"/>
  <c r="O78" i="52"/>
  <c r="M78" i="52"/>
  <c r="K78" i="52"/>
  <c r="X77" i="52"/>
  <c r="W77" i="52"/>
  <c r="V77" i="52"/>
  <c r="U77" i="52"/>
  <c r="T77" i="52"/>
  <c r="S77" i="52"/>
  <c r="Q77" i="52"/>
  <c r="O77" i="52"/>
  <c r="M77" i="52"/>
  <c r="K77" i="52"/>
  <c r="X76" i="52"/>
  <c r="W76" i="52"/>
  <c r="V76" i="52"/>
  <c r="U76" i="52"/>
  <c r="T76" i="52"/>
  <c r="S76" i="52"/>
  <c r="Q76" i="52"/>
  <c r="O76" i="52"/>
  <c r="M76" i="52"/>
  <c r="K76" i="52"/>
  <c r="X75" i="52"/>
  <c r="W75" i="52"/>
  <c r="V75" i="52"/>
  <c r="U75" i="52"/>
  <c r="T75" i="52"/>
  <c r="S75" i="52"/>
  <c r="Q75" i="52"/>
  <c r="O75" i="52"/>
  <c r="M75" i="52"/>
  <c r="K75" i="52"/>
  <c r="X74" i="52"/>
  <c r="W74" i="52"/>
  <c r="V74" i="52"/>
  <c r="U74" i="52"/>
  <c r="T74" i="52"/>
  <c r="S74" i="52"/>
  <c r="Q74" i="52"/>
  <c r="O74" i="52"/>
  <c r="M74" i="52"/>
  <c r="K74" i="52"/>
  <c r="X73" i="52"/>
  <c r="W73" i="52"/>
  <c r="V73" i="52"/>
  <c r="U73" i="52"/>
  <c r="T73" i="52"/>
  <c r="S73" i="52"/>
  <c r="Q73" i="52"/>
  <c r="O73" i="52"/>
  <c r="M73" i="52"/>
  <c r="K73" i="52"/>
  <c r="X72" i="52"/>
  <c r="W72" i="52"/>
  <c r="V72" i="52"/>
  <c r="U72" i="52"/>
  <c r="T72" i="52"/>
  <c r="S72" i="52"/>
  <c r="Q72" i="52"/>
  <c r="O72" i="52"/>
  <c r="M72" i="52"/>
  <c r="K72" i="52"/>
  <c r="X71" i="52"/>
  <c r="W71" i="52"/>
  <c r="V71" i="52"/>
  <c r="U71" i="52"/>
  <c r="T71" i="52"/>
  <c r="S71" i="52"/>
  <c r="Q71" i="52"/>
  <c r="O71" i="52"/>
  <c r="M71" i="52"/>
  <c r="K71" i="52"/>
  <c r="X70" i="52"/>
  <c r="W70" i="52"/>
  <c r="V70" i="52"/>
  <c r="U70" i="52"/>
  <c r="T70" i="52"/>
  <c r="S70" i="52"/>
  <c r="Q70" i="52"/>
  <c r="O70" i="52"/>
  <c r="M70" i="52"/>
  <c r="K70" i="52"/>
  <c r="X69" i="52"/>
  <c r="W69" i="52"/>
  <c r="V69" i="52"/>
  <c r="U69" i="52"/>
  <c r="T69" i="52"/>
  <c r="S69" i="52"/>
  <c r="Q69" i="52"/>
  <c r="O69" i="52"/>
  <c r="M69" i="52"/>
  <c r="K69" i="52"/>
  <c r="X68" i="52"/>
  <c r="W68" i="52"/>
  <c r="V68" i="52"/>
  <c r="U68" i="52"/>
  <c r="T68" i="52"/>
  <c r="S68" i="52"/>
  <c r="Q68" i="52"/>
  <c r="O68" i="52"/>
  <c r="M68" i="52"/>
  <c r="K68" i="52"/>
  <c r="X67" i="52"/>
  <c r="W67" i="52"/>
  <c r="V67" i="52"/>
  <c r="U67" i="52"/>
  <c r="T67" i="52"/>
  <c r="S67" i="52"/>
  <c r="Q67" i="52"/>
  <c r="O67" i="52"/>
  <c r="M67" i="52"/>
  <c r="K67" i="52"/>
  <c r="X66" i="52"/>
  <c r="W66" i="52"/>
  <c r="V66" i="52"/>
  <c r="U66" i="52"/>
  <c r="T66" i="52"/>
  <c r="S66" i="52"/>
  <c r="Q66" i="52"/>
  <c r="O66" i="52"/>
  <c r="M66" i="52"/>
  <c r="K66" i="52"/>
  <c r="X65" i="52"/>
  <c r="W65" i="52"/>
  <c r="V65" i="52"/>
  <c r="U65" i="52"/>
  <c r="T65" i="52"/>
  <c r="S65" i="52"/>
  <c r="Q65" i="52"/>
  <c r="O65" i="52"/>
  <c r="M65" i="52"/>
  <c r="K65" i="52"/>
  <c r="X64" i="52"/>
  <c r="W64" i="52"/>
  <c r="V64" i="52"/>
  <c r="U64" i="52"/>
  <c r="T64" i="52"/>
  <c r="S64" i="52"/>
  <c r="Q64" i="52"/>
  <c r="O64" i="52"/>
  <c r="M64" i="52"/>
  <c r="K64" i="52"/>
  <c r="X63" i="52"/>
  <c r="W63" i="52"/>
  <c r="V63" i="52"/>
  <c r="U63" i="52"/>
  <c r="T63" i="52"/>
  <c r="S63" i="52"/>
  <c r="Q63" i="52"/>
  <c r="O63" i="52"/>
  <c r="M63" i="52"/>
  <c r="K63" i="52"/>
  <c r="X62" i="52"/>
  <c r="W62" i="52"/>
  <c r="V62" i="52"/>
  <c r="U62" i="52"/>
  <c r="T62" i="52"/>
  <c r="S62" i="52"/>
  <c r="Q62" i="52"/>
  <c r="O62" i="52"/>
  <c r="M62" i="52"/>
  <c r="K62" i="52"/>
  <c r="X61" i="52"/>
  <c r="W61" i="52"/>
  <c r="V61" i="52"/>
  <c r="U61" i="52"/>
  <c r="T61" i="52"/>
  <c r="S61" i="52"/>
  <c r="Q61" i="52"/>
  <c r="O61" i="52"/>
  <c r="M61" i="52"/>
  <c r="K61" i="52"/>
  <c r="X60" i="52"/>
  <c r="W60" i="52"/>
  <c r="V60" i="52"/>
  <c r="U60" i="52"/>
  <c r="T60" i="52"/>
  <c r="S60" i="52"/>
  <c r="Q60" i="52"/>
  <c r="O60" i="52"/>
  <c r="M60" i="52"/>
  <c r="K60" i="52"/>
  <c r="X59" i="52"/>
  <c r="W59" i="52"/>
  <c r="V59" i="52"/>
  <c r="U59" i="52"/>
  <c r="T59" i="52"/>
  <c r="S59" i="52"/>
  <c r="Q59" i="52"/>
  <c r="O59" i="52"/>
  <c r="M59" i="52"/>
  <c r="K59" i="52"/>
  <c r="X58" i="52"/>
  <c r="W58" i="52"/>
  <c r="V58" i="52"/>
  <c r="U58" i="52"/>
  <c r="T58" i="52"/>
  <c r="S58" i="52"/>
  <c r="Q58" i="52"/>
  <c r="O58" i="52"/>
  <c r="M58" i="52"/>
  <c r="K58" i="52"/>
  <c r="X57" i="52"/>
  <c r="W57" i="52"/>
  <c r="V57" i="52"/>
  <c r="U57" i="52"/>
  <c r="T57" i="52"/>
  <c r="S57" i="52"/>
  <c r="Q57" i="52"/>
  <c r="O57" i="52"/>
  <c r="M57" i="52"/>
  <c r="K57" i="52"/>
  <c r="X56" i="52"/>
  <c r="W56" i="52"/>
  <c r="V56" i="52"/>
  <c r="U56" i="52"/>
  <c r="T56" i="52"/>
  <c r="S56" i="52"/>
  <c r="Q56" i="52"/>
  <c r="O56" i="52"/>
  <c r="M56" i="52"/>
  <c r="K56" i="52"/>
  <c r="X55" i="52"/>
  <c r="W55" i="52"/>
  <c r="V55" i="52"/>
  <c r="U55" i="52"/>
  <c r="T55" i="52"/>
  <c r="S55" i="52"/>
  <c r="Q55" i="52"/>
  <c r="O55" i="52"/>
  <c r="M55" i="52"/>
  <c r="K55" i="52"/>
  <c r="X54" i="52"/>
  <c r="W54" i="52"/>
  <c r="V54" i="52"/>
  <c r="U54" i="52"/>
  <c r="T54" i="52"/>
  <c r="S54" i="52"/>
  <c r="Q54" i="52"/>
  <c r="O54" i="52"/>
  <c r="M54" i="52"/>
  <c r="K54" i="52"/>
  <c r="X53" i="52"/>
  <c r="W53" i="52"/>
  <c r="V53" i="52"/>
  <c r="U53" i="52"/>
  <c r="T53" i="52"/>
  <c r="S53" i="52"/>
  <c r="Q53" i="52"/>
  <c r="O53" i="52"/>
  <c r="M53" i="52"/>
  <c r="K53" i="52"/>
  <c r="X52" i="52"/>
  <c r="W52" i="52"/>
  <c r="V52" i="52"/>
  <c r="U52" i="52"/>
  <c r="T52" i="52"/>
  <c r="S52" i="52"/>
  <c r="Q52" i="52"/>
  <c r="O52" i="52"/>
  <c r="M52" i="52"/>
  <c r="K52" i="52"/>
  <c r="X51" i="52"/>
  <c r="W51" i="52"/>
  <c r="V51" i="52"/>
  <c r="U51" i="52"/>
  <c r="T51" i="52"/>
  <c r="S51" i="52"/>
  <c r="Q51" i="52"/>
  <c r="O51" i="52"/>
  <c r="M51" i="52"/>
  <c r="K51" i="52"/>
  <c r="X50" i="52"/>
  <c r="W50" i="52"/>
  <c r="V50" i="52"/>
  <c r="U50" i="52"/>
  <c r="T50" i="52"/>
  <c r="S50" i="52"/>
  <c r="Q50" i="52"/>
  <c r="O50" i="52"/>
  <c r="M50" i="52"/>
  <c r="K50" i="52"/>
  <c r="X49" i="52"/>
  <c r="W49" i="52"/>
  <c r="V49" i="52"/>
  <c r="U49" i="52"/>
  <c r="T49" i="52"/>
  <c r="S49" i="52"/>
  <c r="Q49" i="52"/>
  <c r="O49" i="52"/>
  <c r="M49" i="52"/>
  <c r="K49" i="52"/>
  <c r="X48" i="52"/>
  <c r="W48" i="52"/>
  <c r="V48" i="52"/>
  <c r="U48" i="52"/>
  <c r="T48" i="52"/>
  <c r="S48" i="52"/>
  <c r="Q48" i="52"/>
  <c r="O48" i="52"/>
  <c r="M48" i="52"/>
  <c r="K48" i="52"/>
  <c r="X47" i="52"/>
  <c r="W47" i="52"/>
  <c r="V47" i="52"/>
  <c r="U47" i="52"/>
  <c r="T47" i="52"/>
  <c r="S47" i="52"/>
  <c r="Q47" i="52"/>
  <c r="O47" i="52"/>
  <c r="M47" i="52"/>
  <c r="K47" i="52"/>
  <c r="X46" i="52"/>
  <c r="W46" i="52"/>
  <c r="V46" i="52"/>
  <c r="U46" i="52"/>
  <c r="T46" i="52"/>
  <c r="S46" i="52"/>
  <c r="Q46" i="52"/>
  <c r="O46" i="52"/>
  <c r="M46" i="52"/>
  <c r="K46" i="52"/>
  <c r="X45" i="52"/>
  <c r="W45" i="52"/>
  <c r="V45" i="52"/>
  <c r="U45" i="52"/>
  <c r="T45" i="52"/>
  <c r="S45" i="52"/>
  <c r="Q45" i="52"/>
  <c r="O45" i="52"/>
  <c r="M45" i="52"/>
  <c r="K45" i="52"/>
  <c r="X44" i="52"/>
  <c r="W44" i="52"/>
  <c r="V44" i="52"/>
  <c r="U44" i="52"/>
  <c r="T44" i="52"/>
  <c r="S44" i="52"/>
  <c r="Q44" i="52"/>
  <c r="O44" i="52"/>
  <c r="M44" i="52"/>
  <c r="K44" i="52"/>
  <c r="X43" i="52"/>
  <c r="W43" i="52"/>
  <c r="V43" i="52"/>
  <c r="U43" i="52"/>
  <c r="T43" i="52"/>
  <c r="S43" i="52"/>
  <c r="Q43" i="52"/>
  <c r="O43" i="52"/>
  <c r="M43" i="52"/>
  <c r="K43" i="52"/>
  <c r="X42" i="52"/>
  <c r="W42" i="52"/>
  <c r="V42" i="52"/>
  <c r="U42" i="52"/>
  <c r="T42" i="52"/>
  <c r="S42" i="52"/>
  <c r="Q42" i="52"/>
  <c r="O42" i="52"/>
  <c r="M42" i="52"/>
  <c r="K42" i="52"/>
  <c r="X41" i="52"/>
  <c r="W41" i="52"/>
  <c r="V41" i="52"/>
  <c r="U41" i="52"/>
  <c r="T41" i="52"/>
  <c r="S41" i="52"/>
  <c r="Q41" i="52"/>
  <c r="O41" i="52"/>
  <c r="M41" i="52"/>
  <c r="K41" i="52"/>
  <c r="X40" i="52"/>
  <c r="W40" i="52"/>
  <c r="V40" i="52"/>
  <c r="U40" i="52"/>
  <c r="T40" i="52"/>
  <c r="S40" i="52"/>
  <c r="Q40" i="52"/>
  <c r="O40" i="52"/>
  <c r="M40" i="52"/>
  <c r="K40" i="52"/>
  <c r="X39" i="52"/>
  <c r="W39" i="52"/>
  <c r="V39" i="52"/>
  <c r="U39" i="52"/>
  <c r="T39" i="52"/>
  <c r="S39" i="52"/>
  <c r="Q39" i="52"/>
  <c r="O39" i="52"/>
  <c r="M39" i="52"/>
  <c r="K39" i="52"/>
  <c r="X38" i="52"/>
  <c r="W38" i="52"/>
  <c r="V38" i="52"/>
  <c r="U38" i="52"/>
  <c r="T38" i="52"/>
  <c r="S38" i="52"/>
  <c r="Q38" i="52"/>
  <c r="O38" i="52"/>
  <c r="M38" i="52"/>
  <c r="K38" i="52"/>
  <c r="X37" i="52"/>
  <c r="W37" i="52"/>
  <c r="V37" i="52"/>
  <c r="U37" i="52"/>
  <c r="T37" i="52"/>
  <c r="S37" i="52"/>
  <c r="Q37" i="52"/>
  <c r="O37" i="52"/>
  <c r="M37" i="52"/>
  <c r="K37" i="52"/>
  <c r="X36" i="52"/>
  <c r="W36" i="52"/>
  <c r="V36" i="52"/>
  <c r="U36" i="52"/>
  <c r="T36" i="52"/>
  <c r="S36" i="52"/>
  <c r="Q36" i="52"/>
  <c r="O36" i="52"/>
  <c r="M36" i="52"/>
  <c r="K36" i="52"/>
  <c r="X35" i="52"/>
  <c r="W35" i="52"/>
  <c r="V35" i="52"/>
  <c r="U35" i="52"/>
  <c r="T35" i="52"/>
  <c r="S35" i="52"/>
  <c r="Q35" i="52"/>
  <c r="O35" i="52"/>
  <c r="M35" i="52"/>
  <c r="K35" i="52"/>
  <c r="X34" i="52"/>
  <c r="W34" i="52"/>
  <c r="V34" i="52"/>
  <c r="U34" i="52"/>
  <c r="T34" i="52"/>
  <c r="S34" i="52"/>
  <c r="Q34" i="52"/>
  <c r="O34" i="52"/>
  <c r="M34" i="52"/>
  <c r="K34" i="52"/>
  <c r="X33" i="52"/>
  <c r="W33" i="52"/>
  <c r="V33" i="52"/>
  <c r="U33" i="52"/>
  <c r="T33" i="52"/>
  <c r="S33" i="52"/>
  <c r="Q33" i="52"/>
  <c r="O33" i="52"/>
  <c r="M33" i="52"/>
  <c r="K33" i="52"/>
  <c r="X32" i="52"/>
  <c r="W32" i="52"/>
  <c r="V32" i="52"/>
  <c r="U32" i="52"/>
  <c r="T32" i="52"/>
  <c r="S32" i="52"/>
  <c r="Q32" i="52"/>
  <c r="O32" i="52"/>
  <c r="M32" i="52"/>
  <c r="K32" i="52"/>
  <c r="X31" i="52"/>
  <c r="W31" i="52"/>
  <c r="V31" i="52"/>
  <c r="U31" i="52"/>
  <c r="T31" i="52"/>
  <c r="S31" i="52"/>
  <c r="Q31" i="52"/>
  <c r="O31" i="52"/>
  <c r="M31" i="52"/>
  <c r="K31" i="52"/>
  <c r="X30" i="52"/>
  <c r="W30" i="52"/>
  <c r="V30" i="52"/>
  <c r="U30" i="52"/>
  <c r="T30" i="52"/>
  <c r="S30" i="52"/>
  <c r="Q30" i="52"/>
  <c r="O30" i="52"/>
  <c r="M30" i="52"/>
  <c r="K30" i="52"/>
  <c r="X29" i="52"/>
  <c r="W29" i="52"/>
  <c r="V29" i="52"/>
  <c r="U29" i="52"/>
  <c r="T29" i="52"/>
  <c r="S29" i="52"/>
  <c r="Q29" i="52"/>
  <c r="O29" i="52"/>
  <c r="M29" i="52"/>
  <c r="K29" i="52"/>
  <c r="X28" i="52"/>
  <c r="W28" i="52"/>
  <c r="V28" i="52"/>
  <c r="U28" i="52"/>
  <c r="T28" i="52"/>
  <c r="S28" i="52"/>
  <c r="Q28" i="52"/>
  <c r="O28" i="52"/>
  <c r="M28" i="52"/>
  <c r="K28" i="52"/>
  <c r="X27" i="52"/>
  <c r="W27" i="52"/>
  <c r="V27" i="52"/>
  <c r="U27" i="52"/>
  <c r="T27" i="52"/>
  <c r="S27" i="52"/>
  <c r="Q27" i="52"/>
  <c r="O27" i="52"/>
  <c r="M27" i="52"/>
  <c r="K27" i="52"/>
  <c r="X26" i="52"/>
  <c r="W26" i="52"/>
  <c r="V26" i="52"/>
  <c r="U26" i="52"/>
  <c r="T26" i="52"/>
  <c r="S26" i="52"/>
  <c r="Q26" i="52"/>
  <c r="O26" i="52"/>
  <c r="M26" i="52"/>
  <c r="K26" i="52"/>
  <c r="X25" i="52"/>
  <c r="W25" i="52"/>
  <c r="V25" i="52"/>
  <c r="U25" i="52"/>
  <c r="T25" i="52"/>
  <c r="S25" i="52"/>
  <c r="Q25" i="52"/>
  <c r="O25" i="52"/>
  <c r="M25" i="52"/>
  <c r="K25" i="52"/>
  <c r="X24" i="52"/>
  <c r="W24" i="52"/>
  <c r="V24" i="52"/>
  <c r="U24" i="52"/>
  <c r="T24" i="52"/>
  <c r="S24" i="52"/>
  <c r="Q24" i="52"/>
  <c r="O24" i="52"/>
  <c r="M24" i="52"/>
  <c r="K24" i="52"/>
  <c r="X23" i="52"/>
  <c r="W23" i="52"/>
  <c r="V23" i="52"/>
  <c r="U23" i="52"/>
  <c r="T23" i="52"/>
  <c r="S23" i="52"/>
  <c r="Q23" i="52"/>
  <c r="O23" i="52"/>
  <c r="M23" i="52"/>
  <c r="K23" i="52"/>
  <c r="X22" i="52"/>
  <c r="W22" i="52"/>
  <c r="V22" i="52"/>
  <c r="U22" i="52"/>
  <c r="T22" i="52"/>
  <c r="S22" i="52"/>
  <c r="Q22" i="52"/>
  <c r="O22" i="52"/>
  <c r="M22" i="52"/>
  <c r="K22" i="52"/>
  <c r="X21" i="52"/>
  <c r="W21" i="52"/>
  <c r="V21" i="52"/>
  <c r="U21" i="52"/>
  <c r="T21" i="52"/>
  <c r="S21" i="52"/>
  <c r="Q21" i="52"/>
  <c r="O21" i="52"/>
  <c r="M21" i="52"/>
  <c r="K21" i="52"/>
  <c r="X20" i="52"/>
  <c r="W20" i="52"/>
  <c r="V20" i="52"/>
  <c r="U20" i="52"/>
  <c r="T20" i="52"/>
  <c r="S20" i="52"/>
  <c r="Q20" i="52"/>
  <c r="O20" i="52"/>
  <c r="M20" i="52"/>
  <c r="K20" i="52"/>
  <c r="X19" i="52"/>
  <c r="W19" i="52"/>
  <c r="V19" i="52"/>
  <c r="U19" i="52"/>
  <c r="T19" i="52"/>
  <c r="S19" i="52"/>
  <c r="Q19" i="52"/>
  <c r="O19" i="52"/>
  <c r="M19" i="52"/>
  <c r="K19" i="52"/>
  <c r="X18" i="52"/>
  <c r="W18" i="52"/>
  <c r="V18" i="52"/>
  <c r="U18" i="52"/>
  <c r="T18" i="52"/>
  <c r="S18" i="52"/>
  <c r="Q18" i="52"/>
  <c r="O18" i="52"/>
  <c r="M18" i="52"/>
  <c r="K18" i="52"/>
  <c r="X17" i="52"/>
  <c r="W17" i="52"/>
  <c r="V17" i="52"/>
  <c r="U17" i="52"/>
  <c r="T17" i="52"/>
  <c r="S17" i="52"/>
  <c r="Q17" i="52"/>
  <c r="O17" i="52"/>
  <c r="M17" i="52"/>
  <c r="K17" i="52"/>
  <c r="X16" i="52"/>
  <c r="W16" i="52"/>
  <c r="V16" i="52"/>
  <c r="U16" i="52"/>
  <c r="T16" i="52"/>
  <c r="S16" i="52"/>
  <c r="Q16" i="52"/>
  <c r="O16" i="52"/>
  <c r="M16" i="52"/>
  <c r="K16" i="52"/>
  <c r="X15" i="52"/>
  <c r="W15" i="52"/>
  <c r="V15" i="52"/>
  <c r="U15" i="52"/>
  <c r="T15" i="52"/>
  <c r="S15" i="52"/>
  <c r="Q15" i="52"/>
  <c r="O15" i="52"/>
  <c r="M15" i="52"/>
  <c r="K15" i="52"/>
  <c r="X14" i="52"/>
  <c r="W14" i="52"/>
  <c r="V14" i="52"/>
  <c r="U14" i="52"/>
  <c r="T14" i="52"/>
  <c r="S14" i="52"/>
  <c r="Q14" i="52"/>
  <c r="O14" i="52"/>
  <c r="M14" i="52"/>
  <c r="K14" i="52"/>
  <c r="X13" i="52"/>
  <c r="W13" i="52"/>
  <c r="V13" i="52"/>
  <c r="U13" i="52"/>
  <c r="T13" i="52"/>
  <c r="S13" i="52"/>
  <c r="Q13" i="52"/>
  <c r="O13" i="52"/>
  <c r="M13" i="52"/>
  <c r="K13" i="52"/>
  <c r="X12" i="52"/>
  <c r="W12" i="52"/>
  <c r="V12" i="52"/>
  <c r="U12" i="52"/>
  <c r="T12" i="52"/>
  <c r="S12" i="52"/>
  <c r="Q12" i="52"/>
  <c r="O12" i="52"/>
  <c r="M12" i="52"/>
  <c r="K12" i="52"/>
  <c r="X11" i="52"/>
  <c r="W11" i="52"/>
  <c r="V11" i="52"/>
  <c r="U11" i="52"/>
  <c r="T11" i="52"/>
  <c r="S11" i="52"/>
  <c r="Q11" i="52"/>
  <c r="O11" i="52"/>
  <c r="M11" i="52"/>
  <c r="K11" i="52"/>
  <c r="X10" i="52"/>
  <c r="W10" i="52"/>
  <c r="V10" i="52"/>
  <c r="U10" i="52"/>
  <c r="T10" i="52"/>
  <c r="S10" i="52"/>
  <c r="Q10" i="52"/>
  <c r="O10" i="52"/>
  <c r="M10" i="52"/>
  <c r="K10" i="52"/>
  <c r="X9" i="52"/>
  <c r="W9" i="52"/>
  <c r="V9" i="52"/>
  <c r="U9" i="52"/>
  <c r="T9" i="52"/>
  <c r="S9" i="52"/>
  <c r="Q9" i="52"/>
  <c r="O9" i="52"/>
  <c r="M9" i="52"/>
  <c r="K9" i="52"/>
  <c r="X8" i="52"/>
  <c r="W8" i="52"/>
  <c r="V8" i="52"/>
  <c r="U8" i="52"/>
  <c r="T8" i="52"/>
  <c r="S8" i="52"/>
  <c r="Q8" i="52"/>
  <c r="O8" i="52"/>
  <c r="M8" i="52"/>
  <c r="K8" i="52"/>
  <c r="X7" i="52"/>
  <c r="W7" i="52"/>
  <c r="V7" i="52"/>
  <c r="U7" i="52"/>
  <c r="T7" i="52"/>
  <c r="S7" i="52"/>
  <c r="Q7" i="52"/>
  <c r="O7" i="52"/>
  <c r="M7" i="52"/>
  <c r="K7" i="52"/>
  <c r="K7" i="51"/>
  <c r="M7" i="51"/>
  <c r="O7" i="51"/>
  <c r="Q7" i="51"/>
  <c r="S7" i="51"/>
  <c r="T7" i="51"/>
  <c r="U7" i="51"/>
  <c r="V7" i="51"/>
  <c r="W7" i="51"/>
  <c r="X7" i="51"/>
  <c r="K8" i="51"/>
  <c r="M8" i="51"/>
  <c r="O8" i="51"/>
  <c r="Q8" i="51"/>
  <c r="S8" i="51"/>
  <c r="T8" i="51"/>
  <c r="U8" i="51"/>
  <c r="V8" i="51"/>
  <c r="W8" i="51"/>
  <c r="X8" i="51"/>
  <c r="K9" i="51"/>
  <c r="M9" i="51"/>
  <c r="O9" i="51"/>
  <c r="Q9" i="51"/>
  <c r="S9" i="51"/>
  <c r="T9" i="51"/>
  <c r="U9" i="51"/>
  <c r="V9" i="51"/>
  <c r="W9" i="51"/>
  <c r="X9" i="51"/>
  <c r="K10" i="51"/>
  <c r="M10" i="51"/>
  <c r="O10" i="51"/>
  <c r="Q10" i="51"/>
  <c r="S10" i="51"/>
  <c r="T10" i="51"/>
  <c r="U10" i="51"/>
  <c r="V10" i="51"/>
  <c r="W10" i="51"/>
  <c r="X10" i="51"/>
  <c r="K11" i="51"/>
  <c r="M11" i="51"/>
  <c r="O11" i="51"/>
  <c r="Q11" i="51"/>
  <c r="S11" i="51"/>
  <c r="T11" i="51"/>
  <c r="U11" i="51"/>
  <c r="V11" i="51"/>
  <c r="W11" i="51"/>
  <c r="X11" i="51"/>
  <c r="K12" i="51"/>
  <c r="M12" i="51"/>
  <c r="O12" i="51"/>
  <c r="Q12" i="51"/>
  <c r="S12" i="51"/>
  <c r="T12" i="51"/>
  <c r="U12" i="51"/>
  <c r="V12" i="51"/>
  <c r="W12" i="51"/>
  <c r="X12" i="51"/>
  <c r="K13" i="51"/>
  <c r="M13" i="51"/>
  <c r="O13" i="51"/>
  <c r="Q13" i="51"/>
  <c r="S13" i="51"/>
  <c r="T13" i="51"/>
  <c r="U13" i="51"/>
  <c r="V13" i="51"/>
  <c r="W13" i="51"/>
  <c r="X13" i="51"/>
  <c r="K14" i="51"/>
  <c r="M14" i="51"/>
  <c r="O14" i="51"/>
  <c r="Q14" i="51"/>
  <c r="S14" i="51"/>
  <c r="T14" i="51"/>
  <c r="U14" i="51"/>
  <c r="V14" i="51"/>
  <c r="W14" i="51"/>
  <c r="X14" i="51"/>
  <c r="K15" i="51"/>
  <c r="M15" i="51"/>
  <c r="O15" i="51"/>
  <c r="Q15" i="51"/>
  <c r="S15" i="51"/>
  <c r="T15" i="51"/>
  <c r="U15" i="51"/>
  <c r="V15" i="51"/>
  <c r="W15" i="51"/>
  <c r="X15" i="51"/>
  <c r="K16" i="51"/>
  <c r="M16" i="51"/>
  <c r="O16" i="51"/>
  <c r="Q16" i="51"/>
  <c r="S16" i="51"/>
  <c r="T16" i="51"/>
  <c r="U16" i="51"/>
  <c r="V16" i="51"/>
  <c r="W16" i="51"/>
  <c r="X16" i="51"/>
  <c r="K17" i="51"/>
  <c r="M17" i="51"/>
  <c r="O17" i="51"/>
  <c r="Q17" i="51"/>
  <c r="S17" i="51"/>
  <c r="T17" i="51"/>
  <c r="U17" i="51"/>
  <c r="V17" i="51"/>
  <c r="W17" i="51"/>
  <c r="X17" i="51"/>
  <c r="K18" i="51"/>
  <c r="M18" i="51"/>
  <c r="O18" i="51"/>
  <c r="Q18" i="51"/>
  <c r="S18" i="51"/>
  <c r="T18" i="51"/>
  <c r="U18" i="51"/>
  <c r="V18" i="51"/>
  <c r="W18" i="51"/>
  <c r="X18" i="51"/>
  <c r="K19" i="51"/>
  <c r="M19" i="51"/>
  <c r="O19" i="51"/>
  <c r="Q19" i="51"/>
  <c r="S19" i="51"/>
  <c r="T19" i="51"/>
  <c r="U19" i="51"/>
  <c r="V19" i="51"/>
  <c r="W19" i="51"/>
  <c r="X19" i="51"/>
  <c r="K20" i="51"/>
  <c r="M20" i="51"/>
  <c r="O20" i="51"/>
  <c r="Q20" i="51"/>
  <c r="S20" i="51"/>
  <c r="T20" i="51"/>
  <c r="U20" i="51"/>
  <c r="V20" i="51"/>
  <c r="W20" i="51"/>
  <c r="X20" i="51"/>
  <c r="K21" i="51"/>
  <c r="M21" i="51"/>
  <c r="O21" i="51"/>
  <c r="Q21" i="51"/>
  <c r="S21" i="51"/>
  <c r="T21" i="51"/>
  <c r="U21" i="51"/>
  <c r="V21" i="51"/>
  <c r="W21" i="51"/>
  <c r="X21" i="51"/>
  <c r="K22" i="51"/>
  <c r="M22" i="51"/>
  <c r="O22" i="51"/>
  <c r="Q22" i="51"/>
  <c r="S22" i="51"/>
  <c r="T22" i="51"/>
  <c r="U22" i="51"/>
  <c r="V22" i="51"/>
  <c r="W22" i="51"/>
  <c r="X22" i="51"/>
  <c r="K23" i="51"/>
  <c r="M23" i="51"/>
  <c r="O23" i="51"/>
  <c r="Q23" i="51"/>
  <c r="S23" i="51"/>
  <c r="T23" i="51"/>
  <c r="U23" i="51"/>
  <c r="V23" i="51"/>
  <c r="W23" i="51"/>
  <c r="X23" i="51"/>
  <c r="K24" i="51"/>
  <c r="M24" i="51"/>
  <c r="O24" i="51"/>
  <c r="Q24" i="51"/>
  <c r="S24" i="51"/>
  <c r="T24" i="51"/>
  <c r="U24" i="51"/>
  <c r="V24" i="51"/>
  <c r="W24" i="51"/>
  <c r="X24" i="51"/>
  <c r="K25" i="51"/>
  <c r="M25" i="51"/>
  <c r="O25" i="51"/>
  <c r="Q25" i="51"/>
  <c r="S25" i="51"/>
  <c r="T25" i="51"/>
  <c r="U25" i="51"/>
  <c r="V25" i="51"/>
  <c r="W25" i="51"/>
  <c r="X25" i="51"/>
  <c r="K26" i="51"/>
  <c r="M26" i="51"/>
  <c r="O26" i="51"/>
  <c r="Q26" i="51"/>
  <c r="S26" i="51"/>
  <c r="T26" i="51"/>
  <c r="U26" i="51"/>
  <c r="V26" i="51"/>
  <c r="W26" i="51"/>
  <c r="X26" i="51"/>
  <c r="K27" i="51"/>
  <c r="M27" i="51"/>
  <c r="O27" i="51"/>
  <c r="Q27" i="51"/>
  <c r="S27" i="51"/>
  <c r="T27" i="51"/>
  <c r="U27" i="51"/>
  <c r="V27" i="51"/>
  <c r="W27" i="51"/>
  <c r="X27" i="51"/>
  <c r="K28" i="51"/>
  <c r="M28" i="51"/>
  <c r="O28" i="51"/>
  <c r="Q28" i="51"/>
  <c r="S28" i="51"/>
  <c r="T28" i="51"/>
  <c r="U28" i="51"/>
  <c r="V28" i="51"/>
  <c r="W28" i="51"/>
  <c r="X28" i="51"/>
  <c r="K29" i="51"/>
  <c r="M29" i="51"/>
  <c r="O29" i="51"/>
  <c r="Q29" i="51"/>
  <c r="S29" i="51"/>
  <c r="T29" i="51"/>
  <c r="U29" i="51"/>
  <c r="V29" i="51"/>
  <c r="W29" i="51"/>
  <c r="X29" i="51"/>
  <c r="K30" i="51"/>
  <c r="M30" i="51"/>
  <c r="O30" i="51"/>
  <c r="Q30" i="51"/>
  <c r="S30" i="51"/>
  <c r="T30" i="51"/>
  <c r="U30" i="51"/>
  <c r="V30" i="51"/>
  <c r="W30" i="51"/>
  <c r="X30" i="51"/>
  <c r="K31" i="51"/>
  <c r="M31" i="51"/>
  <c r="O31" i="51"/>
  <c r="Q31" i="51"/>
  <c r="S31" i="51"/>
  <c r="T31" i="51"/>
  <c r="U31" i="51"/>
  <c r="V31" i="51"/>
  <c r="W31" i="51"/>
  <c r="X31" i="51"/>
  <c r="K32" i="51"/>
  <c r="M32" i="51"/>
  <c r="O32" i="51"/>
  <c r="Q32" i="51"/>
  <c r="S32" i="51"/>
  <c r="T32" i="51"/>
  <c r="U32" i="51"/>
  <c r="V32" i="51"/>
  <c r="W32" i="51"/>
  <c r="X32" i="51"/>
  <c r="K33" i="51"/>
  <c r="M33" i="51"/>
  <c r="O33" i="51"/>
  <c r="Q33" i="51"/>
  <c r="S33" i="51"/>
  <c r="T33" i="51"/>
  <c r="U33" i="51"/>
  <c r="V33" i="51"/>
  <c r="W33" i="51"/>
  <c r="X33" i="51"/>
  <c r="K34" i="51"/>
  <c r="M34" i="51"/>
  <c r="O34" i="51"/>
  <c r="Q34" i="51"/>
  <c r="S34" i="51"/>
  <c r="T34" i="51"/>
  <c r="U34" i="51"/>
  <c r="V34" i="51"/>
  <c r="W34" i="51"/>
  <c r="X34" i="51"/>
  <c r="K35" i="51"/>
  <c r="M35" i="51"/>
  <c r="O35" i="51"/>
  <c r="Q35" i="51"/>
  <c r="S35" i="51"/>
  <c r="T35" i="51"/>
  <c r="U35" i="51"/>
  <c r="V35" i="51"/>
  <c r="W35" i="51"/>
  <c r="X35" i="51"/>
  <c r="K36" i="51"/>
  <c r="M36" i="51"/>
  <c r="O36" i="51"/>
  <c r="Q36" i="51"/>
  <c r="S36" i="51"/>
  <c r="T36" i="51"/>
  <c r="U36" i="51"/>
  <c r="V36" i="51"/>
  <c r="W36" i="51"/>
  <c r="X36" i="51"/>
  <c r="K37" i="51"/>
  <c r="M37" i="51"/>
  <c r="O37" i="51"/>
  <c r="Q37" i="51"/>
  <c r="S37" i="51"/>
  <c r="T37" i="51"/>
  <c r="U37" i="51"/>
  <c r="V37" i="51"/>
  <c r="W37" i="51"/>
  <c r="X37" i="51"/>
  <c r="K38" i="51"/>
  <c r="M38" i="51"/>
  <c r="O38" i="51"/>
  <c r="Q38" i="51"/>
  <c r="S38" i="51"/>
  <c r="T38" i="51"/>
  <c r="U38" i="51"/>
  <c r="V38" i="51"/>
  <c r="W38" i="51"/>
  <c r="X38" i="51"/>
  <c r="K39" i="51"/>
  <c r="M39" i="51"/>
  <c r="O39" i="51"/>
  <c r="Q39" i="51"/>
  <c r="S39" i="51"/>
  <c r="T39" i="51"/>
  <c r="U39" i="51"/>
  <c r="V39" i="51"/>
  <c r="W39" i="51"/>
  <c r="X39" i="51"/>
  <c r="K40" i="51"/>
  <c r="M40" i="51"/>
  <c r="O40" i="51"/>
  <c r="Q40" i="51"/>
  <c r="S40" i="51"/>
  <c r="T40" i="51"/>
  <c r="U40" i="51"/>
  <c r="V40" i="51"/>
  <c r="W40" i="51"/>
  <c r="X40" i="51"/>
  <c r="K41" i="51"/>
  <c r="M41" i="51"/>
  <c r="O41" i="51"/>
  <c r="Q41" i="51"/>
  <c r="S41" i="51"/>
  <c r="T41" i="51"/>
  <c r="U41" i="51"/>
  <c r="V41" i="51"/>
  <c r="W41" i="51"/>
  <c r="X41" i="51"/>
  <c r="K42" i="51"/>
  <c r="M42" i="51"/>
  <c r="O42" i="51"/>
  <c r="Q42" i="51"/>
  <c r="S42" i="51"/>
  <c r="T42" i="51"/>
  <c r="U42" i="51"/>
  <c r="V42" i="51"/>
  <c r="W42" i="51"/>
  <c r="X42" i="51"/>
  <c r="K43" i="51"/>
  <c r="M43" i="51"/>
  <c r="O43" i="51"/>
  <c r="Q43" i="51"/>
  <c r="S43" i="51"/>
  <c r="T43" i="51"/>
  <c r="U43" i="51"/>
  <c r="V43" i="51"/>
  <c r="W43" i="51"/>
  <c r="X43" i="51"/>
  <c r="K44" i="51"/>
  <c r="M44" i="51"/>
  <c r="O44" i="51"/>
  <c r="Q44" i="51"/>
  <c r="S44" i="51"/>
  <c r="T44" i="51"/>
  <c r="U44" i="51"/>
  <c r="V44" i="51"/>
  <c r="W44" i="51"/>
  <c r="X44" i="51"/>
  <c r="K45" i="51"/>
  <c r="M45" i="51"/>
  <c r="O45" i="51"/>
  <c r="Q45" i="51"/>
  <c r="S45" i="51"/>
  <c r="T45" i="51"/>
  <c r="U45" i="51"/>
  <c r="V45" i="51"/>
  <c r="W45" i="51"/>
  <c r="X45" i="51"/>
  <c r="K46" i="51"/>
  <c r="M46" i="51"/>
  <c r="O46" i="51"/>
  <c r="Q46" i="51"/>
  <c r="S46" i="51"/>
  <c r="T46" i="51"/>
  <c r="U46" i="51"/>
  <c r="V46" i="51"/>
  <c r="W46" i="51"/>
  <c r="X46" i="51"/>
  <c r="K47" i="51"/>
  <c r="M47" i="51"/>
  <c r="O47" i="51"/>
  <c r="Q47" i="51"/>
  <c r="S47" i="51"/>
  <c r="T47" i="51"/>
  <c r="U47" i="51"/>
  <c r="V47" i="51"/>
  <c r="W47" i="51"/>
  <c r="X47" i="51"/>
  <c r="K48" i="51"/>
  <c r="M48" i="51"/>
  <c r="O48" i="51"/>
  <c r="Q48" i="51"/>
  <c r="S48" i="51"/>
  <c r="T48" i="51"/>
  <c r="U48" i="51"/>
  <c r="V48" i="51"/>
  <c r="W48" i="51"/>
  <c r="X48" i="51"/>
  <c r="K49" i="51"/>
  <c r="M49" i="51"/>
  <c r="O49" i="51"/>
  <c r="Q49" i="51"/>
  <c r="S49" i="51"/>
  <c r="T49" i="51"/>
  <c r="U49" i="51"/>
  <c r="V49" i="51"/>
  <c r="W49" i="51"/>
  <c r="X49" i="51"/>
  <c r="K50" i="51"/>
  <c r="M50" i="51"/>
  <c r="O50" i="51"/>
  <c r="Q50" i="51"/>
  <c r="S50" i="51"/>
  <c r="T50" i="51"/>
  <c r="U50" i="51"/>
  <c r="V50" i="51"/>
  <c r="W50" i="51"/>
  <c r="X50" i="51"/>
  <c r="K51" i="51"/>
  <c r="M51" i="51"/>
  <c r="O51" i="51"/>
  <c r="Q51" i="51"/>
  <c r="S51" i="51"/>
  <c r="T51" i="51"/>
  <c r="U51" i="51"/>
  <c r="V51" i="51"/>
  <c r="W51" i="51"/>
  <c r="X51" i="51"/>
  <c r="K52" i="51"/>
  <c r="M52" i="51"/>
  <c r="O52" i="51"/>
  <c r="Q52" i="51"/>
  <c r="S52" i="51"/>
  <c r="T52" i="51"/>
  <c r="U52" i="51"/>
  <c r="V52" i="51"/>
  <c r="W52" i="51"/>
  <c r="X52" i="51"/>
  <c r="K53" i="51"/>
  <c r="M53" i="51"/>
  <c r="O53" i="51"/>
  <c r="Q53" i="51"/>
  <c r="S53" i="51"/>
  <c r="T53" i="51"/>
  <c r="U53" i="51"/>
  <c r="V53" i="51"/>
  <c r="W53" i="51"/>
  <c r="X53" i="51"/>
  <c r="K54" i="51"/>
  <c r="M54" i="51"/>
  <c r="O54" i="51"/>
  <c r="Q54" i="51"/>
  <c r="S54" i="51"/>
  <c r="T54" i="51"/>
  <c r="U54" i="51"/>
  <c r="V54" i="51"/>
  <c r="W54" i="51"/>
  <c r="X54" i="51"/>
  <c r="K55" i="51"/>
  <c r="M55" i="51"/>
  <c r="O55" i="51"/>
  <c r="Q55" i="51"/>
  <c r="S55" i="51"/>
  <c r="T55" i="51"/>
  <c r="U55" i="51"/>
  <c r="V55" i="51"/>
  <c r="W55" i="51"/>
  <c r="X55" i="51"/>
  <c r="K56" i="51"/>
  <c r="M56" i="51"/>
  <c r="O56" i="51"/>
  <c r="Q56" i="51"/>
  <c r="S56" i="51"/>
  <c r="T56" i="51"/>
  <c r="U56" i="51"/>
  <c r="V56" i="51"/>
  <c r="W56" i="51"/>
  <c r="X56" i="51"/>
  <c r="K57" i="51"/>
  <c r="M57" i="51"/>
  <c r="O57" i="51"/>
  <c r="Q57" i="51"/>
  <c r="S57" i="51"/>
  <c r="T57" i="51"/>
  <c r="U57" i="51"/>
  <c r="V57" i="51"/>
  <c r="W57" i="51"/>
  <c r="X57" i="51"/>
  <c r="K58" i="51"/>
  <c r="M58" i="51"/>
  <c r="O58" i="51"/>
  <c r="Q58" i="51"/>
  <c r="S58" i="51"/>
  <c r="T58" i="51"/>
  <c r="U58" i="51"/>
  <c r="V58" i="51"/>
  <c r="W58" i="51"/>
  <c r="X58" i="51"/>
  <c r="K59" i="51"/>
  <c r="M59" i="51"/>
  <c r="O59" i="51"/>
  <c r="Q59" i="51"/>
  <c r="S59" i="51"/>
  <c r="T59" i="51"/>
  <c r="U59" i="51"/>
  <c r="V59" i="51"/>
  <c r="W59" i="51"/>
  <c r="X59" i="51"/>
  <c r="K60" i="51"/>
  <c r="M60" i="51"/>
  <c r="O60" i="51"/>
  <c r="Q60" i="51"/>
  <c r="S60" i="51"/>
  <c r="T60" i="51"/>
  <c r="U60" i="51"/>
  <c r="V60" i="51"/>
  <c r="W60" i="51"/>
  <c r="X60" i="51"/>
  <c r="K61" i="51"/>
  <c r="M61" i="51"/>
  <c r="O61" i="51"/>
  <c r="Q61" i="51"/>
  <c r="S61" i="51"/>
  <c r="T61" i="51"/>
  <c r="U61" i="51"/>
  <c r="V61" i="51"/>
  <c r="W61" i="51"/>
  <c r="X61" i="51"/>
  <c r="K62" i="51"/>
  <c r="M62" i="51"/>
  <c r="O62" i="51"/>
  <c r="Q62" i="51"/>
  <c r="S62" i="51"/>
  <c r="T62" i="51"/>
  <c r="U62" i="51"/>
  <c r="V62" i="51"/>
  <c r="W62" i="51"/>
  <c r="X62" i="51"/>
  <c r="K63" i="51"/>
  <c r="M63" i="51"/>
  <c r="O63" i="51"/>
  <c r="Q63" i="51"/>
  <c r="S63" i="51"/>
  <c r="T63" i="51"/>
  <c r="U63" i="51"/>
  <c r="V63" i="51"/>
  <c r="W63" i="51"/>
  <c r="X63" i="51"/>
  <c r="K64" i="51"/>
  <c r="M64" i="51"/>
  <c r="O64" i="51"/>
  <c r="Q64" i="51"/>
  <c r="S64" i="51"/>
  <c r="T64" i="51"/>
  <c r="U64" i="51"/>
  <c r="V64" i="51"/>
  <c r="W64" i="51"/>
  <c r="X64" i="51"/>
  <c r="K65" i="51"/>
  <c r="M65" i="51"/>
  <c r="O65" i="51"/>
  <c r="Q65" i="51"/>
  <c r="S65" i="51"/>
  <c r="T65" i="51"/>
  <c r="U65" i="51"/>
  <c r="V65" i="51"/>
  <c r="W65" i="51"/>
  <c r="X65" i="51"/>
  <c r="K66" i="51"/>
  <c r="M66" i="51"/>
  <c r="O66" i="51"/>
  <c r="Q66" i="51"/>
  <c r="S66" i="51"/>
  <c r="T66" i="51"/>
  <c r="U66" i="51"/>
  <c r="V66" i="51"/>
  <c r="W66" i="51"/>
  <c r="X66" i="51"/>
  <c r="K67" i="51"/>
  <c r="M67" i="51"/>
  <c r="O67" i="51"/>
  <c r="Q67" i="51"/>
  <c r="S67" i="51"/>
  <c r="T67" i="51"/>
  <c r="U67" i="51"/>
  <c r="V67" i="51"/>
  <c r="W67" i="51"/>
  <c r="X67" i="51"/>
  <c r="K68" i="51"/>
  <c r="M68" i="51"/>
  <c r="O68" i="51"/>
  <c r="Q68" i="51"/>
  <c r="S68" i="51"/>
  <c r="T68" i="51"/>
  <c r="U68" i="51"/>
  <c r="V68" i="51"/>
  <c r="W68" i="51"/>
  <c r="X68" i="51"/>
  <c r="K69" i="51"/>
  <c r="M69" i="51"/>
  <c r="O69" i="51"/>
  <c r="Q69" i="51"/>
  <c r="S69" i="51"/>
  <c r="T69" i="51"/>
  <c r="U69" i="51"/>
  <c r="V69" i="51"/>
  <c r="W69" i="51"/>
  <c r="X69" i="51"/>
  <c r="K70" i="51"/>
  <c r="M70" i="51"/>
  <c r="O70" i="51"/>
  <c r="Q70" i="51"/>
  <c r="S70" i="51"/>
  <c r="T70" i="51"/>
  <c r="U70" i="51"/>
  <c r="V70" i="51"/>
  <c r="W70" i="51"/>
  <c r="X70" i="51"/>
  <c r="K71" i="51"/>
  <c r="M71" i="51"/>
  <c r="O71" i="51"/>
  <c r="Q71" i="51"/>
  <c r="S71" i="51"/>
  <c r="T71" i="51"/>
  <c r="U71" i="51"/>
  <c r="V71" i="51"/>
  <c r="W71" i="51"/>
  <c r="X71" i="51"/>
  <c r="K72" i="51"/>
  <c r="M72" i="51"/>
  <c r="O72" i="51"/>
  <c r="Q72" i="51"/>
  <c r="S72" i="51"/>
  <c r="T72" i="51"/>
  <c r="U72" i="51"/>
  <c r="V72" i="51"/>
  <c r="W72" i="51"/>
  <c r="X72" i="51"/>
  <c r="K73" i="51"/>
  <c r="M73" i="51"/>
  <c r="O73" i="51"/>
  <c r="Q73" i="51"/>
  <c r="S73" i="51"/>
  <c r="T73" i="51"/>
  <c r="U73" i="51"/>
  <c r="V73" i="51"/>
  <c r="W73" i="51"/>
  <c r="X73" i="51"/>
  <c r="K74" i="51"/>
  <c r="M74" i="51"/>
  <c r="O74" i="51"/>
  <c r="Q74" i="51"/>
  <c r="S74" i="51"/>
  <c r="T74" i="51"/>
  <c r="U74" i="51"/>
  <c r="V74" i="51"/>
  <c r="W74" i="51"/>
  <c r="X74" i="51"/>
  <c r="K75" i="51"/>
  <c r="M75" i="51"/>
  <c r="O75" i="51"/>
  <c r="Q75" i="51"/>
  <c r="S75" i="51"/>
  <c r="T75" i="51"/>
  <c r="U75" i="51"/>
  <c r="V75" i="51"/>
  <c r="W75" i="51"/>
  <c r="X75" i="51"/>
  <c r="K76" i="51"/>
  <c r="M76" i="51"/>
  <c r="O76" i="51"/>
  <c r="Q76" i="51"/>
  <c r="S76" i="51"/>
  <c r="T76" i="51"/>
  <c r="U76" i="51"/>
  <c r="V76" i="51"/>
  <c r="W76" i="51"/>
  <c r="X76" i="51"/>
  <c r="K77" i="51"/>
  <c r="M77" i="51"/>
  <c r="O77" i="51"/>
  <c r="Q77" i="51"/>
  <c r="S77" i="51"/>
  <c r="T77" i="51"/>
  <c r="U77" i="51"/>
  <c r="V77" i="51"/>
  <c r="W77" i="51"/>
  <c r="X77" i="51"/>
  <c r="K78" i="51"/>
  <c r="M78" i="51"/>
  <c r="O78" i="51"/>
  <c r="Q78" i="51"/>
  <c r="S78" i="51"/>
  <c r="T78" i="51"/>
  <c r="U78" i="51"/>
  <c r="V78" i="51"/>
  <c r="W78" i="51"/>
  <c r="X78" i="51"/>
  <c r="K79" i="51"/>
  <c r="M79" i="51"/>
  <c r="O79" i="51"/>
  <c r="Q79" i="51"/>
  <c r="S79" i="51"/>
  <c r="T79" i="51"/>
  <c r="U79" i="51"/>
  <c r="V79" i="51"/>
  <c r="W79" i="51"/>
  <c r="X79" i="51"/>
  <c r="K80" i="51"/>
  <c r="M80" i="51"/>
  <c r="O80" i="51"/>
  <c r="Q80" i="51"/>
  <c r="S80" i="51"/>
  <c r="T80" i="51"/>
  <c r="U80" i="51"/>
  <c r="V80" i="51"/>
  <c r="W80" i="51"/>
  <c r="X80" i="51"/>
  <c r="K81" i="51"/>
  <c r="M81" i="51"/>
  <c r="O81" i="51"/>
  <c r="Q81" i="51"/>
  <c r="S81" i="51"/>
  <c r="T81" i="51"/>
  <c r="U81" i="51"/>
  <c r="V81" i="51"/>
  <c r="W81" i="51"/>
  <c r="X81" i="51"/>
  <c r="K82" i="51"/>
  <c r="M82" i="51"/>
  <c r="O82" i="51"/>
  <c r="Q82" i="51"/>
  <c r="S82" i="51"/>
  <c r="T82" i="51"/>
  <c r="U82" i="51"/>
  <c r="V82" i="51"/>
  <c r="W82" i="51"/>
  <c r="X82" i="51"/>
  <c r="K83" i="51"/>
  <c r="M83" i="51"/>
  <c r="O83" i="51"/>
  <c r="Q83" i="51"/>
  <c r="S83" i="51"/>
  <c r="T83" i="51"/>
  <c r="U83" i="51"/>
  <c r="V83" i="51"/>
  <c r="W83" i="51"/>
  <c r="X83" i="51"/>
  <c r="K84" i="51"/>
  <c r="M84" i="51"/>
  <c r="O84" i="51"/>
  <c r="Q84" i="51"/>
  <c r="S84" i="51"/>
  <c r="T84" i="51"/>
  <c r="U84" i="51"/>
  <c r="V84" i="51"/>
  <c r="W84" i="51"/>
  <c r="X84" i="51"/>
  <c r="K85" i="51"/>
  <c r="M85" i="51"/>
  <c r="O85" i="51"/>
  <c r="Q85" i="51"/>
  <c r="S85" i="51"/>
  <c r="T85" i="51"/>
  <c r="U85" i="51"/>
  <c r="V85" i="51"/>
  <c r="W85" i="51"/>
  <c r="X85" i="51"/>
  <c r="K86" i="51"/>
  <c r="M86" i="51"/>
  <c r="O86" i="51"/>
  <c r="Q86" i="51"/>
  <c r="S86" i="51"/>
  <c r="T86" i="51"/>
  <c r="U86" i="51"/>
  <c r="V86" i="51"/>
  <c r="W86" i="51"/>
  <c r="X86" i="51"/>
  <c r="K87" i="51"/>
  <c r="M87" i="51"/>
  <c r="O87" i="51"/>
  <c r="Q87" i="51"/>
  <c r="S87" i="51"/>
  <c r="T87" i="51"/>
  <c r="U87" i="51"/>
  <c r="V87" i="51"/>
  <c r="W87" i="51"/>
  <c r="X87" i="51"/>
  <c r="K88" i="51"/>
  <c r="M88" i="51"/>
  <c r="O88" i="51"/>
  <c r="Q88" i="51"/>
  <c r="S88" i="51"/>
  <c r="T88" i="51"/>
  <c r="U88" i="51"/>
  <c r="V88" i="51"/>
  <c r="W88" i="51"/>
  <c r="X88" i="51"/>
  <c r="K89" i="51"/>
  <c r="M89" i="51"/>
  <c r="O89" i="51"/>
  <c r="Q89" i="51"/>
  <c r="S89" i="51"/>
  <c r="T89" i="51"/>
  <c r="U89" i="51"/>
  <c r="V89" i="51"/>
  <c r="W89" i="51"/>
  <c r="X89" i="51"/>
  <c r="K90" i="51"/>
  <c r="M90" i="51"/>
  <c r="O90" i="51"/>
  <c r="Q90" i="51"/>
  <c r="S90" i="51"/>
  <c r="T90" i="51"/>
  <c r="U90" i="51"/>
  <c r="V90" i="51"/>
  <c r="W90" i="51"/>
  <c r="X90" i="51"/>
  <c r="K91" i="51"/>
  <c r="M91" i="51"/>
  <c r="O91" i="51"/>
  <c r="Q91" i="51"/>
  <c r="S91" i="51"/>
  <c r="T91" i="51"/>
  <c r="U91" i="51"/>
  <c r="V91" i="51"/>
  <c r="W91" i="51"/>
  <c r="X91" i="51"/>
  <c r="K92" i="51"/>
  <c r="M92" i="51"/>
  <c r="O92" i="51"/>
  <c r="Q92" i="51"/>
  <c r="S92" i="51"/>
  <c r="T92" i="51"/>
  <c r="U92" i="51"/>
  <c r="V92" i="51"/>
  <c r="W92" i="51"/>
  <c r="X92" i="51"/>
  <c r="K93" i="51"/>
  <c r="M93" i="51"/>
  <c r="O93" i="51"/>
  <c r="Q93" i="51"/>
  <c r="S93" i="51"/>
  <c r="T93" i="51"/>
  <c r="U93" i="51"/>
  <c r="V93" i="51"/>
  <c r="W93" i="51"/>
  <c r="X93" i="51"/>
  <c r="K94" i="51"/>
  <c r="M94" i="51"/>
  <c r="O94" i="51"/>
  <c r="Q94" i="51"/>
  <c r="S94" i="51"/>
  <c r="T94" i="51"/>
  <c r="U94" i="51"/>
  <c r="V94" i="51"/>
  <c r="W94" i="51"/>
  <c r="X94" i="51"/>
  <c r="K95" i="51"/>
  <c r="M95" i="51"/>
  <c r="O95" i="51"/>
  <c r="Q95" i="51"/>
  <c r="S95" i="51"/>
  <c r="T95" i="51"/>
  <c r="U95" i="51"/>
  <c r="V95" i="51"/>
  <c r="W95" i="51"/>
  <c r="X95" i="51"/>
  <c r="K96" i="51"/>
  <c r="M96" i="51"/>
  <c r="O96" i="51"/>
  <c r="Q96" i="51"/>
  <c r="S96" i="51"/>
  <c r="T96" i="51"/>
  <c r="U96" i="51"/>
  <c r="V96" i="51"/>
  <c r="W96" i="51"/>
  <c r="X96" i="51"/>
  <c r="K97" i="51"/>
  <c r="M97" i="51"/>
  <c r="O97" i="51"/>
  <c r="Q97" i="51"/>
  <c r="S97" i="51"/>
  <c r="T97" i="51"/>
  <c r="U97" i="51"/>
  <c r="V97" i="51"/>
  <c r="W97" i="51"/>
  <c r="X97" i="51"/>
  <c r="K98" i="51"/>
  <c r="M98" i="51"/>
  <c r="O98" i="51"/>
  <c r="Q98" i="51"/>
  <c r="S98" i="51"/>
  <c r="T98" i="51"/>
  <c r="U98" i="51"/>
  <c r="V98" i="51"/>
  <c r="W98" i="51"/>
  <c r="X98" i="51"/>
  <c r="K99" i="51"/>
  <c r="M99" i="51"/>
  <c r="O99" i="51"/>
  <c r="Q99" i="51"/>
  <c r="S99" i="51"/>
  <c r="T99" i="51"/>
  <c r="U99" i="51"/>
  <c r="V99" i="51"/>
  <c r="W99" i="51"/>
  <c r="X99" i="51"/>
  <c r="K100" i="51"/>
  <c r="M100" i="51"/>
  <c r="O100" i="51"/>
  <c r="Q100" i="51"/>
  <c r="S100" i="51"/>
  <c r="T100" i="51"/>
  <c r="U100" i="51"/>
  <c r="V100" i="51"/>
  <c r="W100" i="51"/>
  <c r="X100" i="51"/>
  <c r="K101" i="51"/>
  <c r="M101" i="51"/>
  <c r="O101" i="51"/>
  <c r="Q101" i="51"/>
  <c r="S101" i="51"/>
  <c r="T101" i="51"/>
  <c r="U101" i="51"/>
  <c r="V101" i="51"/>
  <c r="W101" i="51"/>
  <c r="X101" i="51"/>
  <c r="K102" i="51"/>
  <c r="M102" i="51"/>
  <c r="O102" i="51"/>
  <c r="Q102" i="51"/>
  <c r="S102" i="51"/>
  <c r="T102" i="51"/>
  <c r="U102" i="51"/>
  <c r="V102" i="51"/>
  <c r="W102" i="51"/>
  <c r="X102" i="51"/>
  <c r="K103" i="51"/>
  <c r="M103" i="51"/>
  <c r="O103" i="51"/>
  <c r="Q103" i="51"/>
  <c r="S103" i="51"/>
  <c r="T103" i="51"/>
  <c r="U103" i="51"/>
  <c r="V103" i="51"/>
  <c r="W103" i="51"/>
  <c r="X103" i="51"/>
  <c r="K104" i="51"/>
  <c r="M104" i="51"/>
  <c r="O104" i="51"/>
  <c r="Q104" i="51"/>
  <c r="S104" i="51"/>
  <c r="T104" i="51"/>
  <c r="U104" i="51"/>
  <c r="V104" i="51"/>
  <c r="W104" i="51"/>
  <c r="X104" i="51"/>
  <c r="K105" i="51"/>
  <c r="M105" i="51"/>
  <c r="O105" i="51"/>
  <c r="Q105" i="51"/>
  <c r="S105" i="51"/>
  <c r="T105" i="51"/>
  <c r="U105" i="51"/>
  <c r="V105" i="51"/>
  <c r="W105" i="51"/>
  <c r="X105" i="51"/>
  <c r="K106" i="51"/>
  <c r="M106" i="51"/>
  <c r="O106" i="51"/>
  <c r="Q106" i="51"/>
  <c r="S106" i="51"/>
  <c r="T106" i="51"/>
  <c r="U106" i="51"/>
  <c r="V106" i="51"/>
  <c r="W106" i="51"/>
  <c r="X106" i="51"/>
  <c r="K107" i="51"/>
  <c r="M107" i="51"/>
  <c r="O107" i="51"/>
  <c r="Q107" i="51"/>
  <c r="S107" i="51"/>
  <c r="T107" i="51"/>
  <c r="U107" i="51"/>
  <c r="V107" i="51"/>
  <c r="W107" i="51"/>
  <c r="X107" i="51"/>
  <c r="K108" i="51"/>
  <c r="M108" i="51"/>
  <c r="O108" i="51"/>
  <c r="Q108" i="51"/>
  <c r="S108" i="51"/>
  <c r="T108" i="51"/>
  <c r="U108" i="51"/>
  <c r="V108" i="51"/>
  <c r="W108" i="51"/>
  <c r="X108" i="51"/>
  <c r="K109" i="51"/>
  <c r="M109" i="51"/>
  <c r="O109" i="51"/>
  <c r="Q109" i="51"/>
  <c r="S109" i="51"/>
  <c r="T109" i="51"/>
  <c r="U109" i="51"/>
  <c r="V109" i="51"/>
  <c r="W109" i="51"/>
  <c r="X109" i="51"/>
  <c r="K110" i="51"/>
  <c r="M110" i="51"/>
  <c r="O110" i="51"/>
  <c r="Q110" i="51"/>
  <c r="S110" i="51"/>
  <c r="T110" i="51"/>
  <c r="U110" i="51"/>
  <c r="V110" i="51"/>
  <c r="W110" i="51"/>
  <c r="X110" i="51"/>
  <c r="K111" i="51"/>
  <c r="M111" i="51"/>
  <c r="O111" i="51"/>
  <c r="Q111" i="51"/>
  <c r="S111" i="51"/>
  <c r="T111" i="51"/>
  <c r="U111" i="51"/>
  <c r="V111" i="51"/>
  <c r="W111" i="51"/>
  <c r="X111" i="51"/>
  <c r="K112" i="51"/>
  <c r="M112" i="51"/>
  <c r="O112" i="51"/>
  <c r="Q112" i="51"/>
  <c r="S112" i="51"/>
  <c r="T112" i="51"/>
  <c r="U112" i="51"/>
  <c r="V112" i="51"/>
  <c r="W112" i="51"/>
  <c r="X112" i="51"/>
  <c r="K113" i="51"/>
  <c r="M113" i="51"/>
  <c r="O113" i="51"/>
  <c r="Q113" i="51"/>
  <c r="S113" i="51"/>
  <c r="T113" i="51"/>
  <c r="U113" i="51"/>
  <c r="V113" i="51"/>
  <c r="W113" i="51"/>
  <c r="X113" i="51"/>
  <c r="K114" i="51"/>
  <c r="M114" i="51"/>
  <c r="O114" i="51"/>
  <c r="Q114" i="51"/>
  <c r="S114" i="51"/>
  <c r="T114" i="51"/>
  <c r="U114" i="51"/>
  <c r="V114" i="51"/>
  <c r="W114" i="51"/>
  <c r="X114" i="51"/>
  <c r="K115" i="51"/>
  <c r="M115" i="51"/>
  <c r="O115" i="51"/>
  <c r="Q115" i="51"/>
  <c r="S115" i="51"/>
  <c r="T115" i="51"/>
  <c r="U115" i="51"/>
  <c r="V115" i="51"/>
  <c r="W115" i="51"/>
  <c r="X115" i="51"/>
  <c r="K116" i="51"/>
  <c r="M116" i="51"/>
  <c r="O116" i="51"/>
  <c r="Q116" i="51"/>
  <c r="S116" i="51"/>
  <c r="T116" i="51"/>
  <c r="U116" i="51"/>
  <c r="V116" i="51"/>
  <c r="W116" i="51"/>
  <c r="X116" i="51"/>
  <c r="K117" i="51"/>
  <c r="M117" i="51"/>
  <c r="O117" i="51"/>
  <c r="Q117" i="51"/>
  <c r="S117" i="51"/>
  <c r="T117" i="51"/>
  <c r="U117" i="51"/>
  <c r="V117" i="51"/>
  <c r="W117" i="51"/>
  <c r="X117" i="51"/>
  <c r="K118" i="51"/>
  <c r="M118" i="51"/>
  <c r="O118" i="51"/>
  <c r="Q118" i="51"/>
  <c r="S118" i="51"/>
  <c r="T118" i="51"/>
  <c r="U118" i="51"/>
  <c r="V118" i="51"/>
  <c r="W118" i="51"/>
  <c r="X118" i="51"/>
  <c r="K119" i="51"/>
  <c r="M119" i="51"/>
  <c r="O119" i="51"/>
  <c r="Q119" i="51"/>
  <c r="S119" i="51"/>
  <c r="T119" i="51"/>
  <c r="U119" i="51"/>
  <c r="V119" i="51"/>
  <c r="W119" i="51"/>
  <c r="X119" i="51"/>
  <c r="K120" i="51"/>
  <c r="M120" i="51"/>
  <c r="O120" i="51"/>
  <c r="Q120" i="51"/>
  <c r="S120" i="51"/>
  <c r="T120" i="51"/>
  <c r="U120" i="51"/>
  <c r="V120" i="51"/>
  <c r="W120" i="51"/>
  <c r="X120" i="51"/>
  <c r="K121" i="51"/>
  <c r="M121" i="51"/>
  <c r="O121" i="51"/>
  <c r="Q121" i="51"/>
  <c r="S121" i="51"/>
  <c r="T121" i="51"/>
  <c r="U121" i="51"/>
  <c r="V121" i="51"/>
  <c r="W121" i="51"/>
  <c r="X121" i="51"/>
  <c r="K122" i="51"/>
  <c r="M122" i="51"/>
  <c r="O122" i="51"/>
  <c r="Q122" i="51"/>
  <c r="S122" i="51"/>
  <c r="T122" i="51"/>
  <c r="U122" i="51"/>
  <c r="V122" i="51"/>
  <c r="W122" i="51"/>
  <c r="X122" i="51"/>
  <c r="K123" i="51"/>
  <c r="M123" i="51"/>
  <c r="O123" i="51"/>
  <c r="Q123" i="51"/>
  <c r="S123" i="51"/>
  <c r="T123" i="51"/>
  <c r="U123" i="51"/>
  <c r="V123" i="51"/>
  <c r="W123" i="51"/>
  <c r="X123" i="51"/>
  <c r="K124" i="51"/>
  <c r="M124" i="51"/>
  <c r="O124" i="51"/>
  <c r="Q124" i="51"/>
  <c r="S124" i="51"/>
  <c r="T124" i="51"/>
  <c r="U124" i="51"/>
  <c r="V124" i="51"/>
  <c r="W124" i="51"/>
  <c r="X124" i="51"/>
  <c r="K125" i="51"/>
  <c r="M125" i="51"/>
  <c r="O125" i="51"/>
  <c r="Q125" i="51"/>
  <c r="S125" i="51"/>
  <c r="T125" i="51"/>
  <c r="U125" i="51"/>
  <c r="V125" i="51"/>
  <c r="W125" i="51"/>
  <c r="X125" i="51"/>
  <c r="K126" i="51"/>
  <c r="M126" i="51"/>
  <c r="O126" i="51"/>
  <c r="Q126" i="51"/>
  <c r="S126" i="51"/>
  <c r="T126" i="51"/>
  <c r="U126" i="51"/>
  <c r="V126" i="51"/>
  <c r="W126" i="51"/>
  <c r="X126" i="51"/>
  <c r="K127" i="51"/>
  <c r="M127" i="51"/>
  <c r="O127" i="51"/>
  <c r="Q127" i="51"/>
  <c r="S127" i="51"/>
  <c r="T127" i="51"/>
  <c r="U127" i="51"/>
  <c r="V127" i="51"/>
  <c r="W127" i="51"/>
  <c r="X127" i="51"/>
  <c r="K128" i="51"/>
  <c r="M128" i="51"/>
  <c r="O128" i="51"/>
  <c r="Q128" i="51"/>
  <c r="S128" i="51"/>
  <c r="T128" i="51"/>
  <c r="U128" i="51"/>
  <c r="V128" i="51"/>
  <c r="W128" i="51"/>
  <c r="X128" i="51"/>
  <c r="K129" i="51"/>
  <c r="M129" i="51"/>
  <c r="O129" i="51"/>
  <c r="Q129" i="51"/>
  <c r="S129" i="51"/>
  <c r="T129" i="51"/>
  <c r="U129" i="51"/>
  <c r="V129" i="51"/>
  <c r="W129" i="51"/>
  <c r="X129" i="51"/>
  <c r="K130" i="51"/>
  <c r="M130" i="51"/>
  <c r="O130" i="51"/>
  <c r="Q130" i="51"/>
  <c r="S130" i="51"/>
  <c r="T130" i="51"/>
  <c r="U130" i="51"/>
  <c r="V130" i="51"/>
  <c r="W130" i="51"/>
  <c r="X130" i="51"/>
  <c r="K131" i="51"/>
  <c r="M131" i="51"/>
  <c r="O131" i="51"/>
  <c r="Q131" i="51"/>
  <c r="S131" i="51"/>
  <c r="T131" i="51"/>
  <c r="U131" i="51"/>
  <c r="V131" i="51"/>
  <c r="W131" i="51"/>
  <c r="X131" i="51"/>
  <c r="K132" i="51"/>
  <c r="M132" i="51"/>
  <c r="O132" i="51"/>
  <c r="Q132" i="51"/>
  <c r="S132" i="51"/>
  <c r="T132" i="51"/>
  <c r="U132" i="51"/>
  <c r="V132" i="51"/>
  <c r="W132" i="51"/>
  <c r="X132" i="51"/>
  <c r="K133" i="51"/>
  <c r="M133" i="51"/>
  <c r="O133" i="51"/>
  <c r="Q133" i="51"/>
  <c r="S133" i="51"/>
  <c r="T133" i="51"/>
  <c r="U133" i="51"/>
  <c r="V133" i="51"/>
  <c r="W133" i="51"/>
  <c r="X133" i="51"/>
  <c r="K134" i="51"/>
  <c r="M134" i="51"/>
  <c r="O134" i="51"/>
  <c r="Q134" i="51"/>
  <c r="S134" i="51"/>
  <c r="T134" i="51"/>
  <c r="U134" i="51"/>
  <c r="V134" i="51"/>
  <c r="W134" i="51"/>
  <c r="X134" i="51"/>
  <c r="K135" i="51"/>
  <c r="M135" i="51"/>
  <c r="O135" i="51"/>
  <c r="Q135" i="51"/>
  <c r="S135" i="51"/>
  <c r="T135" i="51"/>
  <c r="U135" i="51"/>
  <c r="V135" i="51"/>
  <c r="W135" i="51"/>
  <c r="X135" i="51"/>
  <c r="K136" i="51"/>
  <c r="M136" i="51"/>
  <c r="O136" i="51"/>
  <c r="Q136" i="51"/>
  <c r="S136" i="51"/>
  <c r="T136" i="51"/>
  <c r="U136" i="51"/>
  <c r="V136" i="51"/>
  <c r="W136" i="51"/>
  <c r="X136" i="51"/>
  <c r="K137" i="51"/>
  <c r="M137" i="51"/>
  <c r="O137" i="51"/>
  <c r="Q137" i="51"/>
  <c r="S137" i="51"/>
  <c r="T137" i="51"/>
  <c r="U137" i="51"/>
  <c r="V137" i="51"/>
  <c r="W137" i="51"/>
  <c r="X137" i="51"/>
  <c r="K138" i="51"/>
  <c r="M138" i="51"/>
  <c r="O138" i="51"/>
  <c r="Q138" i="51"/>
  <c r="S138" i="51"/>
  <c r="T138" i="51"/>
  <c r="U138" i="51"/>
  <c r="V138" i="51"/>
  <c r="W138" i="51"/>
  <c r="X138" i="51"/>
  <c r="K139" i="51"/>
  <c r="M139" i="51"/>
  <c r="O139" i="51"/>
  <c r="Q139" i="51"/>
  <c r="S139" i="51"/>
  <c r="T139" i="51"/>
  <c r="U139" i="51"/>
  <c r="V139" i="51"/>
  <c r="W139" i="51"/>
  <c r="X139" i="51"/>
  <c r="K140" i="51"/>
  <c r="M140" i="51"/>
  <c r="O140" i="51"/>
  <c r="Q140" i="51"/>
  <c r="S140" i="51"/>
  <c r="T140" i="51"/>
  <c r="U140" i="51"/>
  <c r="V140" i="51"/>
  <c r="W140" i="51"/>
  <c r="X140" i="51"/>
  <c r="K141" i="51"/>
  <c r="M141" i="51"/>
  <c r="O141" i="51"/>
  <c r="Q141" i="51"/>
  <c r="S141" i="51"/>
  <c r="T141" i="51"/>
  <c r="U141" i="51"/>
  <c r="V141" i="51"/>
  <c r="W141" i="51"/>
  <c r="X141" i="51"/>
  <c r="K142" i="51"/>
  <c r="M142" i="51"/>
  <c r="O142" i="51"/>
  <c r="Q142" i="51"/>
  <c r="S142" i="51"/>
  <c r="T142" i="51"/>
  <c r="U142" i="51"/>
  <c r="V142" i="51"/>
  <c r="W142" i="51"/>
  <c r="X142" i="51"/>
  <c r="K143" i="51"/>
  <c r="M143" i="51"/>
  <c r="O143" i="51"/>
  <c r="Q143" i="51"/>
  <c r="S143" i="51"/>
  <c r="T143" i="51"/>
  <c r="U143" i="51"/>
  <c r="V143" i="51"/>
  <c r="W143" i="51"/>
  <c r="X143" i="51"/>
  <c r="K144" i="51"/>
  <c r="M144" i="51"/>
  <c r="O144" i="51"/>
  <c r="Q144" i="51"/>
  <c r="S144" i="51"/>
  <c r="T144" i="51"/>
  <c r="U144" i="51"/>
  <c r="V144" i="51"/>
  <c r="W144" i="51"/>
  <c r="X144" i="51"/>
  <c r="K145" i="51"/>
  <c r="M145" i="51"/>
  <c r="O145" i="51"/>
  <c r="Q145" i="51"/>
  <c r="S145" i="51"/>
  <c r="T145" i="51"/>
  <c r="U145" i="51"/>
  <c r="V145" i="51"/>
  <c r="W145" i="51"/>
  <c r="X145" i="51"/>
  <c r="K146" i="51"/>
  <c r="M146" i="51"/>
  <c r="O146" i="51"/>
  <c r="Q146" i="51"/>
  <c r="S146" i="51"/>
  <c r="T146" i="51"/>
  <c r="U146" i="51"/>
  <c r="V146" i="51"/>
  <c r="W146" i="51"/>
  <c r="X146" i="51"/>
  <c r="K147" i="51"/>
  <c r="M147" i="51"/>
  <c r="O147" i="51"/>
  <c r="Q147" i="51"/>
  <c r="S147" i="51"/>
  <c r="T147" i="51"/>
  <c r="U147" i="51"/>
  <c r="V147" i="51"/>
  <c r="W147" i="51"/>
  <c r="X147" i="51"/>
  <c r="K148" i="51"/>
  <c r="M148" i="51"/>
  <c r="O148" i="51"/>
  <c r="Q148" i="51"/>
  <c r="S148" i="51"/>
  <c r="T148" i="51"/>
  <c r="U148" i="51"/>
  <c r="V148" i="51"/>
  <c r="W148" i="51"/>
  <c r="X148" i="51"/>
  <c r="K149" i="51"/>
  <c r="M149" i="51"/>
  <c r="O149" i="51"/>
  <c r="Q149" i="51"/>
  <c r="S149" i="51"/>
  <c r="T149" i="51"/>
  <c r="U149" i="51"/>
  <c r="V149" i="51"/>
  <c r="W149" i="51"/>
  <c r="X149" i="51"/>
  <c r="K150" i="51"/>
  <c r="M150" i="51"/>
  <c r="O150" i="51"/>
  <c r="Q150" i="51"/>
  <c r="S150" i="51"/>
  <c r="T150" i="51"/>
  <c r="U150" i="51"/>
  <c r="V150" i="51"/>
  <c r="W150" i="51"/>
  <c r="X150" i="51"/>
  <c r="K151" i="51"/>
  <c r="M151" i="51"/>
  <c r="O151" i="51"/>
  <c r="Q151" i="51"/>
  <c r="S151" i="51"/>
  <c r="T151" i="51"/>
  <c r="U151" i="51"/>
  <c r="V151" i="51"/>
  <c r="W151" i="51"/>
  <c r="X151" i="51"/>
  <c r="K152" i="51"/>
  <c r="M152" i="51"/>
  <c r="O152" i="51"/>
  <c r="Q152" i="51"/>
  <c r="S152" i="51"/>
  <c r="T152" i="51"/>
  <c r="U152" i="51"/>
  <c r="V152" i="51"/>
  <c r="W152" i="51"/>
  <c r="X152" i="51"/>
  <c r="K153" i="51"/>
  <c r="M153" i="51"/>
  <c r="O153" i="51"/>
  <c r="Q153" i="51"/>
  <c r="S153" i="51"/>
  <c r="T153" i="51"/>
  <c r="U153" i="51"/>
  <c r="V153" i="51"/>
  <c r="W153" i="51"/>
  <c r="X153" i="51"/>
  <c r="K154" i="51"/>
  <c r="M154" i="51"/>
  <c r="O154" i="51"/>
  <c r="Q154" i="51"/>
  <c r="S154" i="51"/>
  <c r="T154" i="51"/>
  <c r="U154" i="51"/>
  <c r="V154" i="51"/>
  <c r="W154" i="51"/>
  <c r="X154" i="51"/>
  <c r="K155" i="51"/>
  <c r="M155" i="51"/>
  <c r="O155" i="51"/>
  <c r="Q155" i="51"/>
  <c r="S155" i="51"/>
  <c r="T155" i="51"/>
  <c r="U155" i="51"/>
  <c r="V155" i="51"/>
  <c r="W155" i="51"/>
  <c r="X155" i="51"/>
  <c r="K156" i="51"/>
  <c r="M156" i="51"/>
  <c r="O156" i="51"/>
  <c r="Q156" i="51"/>
  <c r="S156" i="51"/>
  <c r="T156" i="51"/>
  <c r="U156" i="51"/>
  <c r="V156" i="51"/>
  <c r="W156" i="51"/>
  <c r="X156" i="51"/>
  <c r="K157" i="51"/>
  <c r="M157" i="51"/>
  <c r="O157" i="51"/>
  <c r="Q157" i="51"/>
  <c r="S157" i="51"/>
  <c r="T157" i="51"/>
  <c r="U157" i="51"/>
  <c r="V157" i="51"/>
  <c r="W157" i="51"/>
  <c r="X157" i="51"/>
  <c r="K158" i="51"/>
  <c r="M158" i="51"/>
  <c r="O158" i="51"/>
  <c r="Q158" i="51"/>
  <c r="S158" i="51"/>
  <c r="T158" i="51"/>
  <c r="U158" i="51"/>
  <c r="V158" i="51"/>
  <c r="W158" i="51"/>
  <c r="X158" i="51"/>
  <c r="K159" i="51"/>
  <c r="M159" i="51"/>
  <c r="O159" i="51"/>
  <c r="Q159" i="51"/>
  <c r="S159" i="51"/>
  <c r="T159" i="51"/>
  <c r="U159" i="51"/>
  <c r="V159" i="51"/>
  <c r="W159" i="51"/>
  <c r="X159" i="51"/>
  <c r="K160" i="51"/>
  <c r="M160" i="51"/>
  <c r="O160" i="51"/>
  <c r="Q160" i="51"/>
  <c r="S160" i="51"/>
  <c r="T160" i="51"/>
  <c r="U160" i="51"/>
  <c r="V160" i="51"/>
  <c r="W160" i="51"/>
  <c r="X160" i="51"/>
  <c r="K161" i="51"/>
  <c r="M161" i="51"/>
  <c r="O161" i="51"/>
  <c r="Q161" i="51"/>
  <c r="S161" i="51"/>
  <c r="T161" i="51"/>
  <c r="U161" i="51"/>
  <c r="V161" i="51"/>
  <c r="W161" i="51"/>
  <c r="X161" i="51"/>
  <c r="K162" i="51"/>
  <c r="M162" i="51"/>
  <c r="O162" i="51"/>
  <c r="Q162" i="51"/>
  <c r="S162" i="51"/>
  <c r="T162" i="51"/>
  <c r="U162" i="51"/>
  <c r="V162" i="51"/>
  <c r="W162" i="51"/>
  <c r="X162" i="51"/>
  <c r="K163" i="51"/>
  <c r="M163" i="51"/>
  <c r="O163" i="51"/>
  <c r="Q163" i="51"/>
  <c r="S163" i="51"/>
  <c r="T163" i="51"/>
  <c r="U163" i="51"/>
  <c r="V163" i="51"/>
  <c r="W163" i="51"/>
  <c r="X163" i="51"/>
  <c r="K164" i="51"/>
  <c r="M164" i="51"/>
  <c r="O164" i="51"/>
  <c r="Q164" i="51"/>
  <c r="S164" i="51"/>
  <c r="T164" i="51"/>
  <c r="U164" i="51"/>
  <c r="V164" i="51"/>
  <c r="W164" i="51"/>
  <c r="X164" i="51"/>
  <c r="K165" i="51"/>
  <c r="M165" i="51"/>
  <c r="O165" i="51"/>
  <c r="Q165" i="51"/>
  <c r="S165" i="51"/>
  <c r="T165" i="51"/>
  <c r="U165" i="51"/>
  <c r="V165" i="51"/>
  <c r="W165" i="51"/>
  <c r="X165" i="51"/>
  <c r="K166" i="51"/>
  <c r="M166" i="51"/>
  <c r="O166" i="51"/>
  <c r="Q166" i="51"/>
  <c r="S166" i="51"/>
  <c r="T166" i="51"/>
  <c r="U166" i="51"/>
  <c r="V166" i="51"/>
  <c r="W166" i="51"/>
  <c r="X166" i="51"/>
  <c r="K167" i="51"/>
  <c r="M167" i="51"/>
  <c r="O167" i="51"/>
  <c r="Q167" i="51"/>
  <c r="S167" i="51"/>
  <c r="T167" i="51"/>
  <c r="U167" i="51"/>
  <c r="V167" i="51"/>
  <c r="W167" i="51"/>
  <c r="X167" i="51"/>
  <c r="K168" i="51"/>
  <c r="M168" i="51"/>
  <c r="O168" i="51"/>
  <c r="Q168" i="51"/>
  <c r="S168" i="51"/>
  <c r="T168" i="51"/>
  <c r="U168" i="51"/>
  <c r="V168" i="51"/>
  <c r="W168" i="51"/>
  <c r="X168" i="51"/>
  <c r="K169" i="51"/>
  <c r="M169" i="51"/>
  <c r="O169" i="51"/>
  <c r="Q169" i="51"/>
  <c r="S169" i="51"/>
  <c r="T169" i="51"/>
  <c r="U169" i="51"/>
  <c r="V169" i="51"/>
  <c r="W169" i="51"/>
  <c r="X169" i="51"/>
  <c r="K170" i="51"/>
  <c r="M170" i="51"/>
  <c r="O170" i="51"/>
  <c r="Q170" i="51"/>
  <c r="S170" i="51"/>
  <c r="T170" i="51"/>
  <c r="U170" i="51"/>
  <c r="V170" i="51"/>
  <c r="W170" i="51"/>
  <c r="X170" i="51"/>
  <c r="K171" i="51"/>
  <c r="M171" i="51"/>
  <c r="O171" i="51"/>
  <c r="Q171" i="51"/>
  <c r="S171" i="51"/>
  <c r="T171" i="51"/>
  <c r="U171" i="51"/>
  <c r="V171" i="51"/>
  <c r="W171" i="51"/>
  <c r="X171" i="51"/>
  <c r="K172" i="51"/>
  <c r="M172" i="51"/>
  <c r="O172" i="51"/>
  <c r="Q172" i="51"/>
  <c r="S172" i="51"/>
  <c r="T172" i="51"/>
  <c r="U172" i="51"/>
  <c r="V172" i="51"/>
  <c r="W172" i="51"/>
  <c r="X172" i="51"/>
  <c r="K173" i="51"/>
  <c r="M173" i="51"/>
  <c r="O173" i="51"/>
  <c r="Q173" i="51"/>
  <c r="S173" i="51"/>
  <c r="T173" i="51"/>
  <c r="U173" i="51"/>
  <c r="V173" i="51"/>
  <c r="W173" i="51"/>
  <c r="X173" i="51"/>
  <c r="K174" i="51"/>
  <c r="M174" i="51"/>
  <c r="O174" i="51"/>
  <c r="Q174" i="51"/>
  <c r="S174" i="51"/>
  <c r="T174" i="51"/>
  <c r="U174" i="51"/>
  <c r="V174" i="51"/>
  <c r="W174" i="51"/>
  <c r="X174" i="51"/>
  <c r="K175" i="51"/>
  <c r="M175" i="51"/>
  <c r="O175" i="51"/>
  <c r="Q175" i="51"/>
  <c r="S175" i="51"/>
  <c r="T175" i="51"/>
  <c r="U175" i="51"/>
  <c r="V175" i="51"/>
  <c r="W175" i="51"/>
  <c r="X175" i="51"/>
  <c r="K176" i="51"/>
  <c r="M176" i="51"/>
  <c r="O176" i="51"/>
  <c r="Q176" i="51"/>
  <c r="S176" i="51"/>
  <c r="T176" i="51"/>
  <c r="U176" i="51"/>
  <c r="V176" i="51"/>
  <c r="W176" i="51"/>
  <c r="X176" i="51"/>
  <c r="K177" i="51"/>
  <c r="M177" i="51"/>
  <c r="O177" i="51"/>
  <c r="Q177" i="51"/>
  <c r="S177" i="51"/>
  <c r="T177" i="51"/>
  <c r="U177" i="51"/>
  <c r="V177" i="51"/>
  <c r="W177" i="51"/>
  <c r="X177" i="51"/>
  <c r="K178" i="51"/>
  <c r="M178" i="51"/>
  <c r="O178" i="51"/>
  <c r="Q178" i="51"/>
  <c r="S178" i="51"/>
  <c r="T178" i="51"/>
  <c r="U178" i="51"/>
  <c r="V178" i="51"/>
  <c r="W178" i="51"/>
  <c r="X178" i="51"/>
  <c r="K179" i="51"/>
  <c r="M179" i="51"/>
  <c r="O179" i="51"/>
  <c r="Q179" i="51"/>
  <c r="S179" i="51"/>
  <c r="T179" i="51"/>
  <c r="U179" i="51"/>
  <c r="V179" i="51"/>
  <c r="W179" i="51"/>
  <c r="X179" i="51"/>
  <c r="K180" i="51"/>
  <c r="M180" i="51"/>
  <c r="O180" i="51"/>
  <c r="Q180" i="51"/>
  <c r="S180" i="51"/>
  <c r="T180" i="51"/>
  <c r="U180" i="51"/>
  <c r="V180" i="51"/>
  <c r="W180" i="51"/>
  <c r="X180" i="51"/>
  <c r="K181" i="51"/>
  <c r="M181" i="51"/>
  <c r="O181" i="51"/>
  <c r="Q181" i="51"/>
  <c r="S181" i="51"/>
  <c r="T181" i="51"/>
  <c r="U181" i="51"/>
  <c r="V181" i="51"/>
  <c r="W181" i="51"/>
  <c r="X181" i="51"/>
  <c r="K182" i="51"/>
  <c r="M182" i="51"/>
  <c r="O182" i="51"/>
  <c r="Q182" i="51"/>
  <c r="S182" i="51"/>
  <c r="T182" i="51"/>
  <c r="U182" i="51"/>
  <c r="V182" i="51"/>
  <c r="W182" i="51"/>
  <c r="X182" i="51"/>
  <c r="K183" i="51"/>
  <c r="M183" i="51"/>
  <c r="O183" i="51"/>
  <c r="Q183" i="51"/>
  <c r="S183" i="51"/>
  <c r="T183" i="51"/>
  <c r="U183" i="51"/>
  <c r="V183" i="51"/>
  <c r="W183" i="51"/>
  <c r="X183" i="51"/>
  <c r="K184" i="51"/>
  <c r="M184" i="51"/>
  <c r="O184" i="51"/>
  <c r="Q184" i="51"/>
  <c r="S184" i="51"/>
  <c r="T184" i="51"/>
  <c r="U184" i="51"/>
  <c r="V184" i="51"/>
  <c r="W184" i="51"/>
  <c r="X184" i="51"/>
  <c r="K185" i="51"/>
  <c r="M185" i="51"/>
  <c r="O185" i="51"/>
  <c r="Q185" i="51"/>
  <c r="S185" i="51"/>
  <c r="T185" i="51"/>
  <c r="U185" i="51"/>
  <c r="V185" i="51"/>
  <c r="W185" i="51"/>
  <c r="X185" i="51"/>
  <c r="K186" i="51"/>
  <c r="M186" i="51"/>
  <c r="O186" i="51"/>
  <c r="Q186" i="51"/>
  <c r="S186" i="51"/>
  <c r="T186" i="51"/>
  <c r="U186" i="51"/>
  <c r="V186" i="51"/>
  <c r="W186" i="51"/>
  <c r="X186" i="51"/>
  <c r="K187" i="51"/>
  <c r="M187" i="51"/>
  <c r="O187" i="51"/>
  <c r="Q187" i="51"/>
  <c r="S187" i="51"/>
  <c r="T187" i="51"/>
  <c r="U187" i="51"/>
  <c r="V187" i="51"/>
  <c r="W187" i="51"/>
  <c r="X187" i="51"/>
  <c r="K188" i="51"/>
  <c r="M188" i="51"/>
  <c r="O188" i="51"/>
  <c r="Q188" i="51"/>
  <c r="S188" i="51"/>
  <c r="T188" i="51"/>
  <c r="U188" i="51"/>
  <c r="V188" i="51"/>
  <c r="W188" i="51"/>
  <c r="X188" i="51"/>
  <c r="K189" i="51"/>
  <c r="M189" i="51"/>
  <c r="O189" i="51"/>
  <c r="Q189" i="51"/>
  <c r="S189" i="51"/>
  <c r="T189" i="51"/>
  <c r="U189" i="51"/>
  <c r="V189" i="51"/>
  <c r="W189" i="51"/>
  <c r="X189" i="51"/>
  <c r="K190" i="51"/>
  <c r="M190" i="51"/>
  <c r="O190" i="51"/>
  <c r="Q190" i="51"/>
  <c r="S190" i="51"/>
  <c r="T190" i="51"/>
  <c r="U190" i="51"/>
  <c r="V190" i="51"/>
  <c r="W190" i="51"/>
  <c r="X190" i="51"/>
  <c r="K191" i="51"/>
  <c r="M191" i="51"/>
  <c r="O191" i="51"/>
  <c r="Q191" i="51"/>
  <c r="S191" i="51"/>
  <c r="T191" i="51"/>
  <c r="U191" i="51"/>
  <c r="V191" i="51"/>
  <c r="W191" i="51"/>
  <c r="X191" i="51"/>
  <c r="K192" i="51"/>
  <c r="M192" i="51"/>
  <c r="O192" i="51"/>
  <c r="Q192" i="51"/>
  <c r="S192" i="51"/>
  <c r="T192" i="51"/>
  <c r="U192" i="51"/>
  <c r="V192" i="51"/>
  <c r="W192" i="51"/>
  <c r="X192" i="51"/>
  <c r="K193" i="51"/>
  <c r="M193" i="51"/>
  <c r="O193" i="51"/>
  <c r="Q193" i="51"/>
  <c r="S193" i="51"/>
  <c r="T193" i="51"/>
  <c r="U193" i="51"/>
  <c r="V193" i="51"/>
  <c r="W193" i="51"/>
  <c r="X193" i="51"/>
  <c r="K194" i="51"/>
  <c r="M194" i="51"/>
  <c r="O194" i="51"/>
  <c r="Q194" i="51"/>
  <c r="S194" i="51"/>
  <c r="T194" i="51"/>
  <c r="U194" i="51"/>
  <c r="V194" i="51"/>
  <c r="W194" i="51"/>
  <c r="X194" i="51"/>
  <c r="K195" i="51"/>
  <c r="M195" i="51"/>
  <c r="O195" i="51"/>
  <c r="Q195" i="51"/>
  <c r="S195" i="51"/>
  <c r="T195" i="51"/>
  <c r="U195" i="51"/>
  <c r="V195" i="51"/>
  <c r="W195" i="51"/>
  <c r="X195" i="51"/>
  <c r="K196" i="51"/>
  <c r="M196" i="51"/>
  <c r="O196" i="51"/>
  <c r="Q196" i="51"/>
  <c r="S196" i="51"/>
  <c r="T196" i="51"/>
  <c r="U196" i="51"/>
  <c r="V196" i="51"/>
  <c r="W196" i="51"/>
  <c r="X196" i="51"/>
  <c r="K197" i="51"/>
  <c r="M197" i="51"/>
  <c r="O197" i="51"/>
  <c r="Q197" i="51"/>
  <c r="S197" i="51"/>
  <c r="T197" i="51"/>
  <c r="U197" i="51"/>
  <c r="V197" i="51"/>
  <c r="W197" i="51"/>
  <c r="X197" i="51"/>
  <c r="K198" i="51"/>
  <c r="M198" i="51"/>
  <c r="O198" i="51"/>
  <c r="Q198" i="51"/>
  <c r="S198" i="51"/>
  <c r="T198" i="51"/>
  <c r="U198" i="51"/>
  <c r="V198" i="51"/>
  <c r="W198" i="51"/>
  <c r="X198" i="51"/>
  <c r="K199" i="51"/>
  <c r="M199" i="51"/>
  <c r="O199" i="51"/>
  <c r="Q199" i="51"/>
  <c r="S199" i="51"/>
  <c r="T199" i="51"/>
  <c r="U199" i="51"/>
  <c r="V199" i="51"/>
  <c r="W199" i="51"/>
  <c r="X199" i="51"/>
  <c r="K200" i="51"/>
  <c r="M200" i="51"/>
  <c r="O200" i="51"/>
  <c r="Q200" i="51"/>
  <c r="S200" i="51"/>
  <c r="T200" i="51"/>
  <c r="U200" i="51"/>
  <c r="V200" i="51"/>
  <c r="W200" i="51"/>
  <c r="X200" i="51"/>
  <c r="K201" i="51"/>
  <c r="M201" i="51"/>
  <c r="O201" i="51"/>
  <c r="Q201" i="51"/>
  <c r="S201" i="51"/>
  <c r="T201" i="51"/>
  <c r="U201" i="51"/>
  <c r="V201" i="51"/>
  <c r="W201" i="51"/>
  <c r="X201" i="51"/>
  <c r="K202" i="51"/>
  <c r="M202" i="51"/>
  <c r="O202" i="51"/>
  <c r="Q202" i="51"/>
  <c r="S202" i="51"/>
  <c r="T202" i="51"/>
  <c r="U202" i="51"/>
  <c r="V202" i="51"/>
  <c r="W202" i="51"/>
  <c r="X202" i="51"/>
  <c r="K203" i="51"/>
  <c r="M203" i="51"/>
  <c r="O203" i="51"/>
  <c r="Q203" i="51"/>
  <c r="S203" i="51"/>
  <c r="T203" i="51"/>
  <c r="U203" i="51"/>
  <c r="V203" i="51"/>
  <c r="W203" i="51"/>
  <c r="X203" i="51"/>
  <c r="K204" i="51"/>
  <c r="M204" i="51"/>
  <c r="O204" i="51"/>
  <c r="Q204" i="51"/>
  <c r="S204" i="51"/>
  <c r="T204" i="51"/>
  <c r="U204" i="51"/>
  <c r="V204" i="51"/>
  <c r="W204" i="51"/>
  <c r="X204" i="51"/>
  <c r="K205" i="51"/>
  <c r="M205" i="51"/>
  <c r="O205" i="51"/>
  <c r="Q205" i="51"/>
  <c r="S205" i="51"/>
  <c r="T205" i="51"/>
  <c r="U205" i="51"/>
  <c r="V205" i="51"/>
  <c r="W205" i="51"/>
  <c r="X205" i="51"/>
  <c r="K206" i="51"/>
  <c r="M206" i="51"/>
  <c r="O206" i="51"/>
  <c r="Q206" i="51"/>
  <c r="S206" i="51"/>
  <c r="T206" i="51"/>
  <c r="U206" i="51"/>
  <c r="V206" i="51"/>
  <c r="W206" i="51"/>
  <c r="X206" i="51"/>
  <c r="K207" i="51"/>
  <c r="M207" i="51"/>
  <c r="O207" i="51"/>
  <c r="Q207" i="51"/>
  <c r="S207" i="51"/>
  <c r="T207" i="51"/>
  <c r="U207" i="51"/>
  <c r="V207" i="51"/>
  <c r="W207" i="51"/>
  <c r="X207" i="51"/>
  <c r="K208" i="51"/>
  <c r="M208" i="51"/>
  <c r="O208" i="51"/>
  <c r="Q208" i="51"/>
  <c r="S208" i="51"/>
  <c r="T208" i="51"/>
  <c r="U208" i="51"/>
  <c r="V208" i="51"/>
  <c r="W208" i="51"/>
  <c r="X208" i="51"/>
  <c r="K209" i="51"/>
  <c r="M209" i="51"/>
  <c r="O209" i="51"/>
  <c r="Q209" i="51"/>
  <c r="S209" i="51"/>
  <c r="T209" i="51"/>
  <c r="U209" i="51"/>
  <c r="V209" i="51"/>
  <c r="W209" i="51"/>
  <c r="X209" i="51"/>
  <c r="K210" i="51"/>
  <c r="M210" i="51"/>
  <c r="O210" i="51"/>
  <c r="Q210" i="51"/>
  <c r="S210" i="51"/>
  <c r="T210" i="51"/>
  <c r="U210" i="51"/>
  <c r="V210" i="51"/>
  <c r="W210" i="51"/>
  <c r="X210" i="51"/>
  <c r="K211" i="51"/>
  <c r="M211" i="51"/>
  <c r="O211" i="51"/>
  <c r="Q211" i="51"/>
  <c r="S211" i="51"/>
  <c r="T211" i="51"/>
  <c r="U211" i="51"/>
  <c r="V211" i="51"/>
  <c r="W211" i="51"/>
  <c r="X211" i="51"/>
  <c r="K212" i="51"/>
  <c r="M212" i="51"/>
  <c r="O212" i="51"/>
  <c r="Q212" i="51"/>
  <c r="S212" i="51"/>
  <c r="T212" i="51"/>
  <c r="U212" i="51"/>
  <c r="V212" i="51"/>
  <c r="W212" i="51"/>
  <c r="X212" i="51"/>
  <c r="K213" i="51"/>
  <c r="M213" i="51"/>
  <c r="O213" i="51"/>
  <c r="Q213" i="51"/>
  <c r="S213" i="51"/>
  <c r="T213" i="51"/>
  <c r="U213" i="51"/>
  <c r="V213" i="51"/>
  <c r="W213" i="51"/>
  <c r="X213" i="51"/>
  <c r="K214" i="51"/>
  <c r="M214" i="51"/>
  <c r="O214" i="51"/>
  <c r="Q214" i="51"/>
  <c r="S214" i="51"/>
  <c r="T214" i="51"/>
  <c r="U214" i="51"/>
  <c r="V214" i="51"/>
  <c r="W214" i="51"/>
  <c r="X214" i="51"/>
  <c r="K215" i="51"/>
  <c r="M215" i="51"/>
  <c r="O215" i="51"/>
  <c r="Q215" i="51"/>
  <c r="S215" i="51"/>
  <c r="T215" i="51"/>
  <c r="U215" i="51"/>
  <c r="V215" i="51"/>
  <c r="W215" i="51"/>
  <c r="X215" i="51"/>
  <c r="K216" i="51"/>
  <c r="M216" i="51"/>
  <c r="O216" i="51"/>
  <c r="Q216" i="51"/>
  <c r="S216" i="51"/>
  <c r="T216" i="51"/>
  <c r="U216" i="51"/>
  <c r="V216" i="51"/>
  <c r="W216" i="51"/>
  <c r="X216" i="51"/>
  <c r="K217" i="51"/>
  <c r="M217" i="51"/>
  <c r="O217" i="51"/>
  <c r="Q217" i="51"/>
  <c r="S217" i="51"/>
  <c r="T217" i="51"/>
  <c r="U217" i="51"/>
  <c r="V217" i="51"/>
  <c r="W217" i="51"/>
  <c r="X217" i="51"/>
  <c r="K218" i="51"/>
  <c r="M218" i="51"/>
  <c r="O218" i="51"/>
  <c r="Q218" i="51"/>
  <c r="S218" i="51"/>
  <c r="T218" i="51"/>
  <c r="U218" i="51"/>
  <c r="V218" i="51"/>
  <c r="W218" i="51"/>
  <c r="X218" i="51"/>
  <c r="K219" i="51"/>
  <c r="M219" i="51"/>
  <c r="O219" i="51"/>
  <c r="Q219" i="51"/>
  <c r="S219" i="51"/>
  <c r="T219" i="51"/>
  <c r="U219" i="51"/>
  <c r="V219" i="51"/>
  <c r="W219" i="51"/>
  <c r="X219" i="51"/>
  <c r="K220" i="51"/>
  <c r="M220" i="51"/>
  <c r="O220" i="51"/>
  <c r="Q220" i="51"/>
  <c r="S220" i="51"/>
  <c r="T220" i="51"/>
  <c r="U220" i="51"/>
  <c r="V220" i="51"/>
  <c r="W220" i="51"/>
  <c r="X220" i="51"/>
  <c r="K221" i="51"/>
  <c r="M221" i="51"/>
  <c r="O221" i="51"/>
  <c r="Q221" i="51"/>
  <c r="S221" i="51"/>
  <c r="T221" i="51"/>
  <c r="U221" i="51"/>
  <c r="V221" i="51"/>
  <c r="W221" i="51"/>
  <c r="X221" i="51"/>
  <c r="K222" i="51"/>
  <c r="M222" i="51"/>
  <c r="O222" i="51"/>
  <c r="Q222" i="51"/>
  <c r="S222" i="51"/>
  <c r="T222" i="51"/>
  <c r="U222" i="51"/>
  <c r="V222" i="51"/>
  <c r="W222" i="51"/>
  <c r="X222" i="51"/>
  <c r="K223" i="51"/>
  <c r="M223" i="51"/>
  <c r="O223" i="51"/>
  <c r="Q223" i="51"/>
  <c r="S223" i="51"/>
  <c r="T223" i="51"/>
  <c r="U223" i="51"/>
  <c r="V223" i="51"/>
  <c r="W223" i="51"/>
  <c r="X223" i="51"/>
  <c r="K224" i="51"/>
  <c r="M224" i="51"/>
  <c r="O224" i="51"/>
  <c r="Q224" i="51"/>
  <c r="S224" i="51"/>
  <c r="T224" i="51"/>
  <c r="U224" i="51"/>
  <c r="V224" i="51"/>
  <c r="W224" i="51"/>
  <c r="X224" i="51"/>
  <c r="K225" i="51"/>
  <c r="M225" i="51"/>
  <c r="O225" i="51"/>
  <c r="Q225" i="51"/>
  <c r="S225" i="51"/>
  <c r="T225" i="51"/>
  <c r="U225" i="51"/>
  <c r="V225" i="51"/>
  <c r="W225" i="51"/>
  <c r="X225" i="51"/>
  <c r="K226" i="51"/>
  <c r="M226" i="51"/>
  <c r="O226" i="51"/>
  <c r="Q226" i="51"/>
  <c r="S226" i="51"/>
  <c r="T226" i="51"/>
  <c r="U226" i="51"/>
  <c r="V226" i="51"/>
  <c r="W226" i="51"/>
  <c r="X226" i="51"/>
  <c r="K227" i="51"/>
  <c r="M227" i="51"/>
  <c r="O227" i="51"/>
  <c r="Q227" i="51"/>
  <c r="S227" i="51"/>
  <c r="T227" i="51"/>
  <c r="U227" i="51"/>
  <c r="V227" i="51"/>
  <c r="W227" i="51"/>
  <c r="X227" i="51"/>
  <c r="K228" i="51"/>
  <c r="M228" i="51"/>
  <c r="O228" i="51"/>
  <c r="Q228" i="51"/>
  <c r="S228" i="51"/>
  <c r="T228" i="51"/>
  <c r="U228" i="51"/>
  <c r="V228" i="51"/>
  <c r="W228" i="51"/>
  <c r="X228" i="51"/>
  <c r="K229" i="51"/>
  <c r="M229" i="51"/>
  <c r="O229" i="51"/>
  <c r="Q229" i="51"/>
  <c r="S229" i="51"/>
  <c r="T229" i="51"/>
  <c r="U229" i="51"/>
  <c r="V229" i="51"/>
  <c r="W229" i="51"/>
  <c r="X229" i="51"/>
  <c r="K230" i="51"/>
  <c r="M230" i="51"/>
  <c r="O230" i="51"/>
  <c r="Q230" i="51"/>
  <c r="S230" i="51"/>
  <c r="T230" i="51"/>
  <c r="U230" i="51"/>
  <c r="V230" i="51"/>
  <c r="W230" i="51"/>
  <c r="X230" i="51"/>
  <c r="K231" i="51"/>
  <c r="M231" i="51"/>
  <c r="O231" i="51"/>
  <c r="Q231" i="51"/>
  <c r="S231" i="51"/>
  <c r="T231" i="51"/>
  <c r="U231" i="51"/>
  <c r="V231" i="51"/>
  <c r="W231" i="51"/>
  <c r="X231" i="51"/>
  <c r="K232" i="51"/>
  <c r="M232" i="51"/>
  <c r="O232" i="51"/>
  <c r="Q232" i="51"/>
  <c r="S232" i="51"/>
  <c r="T232" i="51"/>
  <c r="U232" i="51"/>
  <c r="V232" i="51"/>
  <c r="W232" i="51"/>
  <c r="X232" i="51"/>
  <c r="K233" i="51"/>
  <c r="M233" i="51"/>
  <c r="O233" i="51"/>
  <c r="Q233" i="51"/>
  <c r="S233" i="51"/>
  <c r="T233" i="51"/>
  <c r="U233" i="51"/>
  <c r="V233" i="51"/>
  <c r="W233" i="51"/>
  <c r="X233" i="51"/>
  <c r="K234" i="51"/>
  <c r="M234" i="51"/>
  <c r="O234" i="51"/>
  <c r="Q234" i="51"/>
  <c r="S234" i="51"/>
  <c r="T234" i="51"/>
  <c r="U234" i="51"/>
  <c r="V234" i="51"/>
  <c r="W234" i="51"/>
  <c r="X234" i="51"/>
  <c r="K235" i="51"/>
  <c r="M235" i="51"/>
  <c r="O235" i="51"/>
  <c r="Q235" i="51"/>
  <c r="S235" i="51"/>
  <c r="T235" i="51"/>
  <c r="U235" i="51"/>
  <c r="V235" i="51"/>
  <c r="W235" i="51"/>
  <c r="X235" i="51"/>
  <c r="K236" i="51"/>
  <c r="M236" i="51"/>
  <c r="O236" i="51"/>
  <c r="Q236" i="51"/>
  <c r="S236" i="51"/>
  <c r="T236" i="51"/>
  <c r="U236" i="51"/>
  <c r="V236" i="51"/>
  <c r="W236" i="51"/>
  <c r="X236" i="51"/>
  <c r="K237" i="51"/>
  <c r="M237" i="51"/>
  <c r="O237" i="51"/>
  <c r="Q237" i="51"/>
  <c r="S237" i="51"/>
  <c r="T237" i="51"/>
  <c r="U237" i="51"/>
  <c r="V237" i="51"/>
  <c r="W237" i="51"/>
  <c r="X237" i="51"/>
  <c r="K238" i="51"/>
  <c r="M238" i="51"/>
  <c r="O238" i="51"/>
  <c r="Q238" i="51"/>
  <c r="S238" i="51"/>
  <c r="T238" i="51"/>
  <c r="U238" i="51"/>
  <c r="V238" i="51"/>
  <c r="W238" i="51"/>
  <c r="X238" i="51"/>
  <c r="K239" i="51"/>
  <c r="M239" i="51"/>
  <c r="O239" i="51"/>
  <c r="Q239" i="51"/>
  <c r="S239" i="51"/>
  <c r="T239" i="51"/>
  <c r="U239" i="51"/>
  <c r="V239" i="51"/>
  <c r="W239" i="51"/>
  <c r="X239" i="51"/>
  <c r="K240" i="51"/>
  <c r="M240" i="51"/>
  <c r="O240" i="51"/>
  <c r="Q240" i="51"/>
  <c r="S240" i="51"/>
  <c r="T240" i="51"/>
  <c r="U240" i="51"/>
  <c r="V240" i="51"/>
  <c r="W240" i="51"/>
  <c r="X240" i="51"/>
  <c r="K241" i="51"/>
  <c r="M241" i="51"/>
  <c r="O241" i="51"/>
  <c r="Q241" i="51"/>
  <c r="S241" i="51"/>
  <c r="T241" i="51"/>
  <c r="U241" i="51"/>
  <c r="V241" i="51"/>
  <c r="W241" i="51"/>
  <c r="X241" i="51"/>
  <c r="K242" i="51"/>
  <c r="M242" i="51"/>
  <c r="O242" i="51"/>
  <c r="Q242" i="51"/>
  <c r="S242" i="51"/>
  <c r="T242" i="51"/>
  <c r="U242" i="51"/>
  <c r="V242" i="51"/>
  <c r="W242" i="51"/>
  <c r="X242" i="51"/>
  <c r="K243" i="51"/>
  <c r="M243" i="51"/>
  <c r="O243" i="51"/>
  <c r="Q243" i="51"/>
  <c r="S243" i="51"/>
  <c r="T243" i="51"/>
  <c r="U243" i="51"/>
  <c r="V243" i="51"/>
  <c r="W243" i="51"/>
  <c r="X243" i="51"/>
  <c r="K244" i="51"/>
  <c r="M244" i="51"/>
  <c r="O244" i="51"/>
  <c r="Q244" i="51"/>
  <c r="S244" i="51"/>
  <c r="T244" i="51"/>
  <c r="U244" i="51"/>
  <c r="V244" i="51"/>
  <c r="W244" i="51"/>
  <c r="X244" i="51"/>
  <c r="K245" i="51"/>
  <c r="M245" i="51"/>
  <c r="O245" i="51"/>
  <c r="Q245" i="51"/>
  <c r="S245" i="51"/>
  <c r="T245" i="51"/>
  <c r="U245" i="51"/>
  <c r="V245" i="51"/>
  <c r="W245" i="51"/>
  <c r="X245" i="51"/>
  <c r="K246" i="51"/>
  <c r="M246" i="51"/>
  <c r="O246" i="51"/>
  <c r="Q246" i="51"/>
  <c r="S246" i="51"/>
  <c r="T246" i="51"/>
  <c r="U246" i="51"/>
  <c r="V246" i="51"/>
  <c r="W246" i="51"/>
  <c r="X246" i="51"/>
  <c r="K247" i="51"/>
  <c r="M247" i="51"/>
  <c r="O247" i="51"/>
  <c r="Q247" i="51"/>
  <c r="S247" i="51"/>
  <c r="T247" i="51"/>
  <c r="U247" i="51"/>
  <c r="V247" i="51"/>
  <c r="W247" i="51"/>
  <c r="X247" i="51"/>
  <c r="K248" i="51"/>
  <c r="M248" i="51"/>
  <c r="O248" i="51"/>
  <c r="Q248" i="51"/>
  <c r="S248" i="51"/>
  <c r="T248" i="51"/>
  <c r="U248" i="51"/>
  <c r="V248" i="51"/>
  <c r="W248" i="51"/>
  <c r="X248" i="51"/>
  <c r="K249" i="51"/>
  <c r="M249" i="51"/>
  <c r="O249" i="51"/>
  <c r="Q249" i="51"/>
  <c r="S249" i="51"/>
  <c r="T249" i="51"/>
  <c r="U249" i="51"/>
  <c r="V249" i="51"/>
  <c r="W249" i="51"/>
  <c r="X249" i="51"/>
  <c r="K250" i="51"/>
  <c r="M250" i="51"/>
  <c r="O250" i="51"/>
  <c r="Q250" i="51"/>
  <c r="S250" i="51"/>
  <c r="T250" i="51"/>
  <c r="U250" i="51"/>
  <c r="V250" i="51"/>
  <c r="W250" i="51"/>
  <c r="X250" i="51"/>
  <c r="K251" i="51"/>
  <c r="M251" i="51"/>
  <c r="O251" i="51"/>
  <c r="Q251" i="51"/>
  <c r="S251" i="51"/>
  <c r="T251" i="51"/>
  <c r="U251" i="51"/>
  <c r="V251" i="51"/>
  <c r="W251" i="51"/>
  <c r="X251" i="51"/>
  <c r="K252" i="51"/>
  <c r="M252" i="51"/>
  <c r="O252" i="51"/>
  <c r="Q252" i="51"/>
  <c r="S252" i="51"/>
  <c r="T252" i="51"/>
  <c r="U252" i="51"/>
  <c r="V252" i="51"/>
  <c r="W252" i="51"/>
  <c r="X252" i="51"/>
  <c r="K253" i="51"/>
  <c r="M253" i="51"/>
  <c r="O253" i="51"/>
  <c r="Q253" i="51"/>
  <c r="S253" i="51"/>
  <c r="T253" i="51"/>
  <c r="U253" i="51"/>
  <c r="V253" i="51"/>
  <c r="W253" i="51"/>
  <c r="X253" i="51"/>
  <c r="K254" i="51"/>
  <c r="M254" i="51"/>
  <c r="O254" i="51"/>
  <c r="Q254" i="51"/>
  <c r="S254" i="51"/>
  <c r="T254" i="51"/>
  <c r="U254" i="51"/>
  <c r="V254" i="51"/>
  <c r="W254" i="51"/>
  <c r="X254" i="51"/>
  <c r="K255" i="51"/>
  <c r="M255" i="51"/>
  <c r="O255" i="51"/>
  <c r="Q255" i="51"/>
  <c r="S255" i="51"/>
  <c r="T255" i="51"/>
  <c r="U255" i="51"/>
  <c r="V255" i="51"/>
  <c r="W255" i="51"/>
  <c r="X255" i="51"/>
  <c r="K256" i="51"/>
  <c r="M256" i="51"/>
  <c r="O256" i="51"/>
  <c r="Q256" i="51"/>
  <c r="S256" i="51"/>
  <c r="T256" i="51"/>
  <c r="U256" i="51"/>
  <c r="V256" i="51"/>
  <c r="W256" i="51"/>
  <c r="X256" i="51"/>
  <c r="K257" i="51"/>
  <c r="M257" i="51"/>
  <c r="O257" i="51"/>
  <c r="Q257" i="51"/>
  <c r="S257" i="51"/>
  <c r="T257" i="51"/>
  <c r="U257" i="51"/>
  <c r="V257" i="51"/>
  <c r="W257" i="51"/>
  <c r="X257" i="51"/>
  <c r="K258" i="51"/>
  <c r="M258" i="51"/>
  <c r="O258" i="51"/>
  <c r="Q258" i="51"/>
  <c r="S258" i="51"/>
  <c r="T258" i="51"/>
  <c r="U258" i="51"/>
  <c r="V258" i="51"/>
  <c r="W258" i="51"/>
  <c r="X258" i="51"/>
  <c r="K259" i="51"/>
  <c r="M259" i="51"/>
  <c r="O259" i="51"/>
  <c r="Q259" i="51"/>
  <c r="S259" i="51"/>
  <c r="T259" i="51"/>
  <c r="U259" i="51"/>
  <c r="V259" i="51"/>
  <c r="W259" i="51"/>
  <c r="X259" i="51"/>
  <c r="K260" i="51"/>
  <c r="M260" i="51"/>
  <c r="O260" i="51"/>
  <c r="Q260" i="51"/>
  <c r="S260" i="51"/>
  <c r="T260" i="51"/>
  <c r="U260" i="51"/>
  <c r="V260" i="51"/>
  <c r="W260" i="51"/>
  <c r="X260" i="51"/>
  <c r="K261" i="51"/>
  <c r="M261" i="51"/>
  <c r="O261" i="51"/>
  <c r="Q261" i="51"/>
  <c r="S261" i="51"/>
  <c r="T261" i="51"/>
  <c r="U261" i="51"/>
  <c r="V261" i="51"/>
  <c r="W261" i="51"/>
  <c r="X261" i="51"/>
  <c r="K262" i="51"/>
  <c r="M262" i="51"/>
  <c r="O262" i="51"/>
  <c r="Q262" i="51"/>
  <c r="S262" i="51"/>
  <c r="T262" i="51"/>
  <c r="U262" i="51"/>
  <c r="V262" i="51"/>
  <c r="W262" i="51"/>
  <c r="X262" i="51"/>
  <c r="K263" i="51"/>
  <c r="M263" i="51"/>
  <c r="O263" i="51"/>
  <c r="Q263" i="51"/>
  <c r="S263" i="51"/>
  <c r="T263" i="51"/>
  <c r="U263" i="51"/>
  <c r="V263" i="51"/>
  <c r="W263" i="51"/>
  <c r="X263" i="51"/>
  <c r="K264" i="51"/>
  <c r="M264" i="51"/>
  <c r="O264" i="51"/>
  <c r="Q264" i="51"/>
  <c r="S264" i="51"/>
  <c r="T264" i="51"/>
  <c r="U264" i="51"/>
  <c r="V264" i="51"/>
  <c r="W264" i="51"/>
  <c r="X264" i="51"/>
  <c r="K265" i="51"/>
  <c r="M265" i="51"/>
  <c r="O265" i="51"/>
  <c r="Q265" i="51"/>
  <c r="S265" i="51"/>
  <c r="T265" i="51"/>
  <c r="U265" i="51"/>
  <c r="V265" i="51"/>
  <c r="W265" i="51"/>
  <c r="X265" i="51"/>
  <c r="K266" i="51"/>
  <c r="M266" i="51"/>
  <c r="O266" i="51"/>
  <c r="Q266" i="51"/>
  <c r="S266" i="51"/>
  <c r="T266" i="51"/>
  <c r="U266" i="51"/>
  <c r="V266" i="51"/>
  <c r="W266" i="51"/>
  <c r="X266" i="51"/>
  <c r="K267" i="51"/>
  <c r="M267" i="51"/>
  <c r="O267" i="51"/>
  <c r="Q267" i="51"/>
  <c r="S267" i="51"/>
  <c r="T267" i="51"/>
  <c r="U267" i="51"/>
  <c r="V267" i="51"/>
  <c r="W267" i="51"/>
  <c r="X267" i="51"/>
  <c r="K268" i="51"/>
  <c r="M268" i="51"/>
  <c r="O268" i="51"/>
  <c r="Q268" i="51"/>
  <c r="S268" i="51"/>
  <c r="T268" i="51"/>
  <c r="U268" i="51"/>
  <c r="V268" i="51"/>
  <c r="W268" i="51"/>
  <c r="X268" i="51"/>
  <c r="K269" i="51"/>
  <c r="M269" i="51"/>
  <c r="O269" i="51"/>
  <c r="Q269" i="51"/>
  <c r="S269" i="51"/>
  <c r="T269" i="51"/>
  <c r="U269" i="51"/>
  <c r="V269" i="51"/>
  <c r="W269" i="51"/>
  <c r="X269" i="51"/>
  <c r="K270" i="51"/>
  <c r="M270" i="51"/>
  <c r="O270" i="51"/>
  <c r="Q270" i="51"/>
  <c r="S270" i="51"/>
  <c r="T270" i="51"/>
  <c r="U270" i="51"/>
  <c r="V270" i="51"/>
  <c r="W270" i="51"/>
  <c r="X270" i="51"/>
  <c r="K271" i="51"/>
  <c r="M271" i="51"/>
  <c r="O271" i="51"/>
  <c r="Q271" i="51"/>
  <c r="S271" i="51"/>
  <c r="T271" i="51"/>
  <c r="U271" i="51"/>
  <c r="V271" i="51"/>
  <c r="W271" i="51"/>
  <c r="X271" i="51"/>
  <c r="K272" i="51"/>
  <c r="M272" i="51"/>
  <c r="O272" i="51"/>
  <c r="Q272" i="51"/>
  <c r="S272" i="51"/>
  <c r="T272" i="51"/>
  <c r="U272" i="51"/>
  <c r="V272" i="51"/>
  <c r="W272" i="51"/>
  <c r="X272" i="51"/>
  <c r="K273" i="51"/>
  <c r="M273" i="51"/>
  <c r="O273" i="51"/>
  <c r="Q273" i="51"/>
  <c r="S273" i="51"/>
  <c r="T273" i="51"/>
  <c r="U273" i="51"/>
  <c r="V273" i="51"/>
  <c r="W273" i="51"/>
  <c r="X273" i="51"/>
  <c r="K274" i="51"/>
  <c r="M274" i="51"/>
  <c r="O274" i="51"/>
  <c r="Q274" i="51"/>
  <c r="S274" i="51"/>
  <c r="T274" i="51"/>
  <c r="U274" i="51"/>
  <c r="V274" i="51"/>
  <c r="W274" i="51"/>
  <c r="X274" i="51"/>
  <c r="K275" i="51"/>
  <c r="M275" i="51"/>
  <c r="O275" i="51"/>
  <c r="Q275" i="51"/>
  <c r="S275" i="51"/>
  <c r="T275" i="51"/>
  <c r="U275" i="51"/>
  <c r="V275" i="51"/>
  <c r="W275" i="51"/>
  <c r="X275" i="51"/>
  <c r="K276" i="51"/>
  <c r="M276" i="51"/>
  <c r="O276" i="51"/>
  <c r="Q276" i="51"/>
  <c r="S276" i="51"/>
  <c r="T276" i="51"/>
  <c r="U276" i="51"/>
  <c r="V276" i="51"/>
  <c r="W276" i="51"/>
  <c r="X276" i="51"/>
  <c r="K277" i="51"/>
  <c r="M277" i="51"/>
  <c r="O277" i="51"/>
  <c r="Q277" i="51"/>
  <c r="S277" i="51"/>
  <c r="T277" i="51"/>
  <c r="U277" i="51"/>
  <c r="V277" i="51"/>
  <c r="W277" i="51"/>
  <c r="X277" i="51"/>
  <c r="K278" i="51"/>
  <c r="M278" i="51"/>
  <c r="O278" i="51"/>
  <c r="Q278" i="51"/>
  <c r="S278" i="51"/>
  <c r="T278" i="51"/>
  <c r="U278" i="51"/>
  <c r="V278" i="51"/>
  <c r="W278" i="51"/>
  <c r="X278" i="51"/>
  <c r="K279" i="51"/>
  <c r="M279" i="51"/>
  <c r="O279" i="51"/>
  <c r="Q279" i="51"/>
  <c r="S279" i="51"/>
  <c r="T279" i="51"/>
  <c r="U279" i="51"/>
  <c r="V279" i="51"/>
  <c r="W279" i="51"/>
  <c r="X279" i="51"/>
  <c r="K280" i="51"/>
  <c r="M280" i="51"/>
  <c r="O280" i="51"/>
  <c r="Q280" i="51"/>
  <c r="S280" i="51"/>
  <c r="T280" i="51"/>
  <c r="U280" i="51"/>
  <c r="V280" i="51"/>
  <c r="W280" i="51"/>
  <c r="X280" i="51"/>
  <c r="K281" i="51"/>
  <c r="M281" i="51"/>
  <c r="O281" i="51"/>
  <c r="Q281" i="51"/>
  <c r="S281" i="51"/>
  <c r="T281" i="51"/>
  <c r="U281" i="51"/>
  <c r="V281" i="51"/>
  <c r="W281" i="51"/>
  <c r="X281" i="51"/>
  <c r="K282" i="51"/>
  <c r="M282" i="51"/>
  <c r="O282" i="51"/>
  <c r="Q282" i="51"/>
  <c r="S282" i="51"/>
  <c r="T282" i="51"/>
  <c r="U282" i="51"/>
  <c r="V282" i="51"/>
  <c r="W282" i="51"/>
  <c r="X282" i="51"/>
  <c r="K283" i="51"/>
  <c r="M283" i="51"/>
  <c r="O283" i="51"/>
  <c r="Q283" i="51"/>
  <c r="S283" i="51"/>
  <c r="T283" i="51"/>
  <c r="U283" i="51"/>
  <c r="V283" i="51"/>
  <c r="W283" i="51"/>
  <c r="X283" i="51"/>
  <c r="K284" i="51"/>
  <c r="M284" i="51"/>
  <c r="O284" i="51"/>
  <c r="Q284" i="51"/>
  <c r="S284" i="51"/>
  <c r="T284" i="51"/>
  <c r="U284" i="51"/>
  <c r="V284" i="51"/>
  <c r="W284" i="51"/>
  <c r="X284" i="51"/>
  <c r="K285" i="51"/>
  <c r="M285" i="51"/>
  <c r="O285" i="51"/>
  <c r="Q285" i="51"/>
  <c r="S285" i="51"/>
  <c r="T285" i="51"/>
  <c r="U285" i="51"/>
  <c r="V285" i="51"/>
  <c r="W285" i="51"/>
  <c r="X285" i="51"/>
  <c r="K286" i="51"/>
  <c r="M286" i="51"/>
  <c r="O286" i="51"/>
  <c r="Q286" i="51"/>
  <c r="S286" i="51"/>
  <c r="T286" i="51"/>
  <c r="U286" i="51"/>
  <c r="V286" i="51"/>
  <c r="W286" i="51"/>
  <c r="X286" i="51"/>
  <c r="K287" i="51"/>
  <c r="M287" i="51"/>
  <c r="O287" i="51"/>
  <c r="Q287" i="51"/>
  <c r="S287" i="51"/>
  <c r="T287" i="51"/>
  <c r="U287" i="51"/>
  <c r="V287" i="51"/>
  <c r="W287" i="51"/>
  <c r="X287" i="51"/>
  <c r="K288" i="51"/>
  <c r="M288" i="51"/>
  <c r="O288" i="51"/>
  <c r="Q288" i="51"/>
  <c r="S288" i="51"/>
  <c r="T288" i="51"/>
  <c r="U288" i="51"/>
  <c r="V288" i="51"/>
  <c r="W288" i="51"/>
  <c r="X288" i="51"/>
  <c r="K289" i="51"/>
  <c r="M289" i="51"/>
  <c r="O289" i="51"/>
  <c r="Q289" i="51"/>
  <c r="S289" i="51"/>
  <c r="T289" i="51"/>
  <c r="U289" i="51"/>
  <c r="V289" i="51"/>
  <c r="W289" i="51"/>
  <c r="X289" i="51"/>
  <c r="K290" i="51"/>
  <c r="M290" i="51"/>
  <c r="O290" i="51"/>
  <c r="Q290" i="51"/>
  <c r="S290" i="51"/>
  <c r="T290" i="51"/>
  <c r="U290" i="51"/>
  <c r="V290" i="51"/>
  <c r="W290" i="51"/>
  <c r="X290" i="51"/>
  <c r="K291" i="51"/>
  <c r="M291" i="51"/>
  <c r="O291" i="51"/>
  <c r="Q291" i="51"/>
  <c r="S291" i="51"/>
  <c r="T291" i="51"/>
  <c r="U291" i="51"/>
  <c r="V291" i="51"/>
  <c r="W291" i="51"/>
  <c r="X291" i="51"/>
  <c r="K292" i="51"/>
  <c r="M292" i="51"/>
  <c r="O292" i="51"/>
  <c r="Q292" i="51"/>
  <c r="S292" i="51"/>
  <c r="T292" i="51"/>
  <c r="U292" i="51"/>
  <c r="V292" i="51"/>
  <c r="W292" i="51"/>
  <c r="X292" i="51"/>
  <c r="K293" i="51"/>
  <c r="M293" i="51"/>
  <c r="O293" i="51"/>
  <c r="Q293" i="51"/>
  <c r="S293" i="51"/>
  <c r="T293" i="51"/>
  <c r="U293" i="51"/>
  <c r="V293" i="51"/>
  <c r="W293" i="51"/>
  <c r="X293" i="51"/>
  <c r="K294" i="51"/>
  <c r="M294" i="51"/>
  <c r="O294" i="51"/>
  <c r="Q294" i="51"/>
  <c r="S294" i="51"/>
  <c r="T294" i="51"/>
  <c r="U294" i="51"/>
  <c r="V294" i="51"/>
  <c r="W294" i="51"/>
  <c r="X294" i="51"/>
  <c r="K295" i="51"/>
  <c r="M295" i="51"/>
  <c r="O295" i="51"/>
  <c r="Q295" i="51"/>
  <c r="S295" i="51"/>
  <c r="T295" i="51"/>
  <c r="U295" i="51"/>
  <c r="V295" i="51"/>
  <c r="W295" i="51"/>
  <c r="X295" i="51"/>
  <c r="K296" i="51"/>
  <c r="M296" i="51"/>
  <c r="O296" i="51"/>
  <c r="Q296" i="51"/>
  <c r="S296" i="51"/>
  <c r="T296" i="51"/>
  <c r="U296" i="51"/>
  <c r="V296" i="51"/>
  <c r="W296" i="51"/>
  <c r="X296" i="51"/>
  <c r="K297" i="51"/>
  <c r="M297" i="51"/>
  <c r="O297" i="51"/>
  <c r="Q297" i="51"/>
  <c r="S297" i="51"/>
  <c r="T297" i="51"/>
  <c r="U297" i="51"/>
  <c r="V297" i="51"/>
  <c r="W297" i="51"/>
  <c r="X297" i="51"/>
  <c r="K298" i="51"/>
  <c r="M298" i="51"/>
  <c r="O298" i="51"/>
  <c r="Q298" i="51"/>
  <c r="S298" i="51"/>
  <c r="T298" i="51"/>
  <c r="U298" i="51"/>
  <c r="V298" i="51"/>
  <c r="W298" i="51"/>
  <c r="X298" i="51"/>
  <c r="K299" i="51"/>
  <c r="M299" i="51"/>
  <c r="O299" i="51"/>
  <c r="Q299" i="51"/>
  <c r="S299" i="51"/>
  <c r="T299" i="51"/>
  <c r="U299" i="51"/>
  <c r="V299" i="51"/>
  <c r="W299" i="51"/>
  <c r="X299" i="51"/>
  <c r="K300" i="51"/>
  <c r="M300" i="51"/>
  <c r="O300" i="51"/>
  <c r="Q300" i="51"/>
  <c r="S300" i="51"/>
  <c r="T300" i="51"/>
  <c r="U300" i="51"/>
  <c r="V300" i="51"/>
  <c r="W300" i="51"/>
  <c r="X300" i="51"/>
  <c r="K301" i="51"/>
  <c r="M301" i="51"/>
  <c r="O301" i="51"/>
  <c r="Q301" i="51"/>
  <c r="S301" i="51"/>
  <c r="T301" i="51"/>
  <c r="U301" i="51"/>
  <c r="V301" i="51"/>
  <c r="W301" i="51"/>
  <c r="X301" i="51"/>
  <c r="K302" i="51"/>
  <c r="M302" i="51"/>
  <c r="O302" i="51"/>
  <c r="Q302" i="51"/>
  <c r="S302" i="51"/>
  <c r="T302" i="51"/>
  <c r="U302" i="51"/>
  <c r="V302" i="51"/>
  <c r="W302" i="51"/>
  <c r="X302" i="51"/>
  <c r="K303" i="51"/>
  <c r="M303" i="51"/>
  <c r="O303" i="51"/>
  <c r="Q303" i="51"/>
  <c r="S303" i="51"/>
  <c r="T303" i="51"/>
  <c r="U303" i="51"/>
  <c r="V303" i="51"/>
  <c r="W303" i="51"/>
  <c r="X303" i="51"/>
  <c r="K304" i="51"/>
  <c r="M304" i="51"/>
  <c r="O304" i="51"/>
  <c r="Q304" i="51"/>
  <c r="S304" i="51"/>
  <c r="T304" i="51"/>
  <c r="U304" i="51"/>
  <c r="V304" i="51"/>
  <c r="W304" i="51"/>
  <c r="X304" i="51"/>
  <c r="K305" i="51"/>
  <c r="M305" i="51"/>
  <c r="O305" i="51"/>
  <c r="Q305" i="51"/>
  <c r="S305" i="51"/>
  <c r="T305" i="51"/>
  <c r="U305" i="51"/>
  <c r="V305" i="51"/>
  <c r="W305" i="51"/>
  <c r="X305" i="51"/>
  <c r="K306" i="51"/>
  <c r="M306" i="51"/>
  <c r="O306" i="51"/>
  <c r="Q306" i="51"/>
  <c r="S306" i="51"/>
  <c r="T306" i="51"/>
  <c r="U306" i="51"/>
  <c r="V306" i="51"/>
  <c r="W306" i="51"/>
  <c r="X306" i="51"/>
  <c r="K307" i="51"/>
  <c r="M307" i="51"/>
  <c r="O307" i="51"/>
  <c r="Q307" i="51"/>
  <c r="S307" i="51"/>
  <c r="T307" i="51"/>
  <c r="U307" i="51"/>
  <c r="V307" i="51"/>
  <c r="W307" i="51"/>
  <c r="X307" i="51"/>
  <c r="K308" i="51"/>
  <c r="M308" i="51"/>
  <c r="O308" i="51"/>
  <c r="Q308" i="51"/>
  <c r="S308" i="51"/>
  <c r="T308" i="51"/>
  <c r="U308" i="51"/>
  <c r="V308" i="51"/>
  <c r="W308" i="51"/>
  <c r="X308" i="51"/>
  <c r="K309" i="51"/>
  <c r="M309" i="51"/>
  <c r="O309" i="51"/>
  <c r="Q309" i="51"/>
  <c r="S309" i="51"/>
  <c r="T309" i="51"/>
  <c r="U309" i="51"/>
  <c r="V309" i="51"/>
  <c r="W309" i="51"/>
  <c r="X309" i="51"/>
  <c r="K310" i="51"/>
  <c r="M310" i="51"/>
  <c r="O310" i="51"/>
  <c r="Q310" i="51"/>
  <c r="S310" i="51"/>
  <c r="T310" i="51"/>
  <c r="U310" i="51"/>
  <c r="V310" i="51"/>
  <c r="W310" i="51"/>
  <c r="X310" i="51"/>
  <c r="K311" i="51"/>
  <c r="M311" i="51"/>
  <c r="O311" i="51"/>
  <c r="Q311" i="51"/>
  <c r="S311" i="51"/>
  <c r="T311" i="51"/>
  <c r="U311" i="51"/>
  <c r="V311" i="51"/>
  <c r="W311" i="51"/>
  <c r="X311" i="51"/>
  <c r="K312" i="51"/>
  <c r="M312" i="51"/>
  <c r="O312" i="51"/>
  <c r="Q312" i="51"/>
  <c r="S312" i="51"/>
  <c r="T312" i="51"/>
  <c r="U312" i="51"/>
  <c r="V312" i="51"/>
  <c r="W312" i="51"/>
  <c r="X312" i="51"/>
  <c r="K313" i="51"/>
  <c r="M313" i="51"/>
  <c r="O313" i="51"/>
  <c r="Q313" i="51"/>
  <c r="S313" i="51"/>
  <c r="T313" i="51"/>
  <c r="U313" i="51"/>
  <c r="V313" i="51"/>
  <c r="W313" i="51"/>
  <c r="X313" i="51"/>
  <c r="K314" i="51"/>
  <c r="M314" i="51"/>
  <c r="O314" i="51"/>
  <c r="Q314" i="51"/>
  <c r="S314" i="51"/>
  <c r="T314" i="51"/>
  <c r="U314" i="51"/>
  <c r="V314" i="51"/>
  <c r="W314" i="51"/>
  <c r="X314" i="51"/>
  <c r="K315" i="51"/>
  <c r="M315" i="51"/>
  <c r="O315" i="51"/>
  <c r="Q315" i="51"/>
  <c r="S315" i="51"/>
  <c r="T315" i="51"/>
  <c r="U315" i="51"/>
  <c r="V315" i="51"/>
  <c r="W315" i="51"/>
  <c r="X315" i="51"/>
  <c r="K316" i="51"/>
  <c r="M316" i="51"/>
  <c r="O316" i="51"/>
  <c r="Q316" i="51"/>
  <c r="S316" i="51"/>
  <c r="T316" i="51"/>
  <c r="U316" i="51"/>
  <c r="V316" i="51"/>
  <c r="W316" i="51"/>
  <c r="X316" i="51"/>
  <c r="K317" i="51"/>
  <c r="M317" i="51"/>
  <c r="O317" i="51"/>
  <c r="Q317" i="51"/>
  <c r="S317" i="51"/>
  <c r="T317" i="51"/>
  <c r="U317" i="51"/>
  <c r="V317" i="51"/>
  <c r="W317" i="51"/>
  <c r="X317" i="51"/>
  <c r="K318" i="51"/>
  <c r="M318" i="51"/>
  <c r="O318" i="51"/>
  <c r="Q318" i="51"/>
  <c r="S318" i="51"/>
  <c r="T318" i="51"/>
  <c r="U318" i="51"/>
  <c r="V318" i="51"/>
  <c r="W318" i="51"/>
  <c r="X318" i="51"/>
  <c r="K319" i="51"/>
  <c r="M319" i="51"/>
  <c r="O319" i="51"/>
  <c r="Q319" i="51"/>
  <c r="S319" i="51"/>
  <c r="T319" i="51"/>
  <c r="U319" i="51"/>
  <c r="V319" i="51"/>
  <c r="W319" i="51"/>
  <c r="X319" i="51"/>
  <c r="K320" i="51"/>
  <c r="M320" i="51"/>
  <c r="O320" i="51"/>
  <c r="Q320" i="51"/>
  <c r="S320" i="51"/>
  <c r="T320" i="51"/>
  <c r="U320" i="51"/>
  <c r="V320" i="51"/>
  <c r="W320" i="51"/>
  <c r="X320" i="51"/>
  <c r="K321" i="51"/>
  <c r="M321" i="51"/>
  <c r="O321" i="51"/>
  <c r="Q321" i="51"/>
  <c r="S321" i="51"/>
  <c r="T321" i="51"/>
  <c r="U321" i="51"/>
  <c r="V321" i="51"/>
  <c r="W321" i="51"/>
  <c r="X321" i="51"/>
  <c r="K322" i="51"/>
  <c r="M322" i="51"/>
  <c r="O322" i="51"/>
  <c r="Q322" i="51"/>
  <c r="S322" i="51"/>
  <c r="T322" i="51"/>
  <c r="U322" i="51"/>
  <c r="V322" i="51"/>
  <c r="W322" i="51"/>
  <c r="X322" i="51"/>
  <c r="K323" i="51"/>
  <c r="M323" i="51"/>
  <c r="O323" i="51"/>
  <c r="Q323" i="51"/>
  <c r="S323" i="51"/>
  <c r="T323" i="51"/>
  <c r="U323" i="51"/>
  <c r="V323" i="51"/>
  <c r="W323" i="51"/>
  <c r="X323" i="51"/>
  <c r="K324" i="51"/>
  <c r="M324" i="51"/>
  <c r="O324" i="51"/>
  <c r="Q324" i="51"/>
  <c r="S324" i="51"/>
  <c r="T324" i="51"/>
  <c r="U324" i="51"/>
  <c r="V324" i="51"/>
  <c r="W324" i="51"/>
  <c r="X324" i="51"/>
  <c r="K325" i="51"/>
  <c r="M325" i="51"/>
  <c r="O325" i="51"/>
  <c r="Q325" i="51"/>
  <c r="S325" i="51"/>
  <c r="T325" i="51"/>
  <c r="U325" i="51"/>
  <c r="V325" i="51"/>
  <c r="W325" i="51"/>
  <c r="X325" i="51"/>
  <c r="K326" i="51"/>
  <c r="M326" i="51"/>
  <c r="O326" i="51"/>
  <c r="Q326" i="51"/>
  <c r="S326" i="51"/>
  <c r="T326" i="51"/>
  <c r="U326" i="51"/>
  <c r="V326" i="51"/>
  <c r="W326" i="51"/>
  <c r="X326" i="51"/>
  <c r="K327" i="51"/>
  <c r="M327" i="51"/>
  <c r="O327" i="51"/>
  <c r="Q327" i="51"/>
  <c r="S327" i="51"/>
  <c r="T327" i="51"/>
  <c r="U327" i="51"/>
  <c r="V327" i="51"/>
  <c r="W327" i="51"/>
  <c r="X327" i="51"/>
  <c r="K328" i="51"/>
  <c r="M328" i="51"/>
  <c r="O328" i="51"/>
  <c r="Q328" i="51"/>
  <c r="S328" i="51"/>
  <c r="T328" i="51"/>
  <c r="U328" i="51"/>
  <c r="V328" i="51"/>
  <c r="W328" i="51"/>
  <c r="X328" i="51"/>
  <c r="K329" i="51"/>
  <c r="M329" i="51"/>
  <c r="O329" i="51"/>
  <c r="Q329" i="51"/>
  <c r="S329" i="51"/>
  <c r="T329" i="51"/>
  <c r="U329" i="51"/>
  <c r="V329" i="51"/>
  <c r="W329" i="51"/>
  <c r="X329" i="51"/>
  <c r="K330" i="51"/>
  <c r="M330" i="51"/>
  <c r="O330" i="51"/>
  <c r="Q330" i="51"/>
  <c r="S330" i="51"/>
  <c r="T330" i="51"/>
  <c r="U330" i="51"/>
  <c r="V330" i="51"/>
  <c r="W330" i="51"/>
  <c r="X330" i="51"/>
  <c r="K331" i="51"/>
  <c r="M331" i="51"/>
  <c r="O331" i="51"/>
  <c r="Q331" i="51"/>
  <c r="S331" i="51"/>
  <c r="T331" i="51"/>
  <c r="U331" i="51"/>
  <c r="V331" i="51"/>
  <c r="W331" i="51"/>
  <c r="X331" i="51"/>
  <c r="K332" i="51"/>
  <c r="M332" i="51"/>
  <c r="O332" i="51"/>
  <c r="Q332" i="51"/>
  <c r="S332" i="51"/>
  <c r="T332" i="51"/>
  <c r="U332" i="51"/>
  <c r="V332" i="51"/>
  <c r="W332" i="51"/>
  <c r="X332" i="51"/>
  <c r="K333" i="51"/>
  <c r="M333" i="51"/>
  <c r="O333" i="51"/>
  <c r="Q333" i="51"/>
  <c r="S333" i="51"/>
  <c r="T333" i="51"/>
  <c r="U333" i="51"/>
  <c r="V333" i="51"/>
  <c r="W333" i="51"/>
  <c r="X333" i="51"/>
  <c r="K334" i="51"/>
  <c r="M334" i="51"/>
  <c r="O334" i="51"/>
  <c r="Q334" i="51"/>
  <c r="S334" i="51"/>
  <c r="T334" i="51"/>
  <c r="U334" i="51"/>
  <c r="V334" i="51"/>
  <c r="W334" i="51"/>
  <c r="X334" i="51"/>
  <c r="K335" i="51"/>
  <c r="M335" i="51"/>
  <c r="O335" i="51"/>
  <c r="Q335" i="51"/>
  <c r="S335" i="51"/>
  <c r="T335" i="51"/>
  <c r="U335" i="51"/>
  <c r="V335" i="51"/>
  <c r="W335" i="51"/>
  <c r="X335" i="51"/>
  <c r="K336" i="51"/>
  <c r="M336" i="51"/>
  <c r="O336" i="51"/>
  <c r="Q336" i="51"/>
  <c r="S336" i="51"/>
  <c r="T336" i="51"/>
  <c r="U336" i="51"/>
  <c r="V336" i="51"/>
  <c r="W336" i="51"/>
  <c r="X336" i="51"/>
  <c r="K337" i="51"/>
  <c r="M337" i="51"/>
  <c r="O337" i="51"/>
  <c r="Q337" i="51"/>
  <c r="S337" i="51"/>
  <c r="T337" i="51"/>
  <c r="U337" i="51"/>
  <c r="V337" i="51"/>
  <c r="W337" i="51"/>
  <c r="X337" i="51"/>
  <c r="K338" i="51"/>
  <c r="M338" i="51"/>
  <c r="O338" i="51"/>
  <c r="Q338" i="51"/>
  <c r="S338" i="51"/>
  <c r="T338" i="51"/>
  <c r="U338" i="51"/>
  <c r="V338" i="51"/>
  <c r="W338" i="51"/>
  <c r="X338" i="51"/>
  <c r="K339" i="51"/>
  <c r="M339" i="51"/>
  <c r="O339" i="51"/>
  <c r="Q339" i="51"/>
  <c r="S339" i="51"/>
  <c r="T339" i="51"/>
  <c r="U339" i="51"/>
  <c r="V339" i="51"/>
  <c r="W339" i="51"/>
  <c r="X339" i="51"/>
  <c r="K340" i="51"/>
  <c r="M340" i="51"/>
  <c r="O340" i="51"/>
  <c r="Q340" i="51"/>
  <c r="S340" i="51"/>
  <c r="T340" i="51"/>
  <c r="U340" i="51"/>
  <c r="V340" i="51"/>
  <c r="W340" i="51"/>
  <c r="X340" i="51"/>
  <c r="K341" i="51"/>
  <c r="M341" i="51"/>
  <c r="O341" i="51"/>
  <c r="Q341" i="51"/>
  <c r="S341" i="51"/>
  <c r="T341" i="51"/>
  <c r="U341" i="51"/>
  <c r="V341" i="51"/>
  <c r="W341" i="51"/>
  <c r="X341" i="51"/>
  <c r="K342" i="51"/>
  <c r="M342" i="51"/>
  <c r="O342" i="51"/>
  <c r="Q342" i="51"/>
  <c r="S342" i="51"/>
  <c r="T342" i="51"/>
  <c r="U342" i="51"/>
  <c r="V342" i="51"/>
  <c r="W342" i="51"/>
  <c r="X342" i="51"/>
  <c r="K343" i="51"/>
  <c r="M343" i="51"/>
  <c r="O343" i="51"/>
  <c r="Q343" i="51"/>
  <c r="S343" i="51"/>
  <c r="T343" i="51"/>
  <c r="U343" i="51"/>
  <c r="V343" i="51"/>
  <c r="W343" i="51"/>
  <c r="X343" i="51"/>
  <c r="K344" i="51"/>
  <c r="M344" i="51"/>
  <c r="O344" i="51"/>
  <c r="Q344" i="51"/>
  <c r="S344" i="51"/>
  <c r="T344" i="51"/>
  <c r="U344" i="51"/>
  <c r="V344" i="51"/>
  <c r="W344" i="51"/>
  <c r="X344" i="51"/>
  <c r="K345" i="51"/>
  <c r="M345" i="51"/>
  <c r="O345" i="51"/>
  <c r="Q345" i="51"/>
  <c r="S345" i="51"/>
  <c r="T345" i="51"/>
  <c r="U345" i="51"/>
  <c r="V345" i="51"/>
  <c r="W345" i="51"/>
  <c r="X345" i="51"/>
  <c r="K346" i="51"/>
  <c r="M346" i="51"/>
  <c r="O346" i="51"/>
  <c r="Q346" i="51"/>
  <c r="S346" i="51"/>
  <c r="T346" i="51"/>
  <c r="U346" i="51"/>
  <c r="V346" i="51"/>
  <c r="W346" i="51"/>
  <c r="X346" i="51"/>
  <c r="K347" i="51"/>
  <c r="M347" i="51"/>
  <c r="O347" i="51"/>
  <c r="Q347" i="51"/>
  <c r="S347" i="51"/>
  <c r="T347" i="51"/>
  <c r="U347" i="51"/>
  <c r="V347" i="51"/>
  <c r="W347" i="51"/>
  <c r="X347" i="51"/>
  <c r="K348" i="51"/>
  <c r="M348" i="51"/>
  <c r="O348" i="51"/>
  <c r="Q348" i="51"/>
  <c r="S348" i="51"/>
  <c r="T348" i="51"/>
  <c r="U348" i="51"/>
  <c r="V348" i="51"/>
  <c r="W348" i="51"/>
  <c r="X348" i="51"/>
  <c r="K349" i="51"/>
  <c r="M349" i="51"/>
  <c r="O349" i="51"/>
  <c r="Q349" i="51"/>
  <c r="S349" i="51"/>
  <c r="T349" i="51"/>
  <c r="U349" i="51"/>
  <c r="V349" i="51"/>
  <c r="W349" i="51"/>
  <c r="X349" i="51"/>
  <c r="K350" i="51"/>
  <c r="M350" i="51"/>
  <c r="O350" i="51"/>
  <c r="Q350" i="51"/>
  <c r="S350" i="51"/>
  <c r="T350" i="51"/>
  <c r="U350" i="51"/>
  <c r="V350" i="51"/>
  <c r="W350" i="51"/>
  <c r="X350" i="51"/>
  <c r="K351" i="51"/>
  <c r="M351" i="51"/>
  <c r="O351" i="51"/>
  <c r="Q351" i="51"/>
  <c r="S351" i="51"/>
  <c r="T351" i="51"/>
  <c r="U351" i="51"/>
  <c r="V351" i="51"/>
  <c r="W351" i="51"/>
  <c r="X351" i="51"/>
  <c r="K352" i="51"/>
  <c r="M352" i="51"/>
  <c r="O352" i="51"/>
  <c r="Q352" i="51"/>
  <c r="S352" i="51"/>
  <c r="T352" i="51"/>
  <c r="U352" i="51"/>
  <c r="V352" i="51"/>
  <c r="W352" i="51"/>
  <c r="X352" i="51"/>
  <c r="K353" i="51"/>
  <c r="M353" i="51"/>
  <c r="O353" i="51"/>
  <c r="Q353" i="51"/>
  <c r="S353" i="51"/>
  <c r="T353" i="51"/>
  <c r="U353" i="51"/>
  <c r="V353" i="51"/>
  <c r="W353" i="51"/>
  <c r="X353" i="51"/>
  <c r="K354" i="51"/>
  <c r="M354" i="51"/>
  <c r="O354" i="51"/>
  <c r="Q354" i="51"/>
  <c r="S354" i="51"/>
  <c r="T354" i="51"/>
  <c r="U354" i="51"/>
  <c r="V354" i="51"/>
  <c r="W354" i="51"/>
  <c r="X354" i="51"/>
  <c r="K355" i="51"/>
  <c r="M355" i="51"/>
  <c r="O355" i="51"/>
  <c r="Q355" i="51"/>
  <c r="S355" i="51"/>
  <c r="T355" i="51"/>
  <c r="U355" i="51"/>
  <c r="V355" i="51"/>
  <c r="W355" i="51"/>
  <c r="X355" i="51"/>
  <c r="K356" i="51"/>
  <c r="M356" i="51"/>
  <c r="O356" i="51"/>
  <c r="Q356" i="51"/>
  <c r="S356" i="51"/>
  <c r="T356" i="51"/>
  <c r="U356" i="51"/>
  <c r="V356" i="51"/>
  <c r="W356" i="51"/>
  <c r="X356" i="51"/>
  <c r="K357" i="51"/>
  <c r="M357" i="51"/>
  <c r="O357" i="51"/>
  <c r="Q357" i="51"/>
  <c r="S357" i="51"/>
  <c r="T357" i="51"/>
  <c r="U357" i="51"/>
  <c r="V357" i="51"/>
  <c r="W357" i="51"/>
  <c r="X357" i="51"/>
  <c r="K358" i="51"/>
  <c r="M358" i="51"/>
  <c r="O358" i="51"/>
  <c r="Q358" i="51"/>
  <c r="S358" i="51"/>
  <c r="T358" i="51"/>
  <c r="U358" i="51"/>
  <c r="V358" i="51"/>
  <c r="W358" i="51"/>
  <c r="X358" i="51"/>
  <c r="K359" i="51"/>
  <c r="M359" i="51"/>
  <c r="O359" i="51"/>
  <c r="Q359" i="51"/>
  <c r="S359" i="51"/>
  <c r="T359" i="51"/>
  <c r="U359" i="51"/>
  <c r="V359" i="51"/>
  <c r="W359" i="51"/>
  <c r="X359" i="51"/>
  <c r="K360" i="51"/>
  <c r="M360" i="51"/>
  <c r="O360" i="51"/>
  <c r="Q360" i="51"/>
  <c r="S360" i="51"/>
  <c r="T360" i="51"/>
  <c r="U360" i="51"/>
  <c r="V360" i="51"/>
  <c r="W360" i="51"/>
  <c r="X360" i="51"/>
  <c r="K361" i="51"/>
  <c r="M361" i="51"/>
  <c r="O361" i="51"/>
  <c r="Q361" i="51"/>
  <c r="S361" i="51"/>
  <c r="T361" i="51"/>
  <c r="U361" i="51"/>
  <c r="V361" i="51"/>
  <c r="W361" i="51"/>
  <c r="X361" i="51"/>
  <c r="K362" i="51"/>
  <c r="M362" i="51"/>
  <c r="O362" i="51"/>
  <c r="Q362" i="51"/>
  <c r="S362" i="51"/>
  <c r="T362" i="51"/>
  <c r="U362" i="51"/>
  <c r="V362" i="51"/>
  <c r="W362" i="51"/>
  <c r="X362" i="51"/>
  <c r="K363" i="51"/>
  <c r="M363" i="51"/>
  <c r="O363" i="51"/>
  <c r="Q363" i="51"/>
  <c r="S363" i="51"/>
  <c r="T363" i="51"/>
  <c r="U363" i="51"/>
  <c r="V363" i="51"/>
  <c r="W363" i="51"/>
  <c r="X363" i="51"/>
  <c r="K364" i="51"/>
  <c r="M364" i="51"/>
  <c r="O364" i="51"/>
  <c r="Q364" i="51"/>
  <c r="S364" i="51"/>
  <c r="T364" i="51"/>
  <c r="U364" i="51"/>
  <c r="V364" i="51"/>
  <c r="W364" i="51"/>
  <c r="X364" i="51"/>
  <c r="K365" i="51"/>
  <c r="M365" i="51"/>
  <c r="O365" i="51"/>
  <c r="Q365" i="51"/>
  <c r="S365" i="51"/>
  <c r="T365" i="51"/>
  <c r="U365" i="51"/>
  <c r="V365" i="51"/>
  <c r="W365" i="51"/>
  <c r="X365" i="51"/>
  <c r="K366" i="51"/>
  <c r="M366" i="51"/>
  <c r="O366" i="51"/>
  <c r="Q366" i="51"/>
  <c r="S366" i="51"/>
  <c r="T366" i="51"/>
  <c r="U366" i="51"/>
  <c r="V366" i="51"/>
  <c r="W366" i="51"/>
  <c r="X366" i="51"/>
  <c r="K367" i="51"/>
  <c r="M367" i="51"/>
  <c r="O367" i="51"/>
  <c r="Q367" i="51"/>
  <c r="S367" i="51"/>
  <c r="T367" i="51"/>
  <c r="U367" i="51"/>
  <c r="V367" i="51"/>
  <c r="W367" i="51"/>
  <c r="X367" i="51"/>
  <c r="K368" i="51"/>
  <c r="M368" i="51"/>
  <c r="O368" i="51"/>
  <c r="Q368" i="51"/>
  <c r="S368" i="51"/>
  <c r="T368" i="51"/>
  <c r="U368" i="51"/>
  <c r="V368" i="51"/>
  <c r="W368" i="51"/>
  <c r="X368" i="51"/>
  <c r="K369" i="51"/>
  <c r="M369" i="51"/>
  <c r="O369" i="51"/>
  <c r="Q369" i="51"/>
  <c r="S369" i="51"/>
  <c r="T369" i="51"/>
  <c r="U369" i="51"/>
  <c r="V369" i="51"/>
  <c r="W369" i="51"/>
  <c r="X369" i="51"/>
  <c r="K370" i="51"/>
  <c r="M370" i="51"/>
  <c r="O370" i="51"/>
  <c r="Q370" i="51"/>
  <c r="S370" i="51"/>
  <c r="T370" i="51"/>
  <c r="U370" i="51"/>
  <c r="V370" i="51"/>
  <c r="W370" i="51"/>
  <c r="X370" i="51"/>
  <c r="K371" i="51"/>
  <c r="M371" i="51"/>
  <c r="O371" i="51"/>
  <c r="Q371" i="51"/>
  <c r="S371" i="51"/>
  <c r="T371" i="51"/>
  <c r="U371" i="51"/>
  <c r="V371" i="51"/>
  <c r="W371" i="51"/>
  <c r="X371" i="51"/>
  <c r="K372" i="51"/>
  <c r="M372" i="51"/>
  <c r="O372" i="51"/>
  <c r="Q372" i="51"/>
  <c r="S372" i="51"/>
  <c r="T372" i="51"/>
  <c r="U372" i="51"/>
  <c r="V372" i="51"/>
  <c r="W372" i="51"/>
  <c r="X372" i="51"/>
  <c r="K373" i="51"/>
  <c r="M373" i="51"/>
  <c r="O373" i="51"/>
  <c r="Q373" i="51"/>
  <c r="S373" i="51"/>
  <c r="T373" i="51"/>
  <c r="U373" i="51"/>
  <c r="V373" i="51"/>
  <c r="W373" i="51"/>
  <c r="X373" i="51"/>
  <c r="K374" i="51"/>
  <c r="M374" i="51"/>
  <c r="O374" i="51"/>
  <c r="Q374" i="51"/>
  <c r="S374" i="51"/>
  <c r="T374" i="51"/>
  <c r="U374" i="51"/>
  <c r="V374" i="51"/>
  <c r="W374" i="51"/>
  <c r="X374" i="51"/>
  <c r="K375" i="51"/>
  <c r="M375" i="51"/>
  <c r="O375" i="51"/>
  <c r="Q375" i="51"/>
  <c r="S375" i="51"/>
  <c r="T375" i="51"/>
  <c r="U375" i="51"/>
  <c r="V375" i="51"/>
  <c r="W375" i="51"/>
  <c r="X375" i="51"/>
  <c r="K376" i="51"/>
  <c r="M376" i="51"/>
  <c r="O376" i="51"/>
  <c r="Q376" i="51"/>
  <c r="S376" i="51"/>
  <c r="T376" i="51"/>
  <c r="U376" i="51"/>
  <c r="V376" i="51"/>
  <c r="W376" i="51"/>
  <c r="X376" i="51"/>
  <c r="K377" i="51"/>
  <c r="M377" i="51"/>
  <c r="O377" i="51"/>
  <c r="Q377" i="51"/>
  <c r="S377" i="51"/>
  <c r="T377" i="51"/>
  <c r="U377" i="51"/>
  <c r="V377" i="51"/>
  <c r="W377" i="51"/>
  <c r="X377" i="51"/>
  <c r="K378" i="51"/>
  <c r="M378" i="51"/>
  <c r="O378" i="51"/>
  <c r="Q378" i="51"/>
  <c r="S378" i="51"/>
  <c r="T378" i="51"/>
  <c r="U378" i="51"/>
  <c r="V378" i="51"/>
  <c r="W378" i="51"/>
  <c r="X378" i="51"/>
  <c r="K379" i="51"/>
  <c r="M379" i="51"/>
  <c r="O379" i="51"/>
  <c r="Q379" i="51"/>
  <c r="S379" i="51"/>
  <c r="T379" i="51"/>
  <c r="U379" i="51"/>
  <c r="V379" i="51"/>
  <c r="W379" i="51"/>
  <c r="X379" i="51"/>
  <c r="K380" i="51"/>
  <c r="M380" i="51"/>
  <c r="O380" i="51"/>
  <c r="Q380" i="51"/>
  <c r="S380" i="51"/>
  <c r="T380" i="51"/>
  <c r="U380" i="51"/>
  <c r="V380" i="51"/>
  <c r="W380" i="51"/>
  <c r="X380" i="51"/>
  <c r="K381" i="51"/>
  <c r="M381" i="51"/>
  <c r="O381" i="51"/>
  <c r="Q381" i="51"/>
  <c r="S381" i="51"/>
  <c r="T381" i="51"/>
  <c r="U381" i="51"/>
  <c r="V381" i="51"/>
  <c r="W381" i="51"/>
  <c r="X381" i="51"/>
  <c r="K382" i="51"/>
  <c r="M382" i="51"/>
  <c r="O382" i="51"/>
  <c r="Q382" i="51"/>
  <c r="S382" i="51"/>
  <c r="T382" i="51"/>
  <c r="U382" i="51"/>
  <c r="V382" i="51"/>
  <c r="W382" i="51"/>
  <c r="X382" i="51"/>
  <c r="K383" i="51"/>
  <c r="M383" i="51"/>
  <c r="O383" i="51"/>
  <c r="Q383" i="51"/>
  <c r="S383" i="51"/>
  <c r="T383" i="51"/>
  <c r="U383" i="51"/>
  <c r="V383" i="51"/>
  <c r="W383" i="51"/>
  <c r="X383" i="51"/>
  <c r="X382" i="50" l="1"/>
  <c r="W382" i="50"/>
  <c r="V382" i="50"/>
  <c r="U382" i="50"/>
  <c r="T382" i="50"/>
  <c r="S382" i="50"/>
  <c r="Q382" i="50"/>
  <c r="O382" i="50"/>
  <c r="M382" i="50"/>
  <c r="K382" i="50"/>
  <c r="X381" i="50"/>
  <c r="W381" i="50"/>
  <c r="V381" i="50"/>
  <c r="U381" i="50"/>
  <c r="T381" i="50"/>
  <c r="S381" i="50"/>
  <c r="Q381" i="50"/>
  <c r="O381" i="50"/>
  <c r="M381" i="50"/>
  <c r="K381" i="50"/>
  <c r="X380" i="50"/>
  <c r="W380" i="50"/>
  <c r="V380" i="50"/>
  <c r="U380" i="50"/>
  <c r="T380" i="50"/>
  <c r="S380" i="50"/>
  <c r="Q380" i="50"/>
  <c r="O380" i="50"/>
  <c r="M380" i="50"/>
  <c r="K380" i="50"/>
  <c r="X379" i="50"/>
  <c r="W379" i="50"/>
  <c r="V379" i="50"/>
  <c r="U379" i="50"/>
  <c r="T379" i="50"/>
  <c r="S379" i="50"/>
  <c r="Q379" i="50"/>
  <c r="O379" i="50"/>
  <c r="M379" i="50"/>
  <c r="K379" i="50"/>
  <c r="X378" i="50"/>
  <c r="W378" i="50"/>
  <c r="V378" i="50"/>
  <c r="U378" i="50"/>
  <c r="T378" i="50"/>
  <c r="S378" i="50"/>
  <c r="Q378" i="50"/>
  <c r="O378" i="50"/>
  <c r="M378" i="50"/>
  <c r="K378" i="50"/>
  <c r="X377" i="50"/>
  <c r="W377" i="50"/>
  <c r="V377" i="50"/>
  <c r="U377" i="50"/>
  <c r="T377" i="50"/>
  <c r="S377" i="50"/>
  <c r="Q377" i="50"/>
  <c r="O377" i="50"/>
  <c r="M377" i="50"/>
  <c r="K377" i="50"/>
  <c r="X376" i="50"/>
  <c r="W376" i="50"/>
  <c r="V376" i="50"/>
  <c r="U376" i="50"/>
  <c r="T376" i="50"/>
  <c r="S376" i="50"/>
  <c r="Q376" i="50"/>
  <c r="O376" i="50"/>
  <c r="M376" i="50"/>
  <c r="K376" i="50"/>
  <c r="X375" i="50"/>
  <c r="W375" i="50"/>
  <c r="V375" i="50"/>
  <c r="U375" i="50"/>
  <c r="T375" i="50"/>
  <c r="S375" i="50"/>
  <c r="Q375" i="50"/>
  <c r="O375" i="50"/>
  <c r="M375" i="50"/>
  <c r="K375" i="50"/>
  <c r="X374" i="50"/>
  <c r="W374" i="50"/>
  <c r="V374" i="50"/>
  <c r="U374" i="50"/>
  <c r="T374" i="50"/>
  <c r="S374" i="50"/>
  <c r="Q374" i="50"/>
  <c r="O374" i="50"/>
  <c r="M374" i="50"/>
  <c r="K374" i="50"/>
  <c r="X373" i="50"/>
  <c r="W373" i="50"/>
  <c r="V373" i="50"/>
  <c r="U373" i="50"/>
  <c r="T373" i="50"/>
  <c r="S373" i="50"/>
  <c r="Q373" i="50"/>
  <c r="O373" i="50"/>
  <c r="M373" i="50"/>
  <c r="K373" i="50"/>
  <c r="X372" i="50"/>
  <c r="W372" i="50"/>
  <c r="V372" i="50"/>
  <c r="U372" i="50"/>
  <c r="T372" i="50"/>
  <c r="S372" i="50"/>
  <c r="Q372" i="50"/>
  <c r="O372" i="50"/>
  <c r="M372" i="50"/>
  <c r="K372" i="50"/>
  <c r="X371" i="50"/>
  <c r="W371" i="50"/>
  <c r="V371" i="50"/>
  <c r="U371" i="50"/>
  <c r="T371" i="50"/>
  <c r="S371" i="50"/>
  <c r="Q371" i="50"/>
  <c r="O371" i="50"/>
  <c r="M371" i="50"/>
  <c r="K371" i="50"/>
  <c r="X370" i="50"/>
  <c r="W370" i="50"/>
  <c r="V370" i="50"/>
  <c r="U370" i="50"/>
  <c r="T370" i="50"/>
  <c r="S370" i="50"/>
  <c r="Q370" i="50"/>
  <c r="O370" i="50"/>
  <c r="M370" i="50"/>
  <c r="K370" i="50"/>
  <c r="X369" i="50"/>
  <c r="W369" i="50"/>
  <c r="V369" i="50"/>
  <c r="U369" i="50"/>
  <c r="T369" i="50"/>
  <c r="S369" i="50"/>
  <c r="Q369" i="50"/>
  <c r="O369" i="50"/>
  <c r="M369" i="50"/>
  <c r="K369" i="50"/>
  <c r="X368" i="50"/>
  <c r="W368" i="50"/>
  <c r="V368" i="50"/>
  <c r="U368" i="50"/>
  <c r="T368" i="50"/>
  <c r="S368" i="50"/>
  <c r="Q368" i="50"/>
  <c r="O368" i="50"/>
  <c r="M368" i="50"/>
  <c r="K368" i="50"/>
  <c r="X367" i="50"/>
  <c r="W367" i="50"/>
  <c r="V367" i="50"/>
  <c r="U367" i="50"/>
  <c r="T367" i="50"/>
  <c r="S367" i="50"/>
  <c r="Q367" i="50"/>
  <c r="O367" i="50"/>
  <c r="M367" i="50"/>
  <c r="K367" i="50"/>
  <c r="X366" i="50"/>
  <c r="W366" i="50"/>
  <c r="V366" i="50"/>
  <c r="U366" i="50"/>
  <c r="T366" i="50"/>
  <c r="S366" i="50"/>
  <c r="Q366" i="50"/>
  <c r="O366" i="50"/>
  <c r="M366" i="50"/>
  <c r="K366" i="50"/>
  <c r="X365" i="50"/>
  <c r="W365" i="50"/>
  <c r="V365" i="50"/>
  <c r="U365" i="50"/>
  <c r="T365" i="50"/>
  <c r="S365" i="50"/>
  <c r="Q365" i="50"/>
  <c r="O365" i="50"/>
  <c r="M365" i="50"/>
  <c r="K365" i="50"/>
  <c r="X364" i="50"/>
  <c r="W364" i="50"/>
  <c r="V364" i="50"/>
  <c r="U364" i="50"/>
  <c r="T364" i="50"/>
  <c r="S364" i="50"/>
  <c r="Q364" i="50"/>
  <c r="O364" i="50"/>
  <c r="M364" i="50"/>
  <c r="K364" i="50"/>
  <c r="X363" i="50"/>
  <c r="W363" i="50"/>
  <c r="V363" i="50"/>
  <c r="U363" i="50"/>
  <c r="T363" i="50"/>
  <c r="S363" i="50"/>
  <c r="Q363" i="50"/>
  <c r="O363" i="50"/>
  <c r="M363" i="50"/>
  <c r="K363" i="50"/>
  <c r="X362" i="50"/>
  <c r="W362" i="50"/>
  <c r="V362" i="50"/>
  <c r="U362" i="50"/>
  <c r="T362" i="50"/>
  <c r="S362" i="50"/>
  <c r="Q362" i="50"/>
  <c r="O362" i="50"/>
  <c r="M362" i="50"/>
  <c r="K362" i="50"/>
  <c r="X361" i="50"/>
  <c r="W361" i="50"/>
  <c r="V361" i="50"/>
  <c r="U361" i="50"/>
  <c r="T361" i="50"/>
  <c r="S361" i="50"/>
  <c r="Q361" i="50"/>
  <c r="O361" i="50"/>
  <c r="M361" i="50"/>
  <c r="K361" i="50"/>
  <c r="X360" i="50"/>
  <c r="W360" i="50"/>
  <c r="V360" i="50"/>
  <c r="U360" i="50"/>
  <c r="T360" i="50"/>
  <c r="S360" i="50"/>
  <c r="Q360" i="50"/>
  <c r="O360" i="50"/>
  <c r="M360" i="50"/>
  <c r="K360" i="50"/>
  <c r="X359" i="50"/>
  <c r="W359" i="50"/>
  <c r="V359" i="50"/>
  <c r="U359" i="50"/>
  <c r="T359" i="50"/>
  <c r="S359" i="50"/>
  <c r="Q359" i="50"/>
  <c r="O359" i="50"/>
  <c r="M359" i="50"/>
  <c r="K359" i="50"/>
  <c r="X358" i="50"/>
  <c r="W358" i="50"/>
  <c r="V358" i="50"/>
  <c r="U358" i="50"/>
  <c r="T358" i="50"/>
  <c r="S358" i="50"/>
  <c r="Q358" i="50"/>
  <c r="O358" i="50"/>
  <c r="M358" i="50"/>
  <c r="K358" i="50"/>
  <c r="X357" i="50"/>
  <c r="W357" i="50"/>
  <c r="V357" i="50"/>
  <c r="U357" i="50"/>
  <c r="T357" i="50"/>
  <c r="S357" i="50"/>
  <c r="Q357" i="50"/>
  <c r="O357" i="50"/>
  <c r="M357" i="50"/>
  <c r="K357" i="50"/>
  <c r="X356" i="50"/>
  <c r="W356" i="50"/>
  <c r="V356" i="50"/>
  <c r="U356" i="50"/>
  <c r="T356" i="50"/>
  <c r="S356" i="50"/>
  <c r="Q356" i="50"/>
  <c r="O356" i="50"/>
  <c r="M356" i="50"/>
  <c r="K356" i="50"/>
  <c r="X355" i="50"/>
  <c r="W355" i="50"/>
  <c r="V355" i="50"/>
  <c r="U355" i="50"/>
  <c r="T355" i="50"/>
  <c r="S355" i="50"/>
  <c r="Q355" i="50"/>
  <c r="O355" i="50"/>
  <c r="M355" i="50"/>
  <c r="K355" i="50"/>
  <c r="X354" i="50"/>
  <c r="W354" i="50"/>
  <c r="V354" i="50"/>
  <c r="U354" i="50"/>
  <c r="T354" i="50"/>
  <c r="S354" i="50"/>
  <c r="Q354" i="50"/>
  <c r="O354" i="50"/>
  <c r="M354" i="50"/>
  <c r="K354" i="50"/>
  <c r="X353" i="50"/>
  <c r="W353" i="50"/>
  <c r="V353" i="50"/>
  <c r="U353" i="50"/>
  <c r="T353" i="50"/>
  <c r="S353" i="50"/>
  <c r="Q353" i="50"/>
  <c r="O353" i="50"/>
  <c r="M353" i="50"/>
  <c r="K353" i="50"/>
  <c r="X352" i="50"/>
  <c r="W352" i="50"/>
  <c r="V352" i="50"/>
  <c r="U352" i="50"/>
  <c r="T352" i="50"/>
  <c r="S352" i="50"/>
  <c r="Q352" i="50"/>
  <c r="O352" i="50"/>
  <c r="M352" i="50"/>
  <c r="K352" i="50"/>
  <c r="X351" i="50"/>
  <c r="W351" i="50"/>
  <c r="V351" i="50"/>
  <c r="U351" i="50"/>
  <c r="T351" i="50"/>
  <c r="S351" i="50"/>
  <c r="Q351" i="50"/>
  <c r="O351" i="50"/>
  <c r="M351" i="50"/>
  <c r="K351" i="50"/>
  <c r="X350" i="50"/>
  <c r="W350" i="50"/>
  <c r="V350" i="50"/>
  <c r="U350" i="50"/>
  <c r="T350" i="50"/>
  <c r="S350" i="50"/>
  <c r="Q350" i="50"/>
  <c r="O350" i="50"/>
  <c r="M350" i="50"/>
  <c r="K350" i="50"/>
  <c r="X349" i="50"/>
  <c r="W349" i="50"/>
  <c r="V349" i="50"/>
  <c r="U349" i="50"/>
  <c r="T349" i="50"/>
  <c r="S349" i="50"/>
  <c r="Q349" i="50"/>
  <c r="O349" i="50"/>
  <c r="M349" i="50"/>
  <c r="K349" i="50"/>
  <c r="X348" i="50"/>
  <c r="W348" i="50"/>
  <c r="V348" i="50"/>
  <c r="U348" i="50"/>
  <c r="T348" i="50"/>
  <c r="S348" i="50"/>
  <c r="Q348" i="50"/>
  <c r="O348" i="50"/>
  <c r="M348" i="50"/>
  <c r="K348" i="50"/>
  <c r="X347" i="50"/>
  <c r="W347" i="50"/>
  <c r="V347" i="50"/>
  <c r="U347" i="50"/>
  <c r="T347" i="50"/>
  <c r="S347" i="50"/>
  <c r="Q347" i="50"/>
  <c r="O347" i="50"/>
  <c r="M347" i="50"/>
  <c r="K347" i="50"/>
  <c r="X346" i="50"/>
  <c r="W346" i="50"/>
  <c r="V346" i="50"/>
  <c r="U346" i="50"/>
  <c r="T346" i="50"/>
  <c r="S346" i="50"/>
  <c r="Q346" i="50"/>
  <c r="O346" i="50"/>
  <c r="M346" i="50"/>
  <c r="K346" i="50"/>
  <c r="X345" i="50"/>
  <c r="W345" i="50"/>
  <c r="V345" i="50"/>
  <c r="U345" i="50"/>
  <c r="T345" i="50"/>
  <c r="S345" i="50"/>
  <c r="Q345" i="50"/>
  <c r="O345" i="50"/>
  <c r="M345" i="50"/>
  <c r="K345" i="50"/>
  <c r="X344" i="50"/>
  <c r="W344" i="50"/>
  <c r="V344" i="50"/>
  <c r="U344" i="50"/>
  <c r="T344" i="50"/>
  <c r="S344" i="50"/>
  <c r="Q344" i="50"/>
  <c r="O344" i="50"/>
  <c r="M344" i="50"/>
  <c r="K344" i="50"/>
  <c r="X343" i="50"/>
  <c r="W343" i="50"/>
  <c r="V343" i="50"/>
  <c r="U343" i="50"/>
  <c r="T343" i="50"/>
  <c r="S343" i="50"/>
  <c r="Q343" i="50"/>
  <c r="O343" i="50"/>
  <c r="M343" i="50"/>
  <c r="K343" i="50"/>
  <c r="X342" i="50"/>
  <c r="W342" i="50"/>
  <c r="V342" i="50"/>
  <c r="U342" i="50"/>
  <c r="T342" i="50"/>
  <c r="S342" i="50"/>
  <c r="Q342" i="50"/>
  <c r="O342" i="50"/>
  <c r="M342" i="50"/>
  <c r="K342" i="50"/>
  <c r="X341" i="50"/>
  <c r="W341" i="50"/>
  <c r="V341" i="50"/>
  <c r="U341" i="50"/>
  <c r="T341" i="50"/>
  <c r="S341" i="50"/>
  <c r="Q341" i="50"/>
  <c r="O341" i="50"/>
  <c r="M341" i="50"/>
  <c r="K341" i="50"/>
  <c r="X340" i="50"/>
  <c r="W340" i="50"/>
  <c r="V340" i="50"/>
  <c r="U340" i="50"/>
  <c r="T340" i="50"/>
  <c r="S340" i="50"/>
  <c r="Q340" i="50"/>
  <c r="O340" i="50"/>
  <c r="M340" i="50"/>
  <c r="K340" i="50"/>
  <c r="X339" i="50"/>
  <c r="W339" i="50"/>
  <c r="V339" i="50"/>
  <c r="U339" i="50"/>
  <c r="T339" i="50"/>
  <c r="S339" i="50"/>
  <c r="Q339" i="50"/>
  <c r="O339" i="50"/>
  <c r="M339" i="50"/>
  <c r="K339" i="50"/>
  <c r="X338" i="50"/>
  <c r="W338" i="50"/>
  <c r="V338" i="50"/>
  <c r="U338" i="50"/>
  <c r="T338" i="50"/>
  <c r="S338" i="50"/>
  <c r="Q338" i="50"/>
  <c r="O338" i="50"/>
  <c r="M338" i="50"/>
  <c r="K338" i="50"/>
  <c r="X337" i="50"/>
  <c r="W337" i="50"/>
  <c r="V337" i="50"/>
  <c r="U337" i="50"/>
  <c r="T337" i="50"/>
  <c r="S337" i="50"/>
  <c r="Q337" i="50"/>
  <c r="O337" i="50"/>
  <c r="M337" i="50"/>
  <c r="K337" i="50"/>
  <c r="X336" i="50"/>
  <c r="W336" i="50"/>
  <c r="V336" i="50"/>
  <c r="U336" i="50"/>
  <c r="T336" i="50"/>
  <c r="S336" i="50"/>
  <c r="Q336" i="50"/>
  <c r="O336" i="50"/>
  <c r="M336" i="50"/>
  <c r="K336" i="50"/>
  <c r="X335" i="50"/>
  <c r="W335" i="50"/>
  <c r="V335" i="50"/>
  <c r="U335" i="50"/>
  <c r="T335" i="50"/>
  <c r="S335" i="50"/>
  <c r="Q335" i="50"/>
  <c r="O335" i="50"/>
  <c r="M335" i="50"/>
  <c r="K335" i="50"/>
  <c r="X334" i="50"/>
  <c r="W334" i="50"/>
  <c r="V334" i="50"/>
  <c r="U334" i="50"/>
  <c r="T334" i="50"/>
  <c r="S334" i="50"/>
  <c r="Q334" i="50"/>
  <c r="O334" i="50"/>
  <c r="M334" i="50"/>
  <c r="K334" i="50"/>
  <c r="X333" i="50"/>
  <c r="W333" i="50"/>
  <c r="V333" i="50"/>
  <c r="U333" i="50"/>
  <c r="T333" i="50"/>
  <c r="S333" i="50"/>
  <c r="Q333" i="50"/>
  <c r="O333" i="50"/>
  <c r="M333" i="50"/>
  <c r="K333" i="50"/>
  <c r="X332" i="50"/>
  <c r="W332" i="50"/>
  <c r="V332" i="50"/>
  <c r="U332" i="50"/>
  <c r="T332" i="50"/>
  <c r="S332" i="50"/>
  <c r="Q332" i="50"/>
  <c r="O332" i="50"/>
  <c r="M332" i="50"/>
  <c r="K332" i="50"/>
  <c r="X331" i="50"/>
  <c r="W331" i="50"/>
  <c r="V331" i="50"/>
  <c r="U331" i="50"/>
  <c r="T331" i="50"/>
  <c r="S331" i="50"/>
  <c r="Q331" i="50"/>
  <c r="O331" i="50"/>
  <c r="M331" i="50"/>
  <c r="K331" i="50"/>
  <c r="X330" i="50"/>
  <c r="W330" i="50"/>
  <c r="V330" i="50"/>
  <c r="U330" i="50"/>
  <c r="T330" i="50"/>
  <c r="S330" i="50"/>
  <c r="Q330" i="50"/>
  <c r="O330" i="50"/>
  <c r="M330" i="50"/>
  <c r="K330" i="50"/>
  <c r="X329" i="50"/>
  <c r="W329" i="50"/>
  <c r="V329" i="50"/>
  <c r="U329" i="50"/>
  <c r="T329" i="50"/>
  <c r="S329" i="50"/>
  <c r="Q329" i="50"/>
  <c r="O329" i="50"/>
  <c r="M329" i="50"/>
  <c r="K329" i="50"/>
  <c r="X328" i="50"/>
  <c r="W328" i="50"/>
  <c r="V328" i="50"/>
  <c r="U328" i="50"/>
  <c r="T328" i="50"/>
  <c r="S328" i="50"/>
  <c r="Q328" i="50"/>
  <c r="O328" i="50"/>
  <c r="M328" i="50"/>
  <c r="K328" i="50"/>
  <c r="X327" i="50"/>
  <c r="W327" i="50"/>
  <c r="V327" i="50"/>
  <c r="U327" i="50"/>
  <c r="T327" i="50"/>
  <c r="S327" i="50"/>
  <c r="Q327" i="50"/>
  <c r="O327" i="50"/>
  <c r="M327" i="50"/>
  <c r="K327" i="50"/>
  <c r="X326" i="50"/>
  <c r="W326" i="50"/>
  <c r="V326" i="50"/>
  <c r="U326" i="50"/>
  <c r="T326" i="50"/>
  <c r="S326" i="50"/>
  <c r="Q326" i="50"/>
  <c r="O326" i="50"/>
  <c r="M326" i="50"/>
  <c r="K326" i="50"/>
  <c r="X325" i="50"/>
  <c r="W325" i="50"/>
  <c r="V325" i="50"/>
  <c r="U325" i="50"/>
  <c r="T325" i="50"/>
  <c r="S325" i="50"/>
  <c r="Q325" i="50"/>
  <c r="O325" i="50"/>
  <c r="M325" i="50"/>
  <c r="K325" i="50"/>
  <c r="X324" i="50"/>
  <c r="W324" i="50"/>
  <c r="V324" i="50"/>
  <c r="U324" i="50"/>
  <c r="T324" i="50"/>
  <c r="S324" i="50"/>
  <c r="Q324" i="50"/>
  <c r="O324" i="50"/>
  <c r="M324" i="50"/>
  <c r="K324" i="50"/>
  <c r="X323" i="50"/>
  <c r="W323" i="50"/>
  <c r="V323" i="50"/>
  <c r="U323" i="50"/>
  <c r="T323" i="50"/>
  <c r="S323" i="50"/>
  <c r="Q323" i="50"/>
  <c r="O323" i="50"/>
  <c r="M323" i="50"/>
  <c r="K323" i="50"/>
  <c r="X322" i="50"/>
  <c r="W322" i="50"/>
  <c r="V322" i="50"/>
  <c r="U322" i="50"/>
  <c r="T322" i="50"/>
  <c r="S322" i="50"/>
  <c r="Q322" i="50"/>
  <c r="O322" i="50"/>
  <c r="M322" i="50"/>
  <c r="K322" i="50"/>
  <c r="X321" i="50"/>
  <c r="W321" i="50"/>
  <c r="V321" i="50"/>
  <c r="U321" i="50"/>
  <c r="T321" i="50"/>
  <c r="S321" i="50"/>
  <c r="Q321" i="50"/>
  <c r="O321" i="50"/>
  <c r="M321" i="50"/>
  <c r="K321" i="50"/>
  <c r="X320" i="50"/>
  <c r="W320" i="50"/>
  <c r="V320" i="50"/>
  <c r="U320" i="50"/>
  <c r="T320" i="50"/>
  <c r="S320" i="50"/>
  <c r="Q320" i="50"/>
  <c r="O320" i="50"/>
  <c r="M320" i="50"/>
  <c r="K320" i="50"/>
  <c r="X319" i="50"/>
  <c r="W319" i="50"/>
  <c r="V319" i="50"/>
  <c r="U319" i="50"/>
  <c r="T319" i="50"/>
  <c r="S319" i="50"/>
  <c r="Q319" i="50"/>
  <c r="O319" i="50"/>
  <c r="M319" i="50"/>
  <c r="K319" i="50"/>
  <c r="X318" i="50"/>
  <c r="W318" i="50"/>
  <c r="V318" i="50"/>
  <c r="U318" i="50"/>
  <c r="T318" i="50"/>
  <c r="S318" i="50"/>
  <c r="Q318" i="50"/>
  <c r="O318" i="50"/>
  <c r="M318" i="50"/>
  <c r="K318" i="50"/>
  <c r="X317" i="50"/>
  <c r="W317" i="50"/>
  <c r="V317" i="50"/>
  <c r="U317" i="50"/>
  <c r="T317" i="50"/>
  <c r="S317" i="50"/>
  <c r="Q317" i="50"/>
  <c r="O317" i="50"/>
  <c r="M317" i="50"/>
  <c r="K317" i="50"/>
  <c r="X316" i="50"/>
  <c r="W316" i="50"/>
  <c r="V316" i="50"/>
  <c r="U316" i="50"/>
  <c r="T316" i="50"/>
  <c r="S316" i="50"/>
  <c r="Q316" i="50"/>
  <c r="O316" i="50"/>
  <c r="M316" i="50"/>
  <c r="K316" i="50"/>
  <c r="X315" i="50"/>
  <c r="W315" i="50"/>
  <c r="V315" i="50"/>
  <c r="U315" i="50"/>
  <c r="T315" i="50"/>
  <c r="S315" i="50"/>
  <c r="Q315" i="50"/>
  <c r="O315" i="50"/>
  <c r="M315" i="50"/>
  <c r="K315" i="50"/>
  <c r="X314" i="50"/>
  <c r="W314" i="50"/>
  <c r="V314" i="50"/>
  <c r="U314" i="50"/>
  <c r="T314" i="50"/>
  <c r="S314" i="50"/>
  <c r="Q314" i="50"/>
  <c r="O314" i="50"/>
  <c r="M314" i="50"/>
  <c r="K314" i="50"/>
  <c r="X313" i="50"/>
  <c r="W313" i="50"/>
  <c r="V313" i="50"/>
  <c r="U313" i="50"/>
  <c r="T313" i="50"/>
  <c r="S313" i="50"/>
  <c r="Q313" i="50"/>
  <c r="O313" i="50"/>
  <c r="M313" i="50"/>
  <c r="K313" i="50"/>
  <c r="X312" i="50"/>
  <c r="W312" i="50"/>
  <c r="V312" i="50"/>
  <c r="U312" i="50"/>
  <c r="T312" i="50"/>
  <c r="S312" i="50"/>
  <c r="Q312" i="50"/>
  <c r="O312" i="50"/>
  <c r="M312" i="50"/>
  <c r="K312" i="50"/>
  <c r="X311" i="50"/>
  <c r="W311" i="50"/>
  <c r="V311" i="50"/>
  <c r="U311" i="50"/>
  <c r="T311" i="50"/>
  <c r="S311" i="50"/>
  <c r="Q311" i="50"/>
  <c r="O311" i="50"/>
  <c r="M311" i="50"/>
  <c r="K311" i="50"/>
  <c r="X310" i="50"/>
  <c r="W310" i="50"/>
  <c r="V310" i="50"/>
  <c r="U310" i="50"/>
  <c r="T310" i="50"/>
  <c r="S310" i="50"/>
  <c r="Q310" i="50"/>
  <c r="O310" i="50"/>
  <c r="M310" i="50"/>
  <c r="K310" i="50"/>
  <c r="X309" i="50"/>
  <c r="W309" i="50"/>
  <c r="V309" i="50"/>
  <c r="U309" i="50"/>
  <c r="T309" i="50"/>
  <c r="S309" i="50"/>
  <c r="Q309" i="50"/>
  <c r="O309" i="50"/>
  <c r="M309" i="50"/>
  <c r="K309" i="50"/>
  <c r="X308" i="50"/>
  <c r="W308" i="50"/>
  <c r="V308" i="50"/>
  <c r="U308" i="50"/>
  <c r="T308" i="50"/>
  <c r="S308" i="50"/>
  <c r="Q308" i="50"/>
  <c r="O308" i="50"/>
  <c r="M308" i="50"/>
  <c r="K308" i="50"/>
  <c r="X307" i="50"/>
  <c r="W307" i="50"/>
  <c r="V307" i="50"/>
  <c r="U307" i="50"/>
  <c r="T307" i="50"/>
  <c r="S307" i="50"/>
  <c r="Q307" i="50"/>
  <c r="O307" i="50"/>
  <c r="M307" i="50"/>
  <c r="K307" i="50"/>
  <c r="X306" i="50"/>
  <c r="W306" i="50"/>
  <c r="V306" i="50"/>
  <c r="U306" i="50"/>
  <c r="T306" i="50"/>
  <c r="S306" i="50"/>
  <c r="Q306" i="50"/>
  <c r="O306" i="50"/>
  <c r="M306" i="50"/>
  <c r="K306" i="50"/>
  <c r="X305" i="50"/>
  <c r="W305" i="50"/>
  <c r="V305" i="50"/>
  <c r="U305" i="50"/>
  <c r="T305" i="50"/>
  <c r="S305" i="50"/>
  <c r="Q305" i="50"/>
  <c r="O305" i="50"/>
  <c r="M305" i="50"/>
  <c r="K305" i="50"/>
  <c r="X304" i="50"/>
  <c r="W304" i="50"/>
  <c r="V304" i="50"/>
  <c r="U304" i="50"/>
  <c r="T304" i="50"/>
  <c r="S304" i="50"/>
  <c r="Q304" i="50"/>
  <c r="O304" i="50"/>
  <c r="M304" i="50"/>
  <c r="K304" i="50"/>
  <c r="X303" i="50"/>
  <c r="W303" i="50"/>
  <c r="V303" i="50"/>
  <c r="U303" i="50"/>
  <c r="T303" i="50"/>
  <c r="S303" i="50"/>
  <c r="Q303" i="50"/>
  <c r="O303" i="50"/>
  <c r="M303" i="50"/>
  <c r="K303" i="50"/>
  <c r="X302" i="50"/>
  <c r="W302" i="50"/>
  <c r="V302" i="50"/>
  <c r="U302" i="50"/>
  <c r="T302" i="50"/>
  <c r="S302" i="50"/>
  <c r="Q302" i="50"/>
  <c r="O302" i="50"/>
  <c r="M302" i="50"/>
  <c r="K302" i="50"/>
  <c r="X301" i="50"/>
  <c r="W301" i="50"/>
  <c r="V301" i="50"/>
  <c r="U301" i="50"/>
  <c r="T301" i="50"/>
  <c r="S301" i="50"/>
  <c r="Q301" i="50"/>
  <c r="O301" i="50"/>
  <c r="M301" i="50"/>
  <c r="K301" i="50"/>
  <c r="X300" i="50"/>
  <c r="W300" i="50"/>
  <c r="V300" i="50"/>
  <c r="U300" i="50"/>
  <c r="T300" i="50"/>
  <c r="S300" i="50"/>
  <c r="Q300" i="50"/>
  <c r="O300" i="50"/>
  <c r="M300" i="50"/>
  <c r="K300" i="50"/>
  <c r="X299" i="50"/>
  <c r="W299" i="50"/>
  <c r="V299" i="50"/>
  <c r="U299" i="50"/>
  <c r="T299" i="50"/>
  <c r="S299" i="50"/>
  <c r="Q299" i="50"/>
  <c r="O299" i="50"/>
  <c r="M299" i="50"/>
  <c r="K299" i="50"/>
  <c r="X298" i="50"/>
  <c r="W298" i="50"/>
  <c r="V298" i="50"/>
  <c r="U298" i="50"/>
  <c r="T298" i="50"/>
  <c r="S298" i="50"/>
  <c r="Q298" i="50"/>
  <c r="O298" i="50"/>
  <c r="M298" i="50"/>
  <c r="K298" i="50"/>
  <c r="X297" i="50"/>
  <c r="W297" i="50"/>
  <c r="V297" i="50"/>
  <c r="U297" i="50"/>
  <c r="T297" i="50"/>
  <c r="S297" i="50"/>
  <c r="Q297" i="50"/>
  <c r="O297" i="50"/>
  <c r="M297" i="50"/>
  <c r="K297" i="50"/>
  <c r="X296" i="50"/>
  <c r="W296" i="50"/>
  <c r="V296" i="50"/>
  <c r="U296" i="50"/>
  <c r="T296" i="50"/>
  <c r="S296" i="50"/>
  <c r="Q296" i="50"/>
  <c r="O296" i="50"/>
  <c r="M296" i="50"/>
  <c r="K296" i="50"/>
  <c r="X295" i="50"/>
  <c r="W295" i="50"/>
  <c r="V295" i="50"/>
  <c r="U295" i="50"/>
  <c r="T295" i="50"/>
  <c r="S295" i="50"/>
  <c r="Q295" i="50"/>
  <c r="O295" i="50"/>
  <c r="M295" i="50"/>
  <c r="K295" i="50"/>
  <c r="X294" i="50"/>
  <c r="W294" i="50"/>
  <c r="V294" i="50"/>
  <c r="U294" i="50"/>
  <c r="T294" i="50"/>
  <c r="S294" i="50"/>
  <c r="Q294" i="50"/>
  <c r="O294" i="50"/>
  <c r="M294" i="50"/>
  <c r="K294" i="50"/>
  <c r="X293" i="50"/>
  <c r="W293" i="50"/>
  <c r="V293" i="50"/>
  <c r="U293" i="50"/>
  <c r="T293" i="50"/>
  <c r="S293" i="50"/>
  <c r="Q293" i="50"/>
  <c r="O293" i="50"/>
  <c r="M293" i="50"/>
  <c r="K293" i="50"/>
  <c r="X292" i="50"/>
  <c r="W292" i="50"/>
  <c r="V292" i="50"/>
  <c r="U292" i="50"/>
  <c r="T292" i="50"/>
  <c r="S292" i="50"/>
  <c r="Q292" i="50"/>
  <c r="O292" i="50"/>
  <c r="M292" i="50"/>
  <c r="K292" i="50"/>
  <c r="X291" i="50"/>
  <c r="W291" i="50"/>
  <c r="V291" i="50"/>
  <c r="U291" i="50"/>
  <c r="T291" i="50"/>
  <c r="S291" i="50"/>
  <c r="Q291" i="50"/>
  <c r="O291" i="50"/>
  <c r="M291" i="50"/>
  <c r="K291" i="50"/>
  <c r="X290" i="50"/>
  <c r="W290" i="50"/>
  <c r="V290" i="50"/>
  <c r="U290" i="50"/>
  <c r="T290" i="50"/>
  <c r="S290" i="50"/>
  <c r="Q290" i="50"/>
  <c r="O290" i="50"/>
  <c r="M290" i="50"/>
  <c r="K290" i="50"/>
  <c r="X289" i="50"/>
  <c r="W289" i="50"/>
  <c r="V289" i="50"/>
  <c r="U289" i="50"/>
  <c r="T289" i="50"/>
  <c r="S289" i="50"/>
  <c r="Q289" i="50"/>
  <c r="O289" i="50"/>
  <c r="M289" i="50"/>
  <c r="K289" i="50"/>
  <c r="X288" i="50"/>
  <c r="W288" i="50"/>
  <c r="V288" i="50"/>
  <c r="U288" i="50"/>
  <c r="T288" i="50"/>
  <c r="S288" i="50"/>
  <c r="Q288" i="50"/>
  <c r="O288" i="50"/>
  <c r="M288" i="50"/>
  <c r="K288" i="50"/>
  <c r="X287" i="50"/>
  <c r="W287" i="50"/>
  <c r="V287" i="50"/>
  <c r="U287" i="50"/>
  <c r="T287" i="50"/>
  <c r="S287" i="50"/>
  <c r="Q287" i="50"/>
  <c r="O287" i="50"/>
  <c r="M287" i="50"/>
  <c r="K287" i="50"/>
  <c r="X286" i="50"/>
  <c r="W286" i="50"/>
  <c r="V286" i="50"/>
  <c r="U286" i="50"/>
  <c r="T286" i="50"/>
  <c r="S286" i="50"/>
  <c r="Q286" i="50"/>
  <c r="O286" i="50"/>
  <c r="M286" i="50"/>
  <c r="K286" i="50"/>
  <c r="X285" i="50"/>
  <c r="W285" i="50"/>
  <c r="V285" i="50"/>
  <c r="U285" i="50"/>
  <c r="T285" i="50"/>
  <c r="S285" i="50"/>
  <c r="Q285" i="50"/>
  <c r="O285" i="50"/>
  <c r="M285" i="50"/>
  <c r="K285" i="50"/>
  <c r="X284" i="50"/>
  <c r="W284" i="50"/>
  <c r="V284" i="50"/>
  <c r="U284" i="50"/>
  <c r="T284" i="50"/>
  <c r="S284" i="50"/>
  <c r="Q284" i="50"/>
  <c r="O284" i="50"/>
  <c r="M284" i="50"/>
  <c r="K284" i="50"/>
  <c r="X283" i="50"/>
  <c r="W283" i="50"/>
  <c r="V283" i="50"/>
  <c r="U283" i="50"/>
  <c r="T283" i="50"/>
  <c r="S283" i="50"/>
  <c r="Q283" i="50"/>
  <c r="O283" i="50"/>
  <c r="M283" i="50"/>
  <c r="K283" i="50"/>
  <c r="X282" i="50"/>
  <c r="W282" i="50"/>
  <c r="V282" i="50"/>
  <c r="U282" i="50"/>
  <c r="T282" i="50"/>
  <c r="S282" i="50"/>
  <c r="Q282" i="50"/>
  <c r="O282" i="50"/>
  <c r="M282" i="50"/>
  <c r="K282" i="50"/>
  <c r="X281" i="50"/>
  <c r="W281" i="50"/>
  <c r="V281" i="50"/>
  <c r="U281" i="50"/>
  <c r="T281" i="50"/>
  <c r="S281" i="50"/>
  <c r="Q281" i="50"/>
  <c r="O281" i="50"/>
  <c r="M281" i="50"/>
  <c r="K281" i="50"/>
  <c r="X280" i="50"/>
  <c r="W280" i="50"/>
  <c r="V280" i="50"/>
  <c r="U280" i="50"/>
  <c r="T280" i="50"/>
  <c r="S280" i="50"/>
  <c r="Q280" i="50"/>
  <c r="O280" i="50"/>
  <c r="M280" i="50"/>
  <c r="K280" i="50"/>
  <c r="X279" i="50"/>
  <c r="W279" i="50"/>
  <c r="V279" i="50"/>
  <c r="U279" i="50"/>
  <c r="T279" i="50"/>
  <c r="S279" i="50"/>
  <c r="Q279" i="50"/>
  <c r="O279" i="50"/>
  <c r="M279" i="50"/>
  <c r="K279" i="50"/>
  <c r="X278" i="50"/>
  <c r="W278" i="50"/>
  <c r="V278" i="50"/>
  <c r="U278" i="50"/>
  <c r="T278" i="50"/>
  <c r="S278" i="50"/>
  <c r="Q278" i="50"/>
  <c r="O278" i="50"/>
  <c r="M278" i="50"/>
  <c r="K278" i="50"/>
  <c r="X277" i="50"/>
  <c r="W277" i="50"/>
  <c r="V277" i="50"/>
  <c r="U277" i="50"/>
  <c r="T277" i="50"/>
  <c r="S277" i="50"/>
  <c r="Q277" i="50"/>
  <c r="O277" i="50"/>
  <c r="M277" i="50"/>
  <c r="K277" i="50"/>
  <c r="X276" i="50"/>
  <c r="W276" i="50"/>
  <c r="V276" i="50"/>
  <c r="U276" i="50"/>
  <c r="T276" i="50"/>
  <c r="S276" i="50"/>
  <c r="Q276" i="50"/>
  <c r="O276" i="50"/>
  <c r="M276" i="50"/>
  <c r="K276" i="50"/>
  <c r="X275" i="50"/>
  <c r="W275" i="50"/>
  <c r="V275" i="50"/>
  <c r="U275" i="50"/>
  <c r="T275" i="50"/>
  <c r="S275" i="50"/>
  <c r="Q275" i="50"/>
  <c r="O275" i="50"/>
  <c r="M275" i="50"/>
  <c r="K275" i="50"/>
  <c r="X274" i="50"/>
  <c r="W274" i="50"/>
  <c r="V274" i="50"/>
  <c r="U274" i="50"/>
  <c r="T274" i="50"/>
  <c r="S274" i="50"/>
  <c r="Q274" i="50"/>
  <c r="O274" i="50"/>
  <c r="M274" i="50"/>
  <c r="K274" i="50"/>
  <c r="X273" i="50"/>
  <c r="W273" i="50"/>
  <c r="V273" i="50"/>
  <c r="U273" i="50"/>
  <c r="T273" i="50"/>
  <c r="S273" i="50"/>
  <c r="Q273" i="50"/>
  <c r="O273" i="50"/>
  <c r="M273" i="50"/>
  <c r="K273" i="50"/>
  <c r="X272" i="50"/>
  <c r="W272" i="50"/>
  <c r="V272" i="50"/>
  <c r="U272" i="50"/>
  <c r="T272" i="50"/>
  <c r="S272" i="50"/>
  <c r="Q272" i="50"/>
  <c r="O272" i="50"/>
  <c r="M272" i="50"/>
  <c r="K272" i="50"/>
  <c r="X271" i="50"/>
  <c r="W271" i="50"/>
  <c r="V271" i="50"/>
  <c r="U271" i="50"/>
  <c r="T271" i="50"/>
  <c r="S271" i="50"/>
  <c r="Q271" i="50"/>
  <c r="O271" i="50"/>
  <c r="M271" i="50"/>
  <c r="K271" i="50"/>
  <c r="X270" i="50"/>
  <c r="W270" i="50"/>
  <c r="V270" i="50"/>
  <c r="U270" i="50"/>
  <c r="T270" i="50"/>
  <c r="S270" i="50"/>
  <c r="Q270" i="50"/>
  <c r="O270" i="50"/>
  <c r="M270" i="50"/>
  <c r="K270" i="50"/>
  <c r="X269" i="50"/>
  <c r="W269" i="50"/>
  <c r="V269" i="50"/>
  <c r="U269" i="50"/>
  <c r="T269" i="50"/>
  <c r="S269" i="50"/>
  <c r="Q269" i="50"/>
  <c r="O269" i="50"/>
  <c r="M269" i="50"/>
  <c r="K269" i="50"/>
  <c r="X268" i="50"/>
  <c r="W268" i="50"/>
  <c r="V268" i="50"/>
  <c r="U268" i="50"/>
  <c r="T268" i="50"/>
  <c r="S268" i="50"/>
  <c r="Q268" i="50"/>
  <c r="O268" i="50"/>
  <c r="M268" i="50"/>
  <c r="K268" i="50"/>
  <c r="X267" i="50"/>
  <c r="W267" i="50"/>
  <c r="V267" i="50"/>
  <c r="U267" i="50"/>
  <c r="T267" i="50"/>
  <c r="S267" i="50"/>
  <c r="Q267" i="50"/>
  <c r="O267" i="50"/>
  <c r="M267" i="50"/>
  <c r="K267" i="50"/>
  <c r="X266" i="50"/>
  <c r="W266" i="50"/>
  <c r="V266" i="50"/>
  <c r="U266" i="50"/>
  <c r="T266" i="50"/>
  <c r="S266" i="50"/>
  <c r="Q266" i="50"/>
  <c r="O266" i="50"/>
  <c r="M266" i="50"/>
  <c r="K266" i="50"/>
  <c r="X265" i="50"/>
  <c r="W265" i="50"/>
  <c r="V265" i="50"/>
  <c r="U265" i="50"/>
  <c r="T265" i="50"/>
  <c r="S265" i="50"/>
  <c r="Q265" i="50"/>
  <c r="O265" i="50"/>
  <c r="M265" i="50"/>
  <c r="K265" i="50"/>
  <c r="X264" i="50"/>
  <c r="W264" i="50"/>
  <c r="V264" i="50"/>
  <c r="U264" i="50"/>
  <c r="T264" i="50"/>
  <c r="S264" i="50"/>
  <c r="Q264" i="50"/>
  <c r="O264" i="50"/>
  <c r="M264" i="50"/>
  <c r="K264" i="50"/>
  <c r="X263" i="50"/>
  <c r="W263" i="50"/>
  <c r="V263" i="50"/>
  <c r="U263" i="50"/>
  <c r="T263" i="50"/>
  <c r="S263" i="50"/>
  <c r="Q263" i="50"/>
  <c r="O263" i="50"/>
  <c r="M263" i="50"/>
  <c r="K263" i="50"/>
  <c r="X262" i="50"/>
  <c r="W262" i="50"/>
  <c r="V262" i="50"/>
  <c r="U262" i="50"/>
  <c r="T262" i="50"/>
  <c r="S262" i="50"/>
  <c r="Q262" i="50"/>
  <c r="O262" i="50"/>
  <c r="M262" i="50"/>
  <c r="K262" i="50"/>
  <c r="X261" i="50"/>
  <c r="W261" i="50"/>
  <c r="V261" i="50"/>
  <c r="U261" i="50"/>
  <c r="T261" i="50"/>
  <c r="S261" i="50"/>
  <c r="Q261" i="50"/>
  <c r="O261" i="50"/>
  <c r="M261" i="50"/>
  <c r="K261" i="50"/>
  <c r="X260" i="50"/>
  <c r="W260" i="50"/>
  <c r="V260" i="50"/>
  <c r="U260" i="50"/>
  <c r="T260" i="50"/>
  <c r="S260" i="50"/>
  <c r="Q260" i="50"/>
  <c r="O260" i="50"/>
  <c r="M260" i="50"/>
  <c r="K260" i="50"/>
  <c r="X259" i="50"/>
  <c r="W259" i="50"/>
  <c r="V259" i="50"/>
  <c r="U259" i="50"/>
  <c r="T259" i="50"/>
  <c r="S259" i="50"/>
  <c r="Q259" i="50"/>
  <c r="O259" i="50"/>
  <c r="M259" i="50"/>
  <c r="K259" i="50"/>
  <c r="X258" i="50"/>
  <c r="W258" i="50"/>
  <c r="V258" i="50"/>
  <c r="U258" i="50"/>
  <c r="T258" i="50"/>
  <c r="S258" i="50"/>
  <c r="Q258" i="50"/>
  <c r="O258" i="50"/>
  <c r="M258" i="50"/>
  <c r="K258" i="50"/>
  <c r="X257" i="50"/>
  <c r="W257" i="50"/>
  <c r="V257" i="50"/>
  <c r="U257" i="50"/>
  <c r="T257" i="50"/>
  <c r="S257" i="50"/>
  <c r="Q257" i="50"/>
  <c r="O257" i="50"/>
  <c r="M257" i="50"/>
  <c r="K257" i="50"/>
  <c r="X256" i="50"/>
  <c r="W256" i="50"/>
  <c r="V256" i="50"/>
  <c r="U256" i="50"/>
  <c r="T256" i="50"/>
  <c r="S256" i="50"/>
  <c r="Q256" i="50"/>
  <c r="O256" i="50"/>
  <c r="M256" i="50"/>
  <c r="K256" i="50"/>
  <c r="X255" i="50"/>
  <c r="W255" i="50"/>
  <c r="V255" i="50"/>
  <c r="U255" i="50"/>
  <c r="T255" i="50"/>
  <c r="S255" i="50"/>
  <c r="Q255" i="50"/>
  <c r="O255" i="50"/>
  <c r="M255" i="50"/>
  <c r="K255" i="50"/>
  <c r="X254" i="50"/>
  <c r="W254" i="50"/>
  <c r="V254" i="50"/>
  <c r="U254" i="50"/>
  <c r="T254" i="50"/>
  <c r="S254" i="50"/>
  <c r="Q254" i="50"/>
  <c r="O254" i="50"/>
  <c r="M254" i="50"/>
  <c r="K254" i="50"/>
  <c r="X253" i="50"/>
  <c r="W253" i="50"/>
  <c r="V253" i="50"/>
  <c r="U253" i="50"/>
  <c r="T253" i="50"/>
  <c r="S253" i="50"/>
  <c r="Q253" i="50"/>
  <c r="O253" i="50"/>
  <c r="M253" i="50"/>
  <c r="K253" i="50"/>
  <c r="X252" i="50"/>
  <c r="W252" i="50"/>
  <c r="V252" i="50"/>
  <c r="U252" i="50"/>
  <c r="T252" i="50"/>
  <c r="S252" i="50"/>
  <c r="Q252" i="50"/>
  <c r="O252" i="50"/>
  <c r="M252" i="50"/>
  <c r="K252" i="50"/>
  <c r="X251" i="50"/>
  <c r="W251" i="50"/>
  <c r="V251" i="50"/>
  <c r="U251" i="50"/>
  <c r="T251" i="50"/>
  <c r="S251" i="50"/>
  <c r="Q251" i="50"/>
  <c r="O251" i="50"/>
  <c r="M251" i="50"/>
  <c r="K251" i="50"/>
  <c r="X250" i="50"/>
  <c r="W250" i="50"/>
  <c r="V250" i="50"/>
  <c r="U250" i="50"/>
  <c r="T250" i="50"/>
  <c r="S250" i="50"/>
  <c r="Q250" i="50"/>
  <c r="O250" i="50"/>
  <c r="M250" i="50"/>
  <c r="K250" i="50"/>
  <c r="X249" i="50"/>
  <c r="W249" i="50"/>
  <c r="V249" i="50"/>
  <c r="U249" i="50"/>
  <c r="T249" i="50"/>
  <c r="S249" i="50"/>
  <c r="Q249" i="50"/>
  <c r="O249" i="50"/>
  <c r="M249" i="50"/>
  <c r="K249" i="50"/>
  <c r="X248" i="50"/>
  <c r="W248" i="50"/>
  <c r="V248" i="50"/>
  <c r="U248" i="50"/>
  <c r="T248" i="50"/>
  <c r="S248" i="50"/>
  <c r="Q248" i="50"/>
  <c r="O248" i="50"/>
  <c r="M248" i="50"/>
  <c r="K248" i="50"/>
  <c r="X247" i="50"/>
  <c r="W247" i="50"/>
  <c r="V247" i="50"/>
  <c r="U247" i="50"/>
  <c r="T247" i="50"/>
  <c r="S247" i="50"/>
  <c r="Q247" i="50"/>
  <c r="O247" i="50"/>
  <c r="M247" i="50"/>
  <c r="K247" i="50"/>
  <c r="X246" i="50"/>
  <c r="W246" i="50"/>
  <c r="V246" i="50"/>
  <c r="U246" i="50"/>
  <c r="T246" i="50"/>
  <c r="S246" i="50"/>
  <c r="Q246" i="50"/>
  <c r="O246" i="50"/>
  <c r="M246" i="50"/>
  <c r="K246" i="50"/>
  <c r="X245" i="50"/>
  <c r="W245" i="50"/>
  <c r="V245" i="50"/>
  <c r="U245" i="50"/>
  <c r="T245" i="50"/>
  <c r="S245" i="50"/>
  <c r="Q245" i="50"/>
  <c r="O245" i="50"/>
  <c r="M245" i="50"/>
  <c r="K245" i="50"/>
  <c r="X244" i="50"/>
  <c r="W244" i="50"/>
  <c r="V244" i="50"/>
  <c r="U244" i="50"/>
  <c r="T244" i="50"/>
  <c r="S244" i="50"/>
  <c r="Q244" i="50"/>
  <c r="O244" i="50"/>
  <c r="M244" i="50"/>
  <c r="K244" i="50"/>
  <c r="X243" i="50"/>
  <c r="W243" i="50"/>
  <c r="V243" i="50"/>
  <c r="U243" i="50"/>
  <c r="T243" i="50"/>
  <c r="S243" i="50"/>
  <c r="Q243" i="50"/>
  <c r="O243" i="50"/>
  <c r="M243" i="50"/>
  <c r="K243" i="50"/>
  <c r="X242" i="50"/>
  <c r="W242" i="50"/>
  <c r="V242" i="50"/>
  <c r="U242" i="50"/>
  <c r="T242" i="50"/>
  <c r="S242" i="50"/>
  <c r="Q242" i="50"/>
  <c r="O242" i="50"/>
  <c r="M242" i="50"/>
  <c r="K242" i="50"/>
  <c r="X241" i="50"/>
  <c r="W241" i="50"/>
  <c r="V241" i="50"/>
  <c r="U241" i="50"/>
  <c r="T241" i="50"/>
  <c r="S241" i="50"/>
  <c r="Q241" i="50"/>
  <c r="O241" i="50"/>
  <c r="M241" i="50"/>
  <c r="K241" i="50"/>
  <c r="X240" i="50"/>
  <c r="W240" i="50"/>
  <c r="V240" i="50"/>
  <c r="U240" i="50"/>
  <c r="T240" i="50"/>
  <c r="S240" i="50"/>
  <c r="Q240" i="50"/>
  <c r="O240" i="50"/>
  <c r="M240" i="50"/>
  <c r="K240" i="50"/>
  <c r="X239" i="50"/>
  <c r="W239" i="50"/>
  <c r="V239" i="50"/>
  <c r="U239" i="50"/>
  <c r="T239" i="50"/>
  <c r="S239" i="50"/>
  <c r="Q239" i="50"/>
  <c r="O239" i="50"/>
  <c r="M239" i="50"/>
  <c r="K239" i="50"/>
  <c r="X238" i="50"/>
  <c r="W238" i="50"/>
  <c r="V238" i="50"/>
  <c r="U238" i="50"/>
  <c r="T238" i="50"/>
  <c r="S238" i="50"/>
  <c r="Q238" i="50"/>
  <c r="O238" i="50"/>
  <c r="M238" i="50"/>
  <c r="K238" i="50"/>
  <c r="X237" i="50"/>
  <c r="W237" i="50"/>
  <c r="V237" i="50"/>
  <c r="U237" i="50"/>
  <c r="T237" i="50"/>
  <c r="S237" i="50"/>
  <c r="Q237" i="50"/>
  <c r="O237" i="50"/>
  <c r="M237" i="50"/>
  <c r="K237" i="50"/>
  <c r="X236" i="50"/>
  <c r="W236" i="50"/>
  <c r="V236" i="50"/>
  <c r="U236" i="50"/>
  <c r="T236" i="50"/>
  <c r="S236" i="50"/>
  <c r="Q236" i="50"/>
  <c r="O236" i="50"/>
  <c r="M236" i="50"/>
  <c r="K236" i="50"/>
  <c r="X235" i="50"/>
  <c r="W235" i="50"/>
  <c r="V235" i="50"/>
  <c r="U235" i="50"/>
  <c r="T235" i="50"/>
  <c r="S235" i="50"/>
  <c r="Q235" i="50"/>
  <c r="O235" i="50"/>
  <c r="M235" i="50"/>
  <c r="K235" i="50"/>
  <c r="X234" i="50"/>
  <c r="W234" i="50"/>
  <c r="V234" i="50"/>
  <c r="U234" i="50"/>
  <c r="T234" i="50"/>
  <c r="S234" i="50"/>
  <c r="Q234" i="50"/>
  <c r="O234" i="50"/>
  <c r="M234" i="50"/>
  <c r="K234" i="50"/>
  <c r="X233" i="50"/>
  <c r="W233" i="50"/>
  <c r="V233" i="50"/>
  <c r="U233" i="50"/>
  <c r="T233" i="50"/>
  <c r="S233" i="50"/>
  <c r="Q233" i="50"/>
  <c r="O233" i="50"/>
  <c r="M233" i="50"/>
  <c r="K233" i="50"/>
  <c r="X232" i="50"/>
  <c r="W232" i="50"/>
  <c r="V232" i="50"/>
  <c r="U232" i="50"/>
  <c r="T232" i="50"/>
  <c r="S232" i="50"/>
  <c r="Q232" i="50"/>
  <c r="O232" i="50"/>
  <c r="M232" i="50"/>
  <c r="K232" i="50"/>
  <c r="X231" i="50"/>
  <c r="W231" i="50"/>
  <c r="V231" i="50"/>
  <c r="U231" i="50"/>
  <c r="T231" i="50"/>
  <c r="S231" i="50"/>
  <c r="Q231" i="50"/>
  <c r="O231" i="50"/>
  <c r="M231" i="50"/>
  <c r="K231" i="50"/>
  <c r="X230" i="50"/>
  <c r="W230" i="50"/>
  <c r="V230" i="50"/>
  <c r="U230" i="50"/>
  <c r="T230" i="50"/>
  <c r="S230" i="50"/>
  <c r="Q230" i="50"/>
  <c r="O230" i="50"/>
  <c r="M230" i="50"/>
  <c r="K230" i="50"/>
  <c r="X229" i="50"/>
  <c r="W229" i="50"/>
  <c r="V229" i="50"/>
  <c r="U229" i="50"/>
  <c r="T229" i="50"/>
  <c r="S229" i="50"/>
  <c r="Q229" i="50"/>
  <c r="O229" i="50"/>
  <c r="M229" i="50"/>
  <c r="K229" i="50"/>
  <c r="X228" i="50"/>
  <c r="W228" i="50"/>
  <c r="V228" i="50"/>
  <c r="U228" i="50"/>
  <c r="T228" i="50"/>
  <c r="S228" i="50"/>
  <c r="Q228" i="50"/>
  <c r="O228" i="50"/>
  <c r="M228" i="50"/>
  <c r="K228" i="50"/>
  <c r="X227" i="50"/>
  <c r="W227" i="50"/>
  <c r="V227" i="50"/>
  <c r="U227" i="50"/>
  <c r="T227" i="50"/>
  <c r="S227" i="50"/>
  <c r="Q227" i="50"/>
  <c r="O227" i="50"/>
  <c r="M227" i="50"/>
  <c r="K227" i="50"/>
  <c r="X226" i="50"/>
  <c r="W226" i="50"/>
  <c r="V226" i="50"/>
  <c r="U226" i="50"/>
  <c r="T226" i="50"/>
  <c r="S226" i="50"/>
  <c r="Q226" i="50"/>
  <c r="O226" i="50"/>
  <c r="M226" i="50"/>
  <c r="K226" i="50"/>
  <c r="X225" i="50"/>
  <c r="W225" i="50"/>
  <c r="V225" i="50"/>
  <c r="U225" i="50"/>
  <c r="T225" i="50"/>
  <c r="S225" i="50"/>
  <c r="Q225" i="50"/>
  <c r="O225" i="50"/>
  <c r="M225" i="50"/>
  <c r="K225" i="50"/>
  <c r="X224" i="50"/>
  <c r="W224" i="50"/>
  <c r="V224" i="50"/>
  <c r="U224" i="50"/>
  <c r="T224" i="50"/>
  <c r="S224" i="50"/>
  <c r="Q224" i="50"/>
  <c r="O224" i="50"/>
  <c r="M224" i="50"/>
  <c r="K224" i="50"/>
  <c r="X223" i="50"/>
  <c r="W223" i="50"/>
  <c r="V223" i="50"/>
  <c r="U223" i="50"/>
  <c r="T223" i="50"/>
  <c r="S223" i="50"/>
  <c r="Q223" i="50"/>
  <c r="O223" i="50"/>
  <c r="M223" i="50"/>
  <c r="K223" i="50"/>
  <c r="X222" i="50"/>
  <c r="W222" i="50"/>
  <c r="V222" i="50"/>
  <c r="U222" i="50"/>
  <c r="T222" i="50"/>
  <c r="S222" i="50"/>
  <c r="Q222" i="50"/>
  <c r="O222" i="50"/>
  <c r="M222" i="50"/>
  <c r="K222" i="50"/>
  <c r="X221" i="50"/>
  <c r="W221" i="50"/>
  <c r="V221" i="50"/>
  <c r="U221" i="50"/>
  <c r="T221" i="50"/>
  <c r="S221" i="50"/>
  <c r="Q221" i="50"/>
  <c r="O221" i="50"/>
  <c r="M221" i="50"/>
  <c r="K221" i="50"/>
  <c r="X220" i="50"/>
  <c r="W220" i="50"/>
  <c r="V220" i="50"/>
  <c r="U220" i="50"/>
  <c r="T220" i="50"/>
  <c r="S220" i="50"/>
  <c r="Q220" i="50"/>
  <c r="O220" i="50"/>
  <c r="M220" i="50"/>
  <c r="K220" i="50"/>
  <c r="X219" i="50"/>
  <c r="W219" i="50"/>
  <c r="V219" i="50"/>
  <c r="U219" i="50"/>
  <c r="T219" i="50"/>
  <c r="S219" i="50"/>
  <c r="Q219" i="50"/>
  <c r="O219" i="50"/>
  <c r="M219" i="50"/>
  <c r="K219" i="50"/>
  <c r="X218" i="50"/>
  <c r="W218" i="50"/>
  <c r="V218" i="50"/>
  <c r="U218" i="50"/>
  <c r="T218" i="50"/>
  <c r="S218" i="50"/>
  <c r="Q218" i="50"/>
  <c r="O218" i="50"/>
  <c r="M218" i="50"/>
  <c r="K218" i="50"/>
  <c r="X217" i="50"/>
  <c r="W217" i="50"/>
  <c r="V217" i="50"/>
  <c r="U217" i="50"/>
  <c r="T217" i="50"/>
  <c r="S217" i="50"/>
  <c r="Q217" i="50"/>
  <c r="O217" i="50"/>
  <c r="M217" i="50"/>
  <c r="K217" i="50"/>
  <c r="X216" i="50"/>
  <c r="W216" i="50"/>
  <c r="V216" i="50"/>
  <c r="U216" i="50"/>
  <c r="T216" i="50"/>
  <c r="S216" i="50"/>
  <c r="Q216" i="50"/>
  <c r="O216" i="50"/>
  <c r="M216" i="50"/>
  <c r="K216" i="50"/>
  <c r="X215" i="50"/>
  <c r="W215" i="50"/>
  <c r="V215" i="50"/>
  <c r="U215" i="50"/>
  <c r="T215" i="50"/>
  <c r="S215" i="50"/>
  <c r="Q215" i="50"/>
  <c r="O215" i="50"/>
  <c r="M215" i="50"/>
  <c r="K215" i="50"/>
  <c r="X214" i="50"/>
  <c r="W214" i="50"/>
  <c r="V214" i="50"/>
  <c r="U214" i="50"/>
  <c r="T214" i="50"/>
  <c r="S214" i="50"/>
  <c r="Q214" i="50"/>
  <c r="O214" i="50"/>
  <c r="M214" i="50"/>
  <c r="K214" i="50"/>
  <c r="X213" i="50"/>
  <c r="W213" i="50"/>
  <c r="V213" i="50"/>
  <c r="U213" i="50"/>
  <c r="T213" i="50"/>
  <c r="S213" i="50"/>
  <c r="Q213" i="50"/>
  <c r="O213" i="50"/>
  <c r="M213" i="50"/>
  <c r="K213" i="50"/>
  <c r="X212" i="50"/>
  <c r="W212" i="50"/>
  <c r="V212" i="50"/>
  <c r="U212" i="50"/>
  <c r="T212" i="50"/>
  <c r="S212" i="50"/>
  <c r="Q212" i="50"/>
  <c r="O212" i="50"/>
  <c r="M212" i="50"/>
  <c r="K212" i="50"/>
  <c r="X211" i="50"/>
  <c r="W211" i="50"/>
  <c r="V211" i="50"/>
  <c r="U211" i="50"/>
  <c r="T211" i="50"/>
  <c r="S211" i="50"/>
  <c r="Q211" i="50"/>
  <c r="O211" i="50"/>
  <c r="M211" i="50"/>
  <c r="K211" i="50"/>
  <c r="X210" i="50"/>
  <c r="W210" i="50"/>
  <c r="V210" i="50"/>
  <c r="U210" i="50"/>
  <c r="T210" i="50"/>
  <c r="S210" i="50"/>
  <c r="Q210" i="50"/>
  <c r="O210" i="50"/>
  <c r="M210" i="50"/>
  <c r="K210" i="50"/>
  <c r="X209" i="50"/>
  <c r="W209" i="50"/>
  <c r="V209" i="50"/>
  <c r="U209" i="50"/>
  <c r="T209" i="50"/>
  <c r="S209" i="50"/>
  <c r="Q209" i="50"/>
  <c r="O209" i="50"/>
  <c r="M209" i="50"/>
  <c r="K209" i="50"/>
  <c r="X208" i="50"/>
  <c r="W208" i="50"/>
  <c r="V208" i="50"/>
  <c r="U208" i="50"/>
  <c r="T208" i="50"/>
  <c r="S208" i="50"/>
  <c r="Q208" i="50"/>
  <c r="O208" i="50"/>
  <c r="M208" i="50"/>
  <c r="K208" i="50"/>
  <c r="X207" i="50"/>
  <c r="W207" i="50"/>
  <c r="V207" i="50"/>
  <c r="U207" i="50"/>
  <c r="T207" i="50"/>
  <c r="S207" i="50"/>
  <c r="Q207" i="50"/>
  <c r="O207" i="50"/>
  <c r="M207" i="50"/>
  <c r="K207" i="50"/>
  <c r="X206" i="50"/>
  <c r="W206" i="50"/>
  <c r="V206" i="50"/>
  <c r="U206" i="50"/>
  <c r="T206" i="50"/>
  <c r="S206" i="50"/>
  <c r="Q206" i="50"/>
  <c r="O206" i="50"/>
  <c r="M206" i="50"/>
  <c r="K206" i="50"/>
  <c r="X205" i="50"/>
  <c r="W205" i="50"/>
  <c r="V205" i="50"/>
  <c r="U205" i="50"/>
  <c r="T205" i="50"/>
  <c r="S205" i="50"/>
  <c r="Q205" i="50"/>
  <c r="O205" i="50"/>
  <c r="M205" i="50"/>
  <c r="K205" i="50"/>
  <c r="X204" i="50"/>
  <c r="W204" i="50"/>
  <c r="V204" i="50"/>
  <c r="U204" i="50"/>
  <c r="T204" i="50"/>
  <c r="S204" i="50"/>
  <c r="Q204" i="50"/>
  <c r="O204" i="50"/>
  <c r="M204" i="50"/>
  <c r="K204" i="50"/>
  <c r="X203" i="50"/>
  <c r="W203" i="50"/>
  <c r="V203" i="50"/>
  <c r="U203" i="50"/>
  <c r="T203" i="50"/>
  <c r="S203" i="50"/>
  <c r="Q203" i="50"/>
  <c r="O203" i="50"/>
  <c r="M203" i="50"/>
  <c r="K203" i="50"/>
  <c r="X202" i="50"/>
  <c r="W202" i="50"/>
  <c r="V202" i="50"/>
  <c r="U202" i="50"/>
  <c r="T202" i="50"/>
  <c r="S202" i="50"/>
  <c r="Q202" i="50"/>
  <c r="O202" i="50"/>
  <c r="M202" i="50"/>
  <c r="K202" i="50"/>
  <c r="X201" i="50"/>
  <c r="W201" i="50"/>
  <c r="V201" i="50"/>
  <c r="U201" i="50"/>
  <c r="T201" i="50"/>
  <c r="S201" i="50"/>
  <c r="Q201" i="50"/>
  <c r="O201" i="50"/>
  <c r="M201" i="50"/>
  <c r="K201" i="50"/>
  <c r="X200" i="50"/>
  <c r="W200" i="50"/>
  <c r="V200" i="50"/>
  <c r="U200" i="50"/>
  <c r="T200" i="50"/>
  <c r="S200" i="50"/>
  <c r="Q200" i="50"/>
  <c r="O200" i="50"/>
  <c r="M200" i="50"/>
  <c r="K200" i="50"/>
  <c r="X199" i="50"/>
  <c r="W199" i="50"/>
  <c r="V199" i="50"/>
  <c r="U199" i="50"/>
  <c r="T199" i="50"/>
  <c r="S199" i="50"/>
  <c r="Q199" i="50"/>
  <c r="O199" i="50"/>
  <c r="M199" i="50"/>
  <c r="K199" i="50"/>
  <c r="X198" i="50"/>
  <c r="W198" i="50"/>
  <c r="V198" i="50"/>
  <c r="U198" i="50"/>
  <c r="T198" i="50"/>
  <c r="S198" i="50"/>
  <c r="Q198" i="50"/>
  <c r="O198" i="50"/>
  <c r="M198" i="50"/>
  <c r="K198" i="50"/>
  <c r="X197" i="50"/>
  <c r="W197" i="50"/>
  <c r="V197" i="50"/>
  <c r="U197" i="50"/>
  <c r="T197" i="50"/>
  <c r="S197" i="50"/>
  <c r="Q197" i="50"/>
  <c r="O197" i="50"/>
  <c r="M197" i="50"/>
  <c r="K197" i="50"/>
  <c r="X196" i="50"/>
  <c r="W196" i="50"/>
  <c r="V196" i="50"/>
  <c r="U196" i="50"/>
  <c r="T196" i="50"/>
  <c r="S196" i="50"/>
  <c r="Q196" i="50"/>
  <c r="O196" i="50"/>
  <c r="M196" i="50"/>
  <c r="K196" i="50"/>
  <c r="X195" i="50"/>
  <c r="W195" i="50"/>
  <c r="V195" i="50"/>
  <c r="U195" i="50"/>
  <c r="T195" i="50"/>
  <c r="S195" i="50"/>
  <c r="Q195" i="50"/>
  <c r="O195" i="50"/>
  <c r="M195" i="50"/>
  <c r="K195" i="50"/>
  <c r="X194" i="50"/>
  <c r="W194" i="50"/>
  <c r="V194" i="50"/>
  <c r="U194" i="50"/>
  <c r="T194" i="50"/>
  <c r="S194" i="50"/>
  <c r="Q194" i="50"/>
  <c r="O194" i="50"/>
  <c r="M194" i="50"/>
  <c r="K194" i="50"/>
  <c r="X193" i="50"/>
  <c r="W193" i="50"/>
  <c r="V193" i="50"/>
  <c r="U193" i="50"/>
  <c r="T193" i="50"/>
  <c r="S193" i="50"/>
  <c r="Q193" i="50"/>
  <c r="O193" i="50"/>
  <c r="M193" i="50"/>
  <c r="K193" i="50"/>
  <c r="X192" i="50"/>
  <c r="W192" i="50"/>
  <c r="V192" i="50"/>
  <c r="U192" i="50"/>
  <c r="T192" i="50"/>
  <c r="S192" i="50"/>
  <c r="Q192" i="50"/>
  <c r="O192" i="50"/>
  <c r="M192" i="50"/>
  <c r="K192" i="50"/>
  <c r="X191" i="50"/>
  <c r="W191" i="50"/>
  <c r="V191" i="50"/>
  <c r="U191" i="50"/>
  <c r="T191" i="50"/>
  <c r="S191" i="50"/>
  <c r="Q191" i="50"/>
  <c r="O191" i="50"/>
  <c r="M191" i="50"/>
  <c r="K191" i="50"/>
  <c r="X190" i="50"/>
  <c r="W190" i="50"/>
  <c r="V190" i="50"/>
  <c r="U190" i="50"/>
  <c r="T190" i="50"/>
  <c r="S190" i="50"/>
  <c r="Q190" i="50"/>
  <c r="O190" i="50"/>
  <c r="M190" i="50"/>
  <c r="K190" i="50"/>
  <c r="X189" i="50"/>
  <c r="W189" i="50"/>
  <c r="V189" i="50"/>
  <c r="U189" i="50"/>
  <c r="T189" i="50"/>
  <c r="S189" i="50"/>
  <c r="Q189" i="50"/>
  <c r="O189" i="50"/>
  <c r="M189" i="50"/>
  <c r="K189" i="50"/>
  <c r="X188" i="50"/>
  <c r="W188" i="50"/>
  <c r="V188" i="50"/>
  <c r="U188" i="50"/>
  <c r="T188" i="50"/>
  <c r="S188" i="50"/>
  <c r="Q188" i="50"/>
  <c r="O188" i="50"/>
  <c r="M188" i="50"/>
  <c r="K188" i="50"/>
  <c r="X187" i="50"/>
  <c r="W187" i="50"/>
  <c r="V187" i="50"/>
  <c r="U187" i="50"/>
  <c r="T187" i="50"/>
  <c r="S187" i="50"/>
  <c r="Q187" i="50"/>
  <c r="O187" i="50"/>
  <c r="M187" i="50"/>
  <c r="K187" i="50"/>
  <c r="X186" i="50"/>
  <c r="W186" i="50"/>
  <c r="V186" i="50"/>
  <c r="U186" i="50"/>
  <c r="T186" i="50"/>
  <c r="S186" i="50"/>
  <c r="Q186" i="50"/>
  <c r="O186" i="50"/>
  <c r="M186" i="50"/>
  <c r="K186" i="50"/>
  <c r="X185" i="50"/>
  <c r="W185" i="50"/>
  <c r="V185" i="50"/>
  <c r="U185" i="50"/>
  <c r="T185" i="50"/>
  <c r="S185" i="50"/>
  <c r="Q185" i="50"/>
  <c r="O185" i="50"/>
  <c r="M185" i="50"/>
  <c r="K185" i="50"/>
  <c r="X184" i="50"/>
  <c r="W184" i="50"/>
  <c r="V184" i="50"/>
  <c r="U184" i="50"/>
  <c r="T184" i="50"/>
  <c r="S184" i="50"/>
  <c r="Q184" i="50"/>
  <c r="O184" i="50"/>
  <c r="M184" i="50"/>
  <c r="K184" i="50"/>
  <c r="X183" i="50"/>
  <c r="W183" i="50"/>
  <c r="V183" i="50"/>
  <c r="U183" i="50"/>
  <c r="T183" i="50"/>
  <c r="S183" i="50"/>
  <c r="Q183" i="50"/>
  <c r="O183" i="50"/>
  <c r="M183" i="50"/>
  <c r="K183" i="50"/>
  <c r="X182" i="50"/>
  <c r="W182" i="50"/>
  <c r="V182" i="50"/>
  <c r="U182" i="50"/>
  <c r="T182" i="50"/>
  <c r="S182" i="50"/>
  <c r="Q182" i="50"/>
  <c r="O182" i="50"/>
  <c r="M182" i="50"/>
  <c r="K182" i="50"/>
  <c r="X181" i="50"/>
  <c r="W181" i="50"/>
  <c r="V181" i="50"/>
  <c r="U181" i="50"/>
  <c r="T181" i="50"/>
  <c r="S181" i="50"/>
  <c r="Q181" i="50"/>
  <c r="O181" i="50"/>
  <c r="M181" i="50"/>
  <c r="K181" i="50"/>
  <c r="X180" i="50"/>
  <c r="W180" i="50"/>
  <c r="V180" i="50"/>
  <c r="U180" i="50"/>
  <c r="T180" i="50"/>
  <c r="S180" i="50"/>
  <c r="Q180" i="50"/>
  <c r="O180" i="50"/>
  <c r="M180" i="50"/>
  <c r="K180" i="50"/>
  <c r="X179" i="50"/>
  <c r="W179" i="50"/>
  <c r="V179" i="50"/>
  <c r="U179" i="50"/>
  <c r="T179" i="50"/>
  <c r="S179" i="50"/>
  <c r="Q179" i="50"/>
  <c r="O179" i="50"/>
  <c r="M179" i="50"/>
  <c r="K179" i="50"/>
  <c r="X178" i="50"/>
  <c r="W178" i="50"/>
  <c r="V178" i="50"/>
  <c r="U178" i="50"/>
  <c r="T178" i="50"/>
  <c r="S178" i="50"/>
  <c r="Q178" i="50"/>
  <c r="O178" i="50"/>
  <c r="M178" i="50"/>
  <c r="K178" i="50"/>
  <c r="X177" i="50"/>
  <c r="W177" i="50"/>
  <c r="V177" i="50"/>
  <c r="U177" i="50"/>
  <c r="T177" i="50"/>
  <c r="S177" i="50"/>
  <c r="Q177" i="50"/>
  <c r="O177" i="50"/>
  <c r="M177" i="50"/>
  <c r="K177" i="50"/>
  <c r="X176" i="50"/>
  <c r="W176" i="50"/>
  <c r="V176" i="50"/>
  <c r="U176" i="50"/>
  <c r="T176" i="50"/>
  <c r="S176" i="50"/>
  <c r="Q176" i="50"/>
  <c r="O176" i="50"/>
  <c r="M176" i="50"/>
  <c r="K176" i="50"/>
  <c r="X175" i="50"/>
  <c r="W175" i="50"/>
  <c r="V175" i="50"/>
  <c r="U175" i="50"/>
  <c r="T175" i="50"/>
  <c r="S175" i="50"/>
  <c r="Q175" i="50"/>
  <c r="O175" i="50"/>
  <c r="M175" i="50"/>
  <c r="K175" i="50"/>
  <c r="X174" i="50"/>
  <c r="W174" i="50"/>
  <c r="V174" i="50"/>
  <c r="U174" i="50"/>
  <c r="T174" i="50"/>
  <c r="S174" i="50"/>
  <c r="Q174" i="50"/>
  <c r="O174" i="50"/>
  <c r="M174" i="50"/>
  <c r="K174" i="50"/>
  <c r="X173" i="50"/>
  <c r="W173" i="50"/>
  <c r="V173" i="50"/>
  <c r="U173" i="50"/>
  <c r="T173" i="50"/>
  <c r="S173" i="50"/>
  <c r="Q173" i="50"/>
  <c r="O173" i="50"/>
  <c r="M173" i="50"/>
  <c r="K173" i="50"/>
  <c r="X172" i="50"/>
  <c r="W172" i="50"/>
  <c r="V172" i="50"/>
  <c r="U172" i="50"/>
  <c r="T172" i="50"/>
  <c r="S172" i="50"/>
  <c r="Q172" i="50"/>
  <c r="O172" i="50"/>
  <c r="M172" i="50"/>
  <c r="K172" i="50"/>
  <c r="X171" i="50"/>
  <c r="W171" i="50"/>
  <c r="V171" i="50"/>
  <c r="U171" i="50"/>
  <c r="T171" i="50"/>
  <c r="S171" i="50"/>
  <c r="Q171" i="50"/>
  <c r="O171" i="50"/>
  <c r="M171" i="50"/>
  <c r="K171" i="50"/>
  <c r="X170" i="50"/>
  <c r="W170" i="50"/>
  <c r="V170" i="50"/>
  <c r="U170" i="50"/>
  <c r="T170" i="50"/>
  <c r="S170" i="50"/>
  <c r="Q170" i="50"/>
  <c r="O170" i="50"/>
  <c r="M170" i="50"/>
  <c r="K170" i="50"/>
  <c r="X169" i="50"/>
  <c r="W169" i="50"/>
  <c r="V169" i="50"/>
  <c r="U169" i="50"/>
  <c r="T169" i="50"/>
  <c r="S169" i="50"/>
  <c r="Q169" i="50"/>
  <c r="O169" i="50"/>
  <c r="M169" i="50"/>
  <c r="K169" i="50"/>
  <c r="X168" i="50"/>
  <c r="W168" i="50"/>
  <c r="V168" i="50"/>
  <c r="U168" i="50"/>
  <c r="T168" i="50"/>
  <c r="S168" i="50"/>
  <c r="Q168" i="50"/>
  <c r="O168" i="50"/>
  <c r="M168" i="50"/>
  <c r="K168" i="50"/>
  <c r="X167" i="50"/>
  <c r="W167" i="50"/>
  <c r="V167" i="50"/>
  <c r="U167" i="50"/>
  <c r="T167" i="50"/>
  <c r="S167" i="50"/>
  <c r="Q167" i="50"/>
  <c r="O167" i="50"/>
  <c r="M167" i="50"/>
  <c r="K167" i="50"/>
  <c r="X166" i="50"/>
  <c r="W166" i="50"/>
  <c r="V166" i="50"/>
  <c r="U166" i="50"/>
  <c r="T166" i="50"/>
  <c r="S166" i="50"/>
  <c r="Q166" i="50"/>
  <c r="O166" i="50"/>
  <c r="M166" i="50"/>
  <c r="K166" i="50"/>
  <c r="X165" i="50"/>
  <c r="W165" i="50"/>
  <c r="V165" i="50"/>
  <c r="U165" i="50"/>
  <c r="T165" i="50"/>
  <c r="S165" i="50"/>
  <c r="Q165" i="50"/>
  <c r="O165" i="50"/>
  <c r="M165" i="50"/>
  <c r="K165" i="50"/>
  <c r="X164" i="50"/>
  <c r="W164" i="50"/>
  <c r="V164" i="50"/>
  <c r="U164" i="50"/>
  <c r="T164" i="50"/>
  <c r="S164" i="50"/>
  <c r="Q164" i="50"/>
  <c r="O164" i="50"/>
  <c r="M164" i="50"/>
  <c r="K164" i="50"/>
  <c r="X163" i="50"/>
  <c r="W163" i="50"/>
  <c r="V163" i="50"/>
  <c r="U163" i="50"/>
  <c r="T163" i="50"/>
  <c r="S163" i="50"/>
  <c r="Q163" i="50"/>
  <c r="O163" i="50"/>
  <c r="M163" i="50"/>
  <c r="K163" i="50"/>
  <c r="X162" i="50"/>
  <c r="W162" i="50"/>
  <c r="V162" i="50"/>
  <c r="U162" i="50"/>
  <c r="T162" i="50"/>
  <c r="S162" i="50"/>
  <c r="Q162" i="50"/>
  <c r="O162" i="50"/>
  <c r="M162" i="50"/>
  <c r="K162" i="50"/>
  <c r="X161" i="50"/>
  <c r="W161" i="50"/>
  <c r="V161" i="50"/>
  <c r="U161" i="50"/>
  <c r="T161" i="50"/>
  <c r="S161" i="50"/>
  <c r="Q161" i="50"/>
  <c r="O161" i="50"/>
  <c r="M161" i="50"/>
  <c r="K161" i="50"/>
  <c r="X160" i="50"/>
  <c r="W160" i="50"/>
  <c r="V160" i="50"/>
  <c r="U160" i="50"/>
  <c r="T160" i="50"/>
  <c r="S160" i="50"/>
  <c r="Q160" i="50"/>
  <c r="O160" i="50"/>
  <c r="M160" i="50"/>
  <c r="K160" i="50"/>
  <c r="X159" i="50"/>
  <c r="W159" i="50"/>
  <c r="V159" i="50"/>
  <c r="U159" i="50"/>
  <c r="T159" i="50"/>
  <c r="S159" i="50"/>
  <c r="Q159" i="50"/>
  <c r="O159" i="50"/>
  <c r="M159" i="50"/>
  <c r="K159" i="50"/>
  <c r="X158" i="50"/>
  <c r="W158" i="50"/>
  <c r="V158" i="50"/>
  <c r="U158" i="50"/>
  <c r="T158" i="50"/>
  <c r="S158" i="50"/>
  <c r="Q158" i="50"/>
  <c r="O158" i="50"/>
  <c r="M158" i="50"/>
  <c r="K158" i="50"/>
  <c r="X157" i="50"/>
  <c r="W157" i="50"/>
  <c r="V157" i="50"/>
  <c r="U157" i="50"/>
  <c r="T157" i="50"/>
  <c r="S157" i="50"/>
  <c r="Q157" i="50"/>
  <c r="O157" i="50"/>
  <c r="M157" i="50"/>
  <c r="K157" i="50"/>
  <c r="X156" i="50"/>
  <c r="W156" i="50"/>
  <c r="V156" i="50"/>
  <c r="U156" i="50"/>
  <c r="T156" i="50"/>
  <c r="S156" i="50"/>
  <c r="Q156" i="50"/>
  <c r="O156" i="50"/>
  <c r="M156" i="50"/>
  <c r="K156" i="50"/>
  <c r="X155" i="50"/>
  <c r="W155" i="50"/>
  <c r="V155" i="50"/>
  <c r="U155" i="50"/>
  <c r="T155" i="50"/>
  <c r="S155" i="50"/>
  <c r="Q155" i="50"/>
  <c r="O155" i="50"/>
  <c r="M155" i="50"/>
  <c r="K155" i="50"/>
  <c r="X154" i="50"/>
  <c r="W154" i="50"/>
  <c r="V154" i="50"/>
  <c r="U154" i="50"/>
  <c r="T154" i="50"/>
  <c r="S154" i="50"/>
  <c r="Q154" i="50"/>
  <c r="O154" i="50"/>
  <c r="M154" i="50"/>
  <c r="K154" i="50"/>
  <c r="X153" i="50"/>
  <c r="W153" i="50"/>
  <c r="V153" i="50"/>
  <c r="U153" i="50"/>
  <c r="T153" i="50"/>
  <c r="S153" i="50"/>
  <c r="Q153" i="50"/>
  <c r="O153" i="50"/>
  <c r="M153" i="50"/>
  <c r="K153" i="50"/>
  <c r="X152" i="50"/>
  <c r="W152" i="50"/>
  <c r="V152" i="50"/>
  <c r="U152" i="50"/>
  <c r="T152" i="50"/>
  <c r="S152" i="50"/>
  <c r="Q152" i="50"/>
  <c r="O152" i="50"/>
  <c r="M152" i="50"/>
  <c r="K152" i="50"/>
  <c r="X151" i="50"/>
  <c r="W151" i="50"/>
  <c r="V151" i="50"/>
  <c r="U151" i="50"/>
  <c r="T151" i="50"/>
  <c r="S151" i="50"/>
  <c r="Q151" i="50"/>
  <c r="O151" i="50"/>
  <c r="M151" i="50"/>
  <c r="K151" i="50"/>
  <c r="X150" i="50"/>
  <c r="W150" i="50"/>
  <c r="V150" i="50"/>
  <c r="U150" i="50"/>
  <c r="T150" i="50"/>
  <c r="S150" i="50"/>
  <c r="Q150" i="50"/>
  <c r="O150" i="50"/>
  <c r="M150" i="50"/>
  <c r="K150" i="50"/>
  <c r="X149" i="50"/>
  <c r="W149" i="50"/>
  <c r="V149" i="50"/>
  <c r="U149" i="50"/>
  <c r="T149" i="50"/>
  <c r="S149" i="50"/>
  <c r="Q149" i="50"/>
  <c r="O149" i="50"/>
  <c r="M149" i="50"/>
  <c r="K149" i="50"/>
  <c r="X148" i="50"/>
  <c r="W148" i="50"/>
  <c r="V148" i="50"/>
  <c r="U148" i="50"/>
  <c r="T148" i="50"/>
  <c r="S148" i="50"/>
  <c r="Q148" i="50"/>
  <c r="O148" i="50"/>
  <c r="M148" i="50"/>
  <c r="K148" i="50"/>
  <c r="X147" i="50"/>
  <c r="W147" i="50"/>
  <c r="V147" i="50"/>
  <c r="U147" i="50"/>
  <c r="T147" i="50"/>
  <c r="S147" i="50"/>
  <c r="Q147" i="50"/>
  <c r="O147" i="50"/>
  <c r="M147" i="50"/>
  <c r="K147" i="50"/>
  <c r="X146" i="50"/>
  <c r="W146" i="50"/>
  <c r="V146" i="50"/>
  <c r="U146" i="50"/>
  <c r="T146" i="50"/>
  <c r="S146" i="50"/>
  <c r="Q146" i="50"/>
  <c r="O146" i="50"/>
  <c r="M146" i="50"/>
  <c r="K146" i="50"/>
  <c r="X145" i="50"/>
  <c r="W145" i="50"/>
  <c r="V145" i="50"/>
  <c r="U145" i="50"/>
  <c r="T145" i="50"/>
  <c r="S145" i="50"/>
  <c r="Q145" i="50"/>
  <c r="O145" i="50"/>
  <c r="M145" i="50"/>
  <c r="K145" i="50"/>
  <c r="X144" i="50"/>
  <c r="W144" i="50"/>
  <c r="V144" i="50"/>
  <c r="U144" i="50"/>
  <c r="T144" i="50"/>
  <c r="S144" i="50"/>
  <c r="Q144" i="50"/>
  <c r="O144" i="50"/>
  <c r="M144" i="50"/>
  <c r="K144" i="50"/>
  <c r="X143" i="50"/>
  <c r="W143" i="50"/>
  <c r="V143" i="50"/>
  <c r="U143" i="50"/>
  <c r="T143" i="50"/>
  <c r="S143" i="50"/>
  <c r="Q143" i="50"/>
  <c r="O143" i="50"/>
  <c r="M143" i="50"/>
  <c r="K143" i="50"/>
  <c r="X142" i="50"/>
  <c r="W142" i="50"/>
  <c r="V142" i="50"/>
  <c r="U142" i="50"/>
  <c r="T142" i="50"/>
  <c r="S142" i="50"/>
  <c r="Q142" i="50"/>
  <c r="O142" i="50"/>
  <c r="M142" i="50"/>
  <c r="K142" i="50"/>
  <c r="X141" i="50"/>
  <c r="W141" i="50"/>
  <c r="V141" i="50"/>
  <c r="U141" i="50"/>
  <c r="T141" i="50"/>
  <c r="S141" i="50"/>
  <c r="Q141" i="50"/>
  <c r="O141" i="50"/>
  <c r="M141" i="50"/>
  <c r="K141" i="50"/>
  <c r="X140" i="50"/>
  <c r="W140" i="50"/>
  <c r="V140" i="50"/>
  <c r="U140" i="50"/>
  <c r="T140" i="50"/>
  <c r="S140" i="50"/>
  <c r="Q140" i="50"/>
  <c r="O140" i="50"/>
  <c r="M140" i="50"/>
  <c r="K140" i="50"/>
  <c r="X139" i="50"/>
  <c r="W139" i="50"/>
  <c r="V139" i="50"/>
  <c r="U139" i="50"/>
  <c r="T139" i="50"/>
  <c r="S139" i="50"/>
  <c r="Q139" i="50"/>
  <c r="O139" i="50"/>
  <c r="M139" i="50"/>
  <c r="K139" i="50"/>
  <c r="X138" i="50"/>
  <c r="W138" i="50"/>
  <c r="V138" i="50"/>
  <c r="U138" i="50"/>
  <c r="T138" i="50"/>
  <c r="S138" i="50"/>
  <c r="Q138" i="50"/>
  <c r="O138" i="50"/>
  <c r="M138" i="50"/>
  <c r="K138" i="50"/>
  <c r="X137" i="50"/>
  <c r="W137" i="50"/>
  <c r="V137" i="50"/>
  <c r="U137" i="50"/>
  <c r="T137" i="50"/>
  <c r="S137" i="50"/>
  <c r="Q137" i="50"/>
  <c r="O137" i="50"/>
  <c r="M137" i="50"/>
  <c r="K137" i="50"/>
  <c r="X136" i="50"/>
  <c r="W136" i="50"/>
  <c r="V136" i="50"/>
  <c r="U136" i="50"/>
  <c r="T136" i="50"/>
  <c r="S136" i="50"/>
  <c r="Q136" i="50"/>
  <c r="O136" i="50"/>
  <c r="M136" i="50"/>
  <c r="K136" i="50"/>
  <c r="X135" i="50"/>
  <c r="W135" i="50"/>
  <c r="V135" i="50"/>
  <c r="U135" i="50"/>
  <c r="T135" i="50"/>
  <c r="S135" i="50"/>
  <c r="Q135" i="50"/>
  <c r="O135" i="50"/>
  <c r="M135" i="50"/>
  <c r="K135" i="50"/>
  <c r="X134" i="50"/>
  <c r="W134" i="50"/>
  <c r="V134" i="50"/>
  <c r="U134" i="50"/>
  <c r="T134" i="50"/>
  <c r="S134" i="50"/>
  <c r="Q134" i="50"/>
  <c r="O134" i="50"/>
  <c r="M134" i="50"/>
  <c r="K134" i="50"/>
  <c r="X133" i="50"/>
  <c r="W133" i="50"/>
  <c r="V133" i="50"/>
  <c r="U133" i="50"/>
  <c r="T133" i="50"/>
  <c r="S133" i="50"/>
  <c r="Q133" i="50"/>
  <c r="O133" i="50"/>
  <c r="M133" i="50"/>
  <c r="K133" i="50"/>
  <c r="X132" i="50"/>
  <c r="W132" i="50"/>
  <c r="V132" i="50"/>
  <c r="U132" i="50"/>
  <c r="T132" i="50"/>
  <c r="S132" i="50"/>
  <c r="Q132" i="50"/>
  <c r="O132" i="50"/>
  <c r="M132" i="50"/>
  <c r="K132" i="50"/>
  <c r="X131" i="50"/>
  <c r="W131" i="50"/>
  <c r="V131" i="50"/>
  <c r="U131" i="50"/>
  <c r="T131" i="50"/>
  <c r="S131" i="50"/>
  <c r="Q131" i="50"/>
  <c r="O131" i="50"/>
  <c r="M131" i="50"/>
  <c r="K131" i="50"/>
  <c r="X130" i="50"/>
  <c r="W130" i="50"/>
  <c r="V130" i="50"/>
  <c r="U130" i="50"/>
  <c r="T130" i="50"/>
  <c r="S130" i="50"/>
  <c r="Q130" i="50"/>
  <c r="O130" i="50"/>
  <c r="M130" i="50"/>
  <c r="K130" i="50"/>
  <c r="X129" i="50"/>
  <c r="W129" i="50"/>
  <c r="V129" i="50"/>
  <c r="U129" i="50"/>
  <c r="T129" i="50"/>
  <c r="S129" i="50"/>
  <c r="Q129" i="50"/>
  <c r="O129" i="50"/>
  <c r="M129" i="50"/>
  <c r="K129" i="50"/>
  <c r="X128" i="50"/>
  <c r="W128" i="50"/>
  <c r="V128" i="50"/>
  <c r="U128" i="50"/>
  <c r="T128" i="50"/>
  <c r="S128" i="50"/>
  <c r="Q128" i="50"/>
  <c r="O128" i="50"/>
  <c r="M128" i="50"/>
  <c r="K128" i="50"/>
  <c r="X127" i="50"/>
  <c r="W127" i="50"/>
  <c r="V127" i="50"/>
  <c r="U127" i="50"/>
  <c r="T127" i="50"/>
  <c r="S127" i="50"/>
  <c r="Q127" i="50"/>
  <c r="O127" i="50"/>
  <c r="M127" i="50"/>
  <c r="K127" i="50"/>
  <c r="X126" i="50"/>
  <c r="W126" i="50"/>
  <c r="V126" i="50"/>
  <c r="U126" i="50"/>
  <c r="T126" i="50"/>
  <c r="S126" i="50"/>
  <c r="Q126" i="50"/>
  <c r="O126" i="50"/>
  <c r="M126" i="50"/>
  <c r="K126" i="50"/>
  <c r="X125" i="50"/>
  <c r="W125" i="50"/>
  <c r="V125" i="50"/>
  <c r="U125" i="50"/>
  <c r="T125" i="50"/>
  <c r="S125" i="50"/>
  <c r="Q125" i="50"/>
  <c r="O125" i="50"/>
  <c r="M125" i="50"/>
  <c r="K125" i="50"/>
  <c r="X124" i="50"/>
  <c r="W124" i="50"/>
  <c r="V124" i="50"/>
  <c r="U124" i="50"/>
  <c r="T124" i="50"/>
  <c r="S124" i="50"/>
  <c r="Q124" i="50"/>
  <c r="O124" i="50"/>
  <c r="M124" i="50"/>
  <c r="K124" i="50"/>
  <c r="X123" i="50"/>
  <c r="W123" i="50"/>
  <c r="V123" i="50"/>
  <c r="U123" i="50"/>
  <c r="T123" i="50"/>
  <c r="S123" i="50"/>
  <c r="Q123" i="50"/>
  <c r="O123" i="50"/>
  <c r="M123" i="50"/>
  <c r="K123" i="50"/>
  <c r="X122" i="50"/>
  <c r="W122" i="50"/>
  <c r="V122" i="50"/>
  <c r="U122" i="50"/>
  <c r="T122" i="50"/>
  <c r="S122" i="50"/>
  <c r="Q122" i="50"/>
  <c r="O122" i="50"/>
  <c r="M122" i="50"/>
  <c r="K122" i="50"/>
  <c r="X121" i="50"/>
  <c r="W121" i="50"/>
  <c r="V121" i="50"/>
  <c r="U121" i="50"/>
  <c r="T121" i="50"/>
  <c r="S121" i="50"/>
  <c r="Q121" i="50"/>
  <c r="O121" i="50"/>
  <c r="M121" i="50"/>
  <c r="K121" i="50"/>
  <c r="X120" i="50"/>
  <c r="W120" i="50"/>
  <c r="V120" i="50"/>
  <c r="U120" i="50"/>
  <c r="T120" i="50"/>
  <c r="S120" i="50"/>
  <c r="Q120" i="50"/>
  <c r="O120" i="50"/>
  <c r="M120" i="50"/>
  <c r="K120" i="50"/>
  <c r="X119" i="50"/>
  <c r="W119" i="50"/>
  <c r="V119" i="50"/>
  <c r="U119" i="50"/>
  <c r="T119" i="50"/>
  <c r="S119" i="50"/>
  <c r="Q119" i="50"/>
  <c r="O119" i="50"/>
  <c r="M119" i="50"/>
  <c r="K119" i="50"/>
  <c r="X118" i="50"/>
  <c r="W118" i="50"/>
  <c r="V118" i="50"/>
  <c r="U118" i="50"/>
  <c r="T118" i="50"/>
  <c r="S118" i="50"/>
  <c r="Q118" i="50"/>
  <c r="O118" i="50"/>
  <c r="M118" i="50"/>
  <c r="K118" i="50"/>
  <c r="X117" i="50"/>
  <c r="W117" i="50"/>
  <c r="V117" i="50"/>
  <c r="U117" i="50"/>
  <c r="T117" i="50"/>
  <c r="S117" i="50"/>
  <c r="Q117" i="50"/>
  <c r="O117" i="50"/>
  <c r="M117" i="50"/>
  <c r="K117" i="50"/>
  <c r="X116" i="50"/>
  <c r="W116" i="50"/>
  <c r="V116" i="50"/>
  <c r="U116" i="50"/>
  <c r="T116" i="50"/>
  <c r="S116" i="50"/>
  <c r="Q116" i="50"/>
  <c r="O116" i="50"/>
  <c r="M116" i="50"/>
  <c r="K116" i="50"/>
  <c r="X115" i="50"/>
  <c r="W115" i="50"/>
  <c r="V115" i="50"/>
  <c r="U115" i="50"/>
  <c r="T115" i="50"/>
  <c r="S115" i="50"/>
  <c r="Q115" i="50"/>
  <c r="O115" i="50"/>
  <c r="M115" i="50"/>
  <c r="K115" i="50"/>
  <c r="X114" i="50"/>
  <c r="W114" i="50"/>
  <c r="V114" i="50"/>
  <c r="U114" i="50"/>
  <c r="T114" i="50"/>
  <c r="S114" i="50"/>
  <c r="Q114" i="50"/>
  <c r="O114" i="50"/>
  <c r="M114" i="50"/>
  <c r="K114" i="50"/>
  <c r="X113" i="50"/>
  <c r="W113" i="50"/>
  <c r="V113" i="50"/>
  <c r="U113" i="50"/>
  <c r="T113" i="50"/>
  <c r="S113" i="50"/>
  <c r="Q113" i="50"/>
  <c r="O113" i="50"/>
  <c r="M113" i="50"/>
  <c r="K113" i="50"/>
  <c r="X112" i="50"/>
  <c r="W112" i="50"/>
  <c r="V112" i="50"/>
  <c r="U112" i="50"/>
  <c r="T112" i="50"/>
  <c r="S112" i="50"/>
  <c r="Q112" i="50"/>
  <c r="O112" i="50"/>
  <c r="M112" i="50"/>
  <c r="K112" i="50"/>
  <c r="X111" i="50"/>
  <c r="W111" i="50"/>
  <c r="V111" i="50"/>
  <c r="U111" i="50"/>
  <c r="T111" i="50"/>
  <c r="S111" i="50"/>
  <c r="Q111" i="50"/>
  <c r="O111" i="50"/>
  <c r="M111" i="50"/>
  <c r="K111" i="50"/>
  <c r="X110" i="50"/>
  <c r="W110" i="50"/>
  <c r="V110" i="50"/>
  <c r="U110" i="50"/>
  <c r="T110" i="50"/>
  <c r="S110" i="50"/>
  <c r="Q110" i="50"/>
  <c r="O110" i="50"/>
  <c r="M110" i="50"/>
  <c r="K110" i="50"/>
  <c r="X109" i="50"/>
  <c r="W109" i="50"/>
  <c r="V109" i="50"/>
  <c r="U109" i="50"/>
  <c r="T109" i="50"/>
  <c r="S109" i="50"/>
  <c r="Q109" i="50"/>
  <c r="O109" i="50"/>
  <c r="M109" i="50"/>
  <c r="K109" i="50"/>
  <c r="X108" i="50"/>
  <c r="W108" i="50"/>
  <c r="V108" i="50"/>
  <c r="U108" i="50"/>
  <c r="T108" i="50"/>
  <c r="S108" i="50"/>
  <c r="Q108" i="50"/>
  <c r="O108" i="50"/>
  <c r="M108" i="50"/>
  <c r="K108" i="50"/>
  <c r="X107" i="50"/>
  <c r="W107" i="50"/>
  <c r="V107" i="50"/>
  <c r="U107" i="50"/>
  <c r="T107" i="50"/>
  <c r="S107" i="50"/>
  <c r="Q107" i="50"/>
  <c r="O107" i="50"/>
  <c r="M107" i="50"/>
  <c r="K107" i="50"/>
  <c r="X106" i="50"/>
  <c r="W106" i="50"/>
  <c r="V106" i="50"/>
  <c r="U106" i="50"/>
  <c r="T106" i="50"/>
  <c r="S106" i="50"/>
  <c r="Q106" i="50"/>
  <c r="O106" i="50"/>
  <c r="M106" i="50"/>
  <c r="K106" i="50"/>
  <c r="X105" i="50"/>
  <c r="W105" i="50"/>
  <c r="V105" i="50"/>
  <c r="U105" i="50"/>
  <c r="T105" i="50"/>
  <c r="S105" i="50"/>
  <c r="Q105" i="50"/>
  <c r="O105" i="50"/>
  <c r="M105" i="50"/>
  <c r="K105" i="50"/>
  <c r="X104" i="50"/>
  <c r="W104" i="50"/>
  <c r="V104" i="50"/>
  <c r="U104" i="50"/>
  <c r="T104" i="50"/>
  <c r="S104" i="50"/>
  <c r="Q104" i="50"/>
  <c r="O104" i="50"/>
  <c r="M104" i="50"/>
  <c r="K104" i="50"/>
  <c r="X103" i="50"/>
  <c r="W103" i="50"/>
  <c r="V103" i="50"/>
  <c r="U103" i="50"/>
  <c r="T103" i="50"/>
  <c r="S103" i="50"/>
  <c r="Q103" i="50"/>
  <c r="O103" i="50"/>
  <c r="M103" i="50"/>
  <c r="K103" i="50"/>
  <c r="X102" i="50"/>
  <c r="W102" i="50"/>
  <c r="V102" i="50"/>
  <c r="U102" i="50"/>
  <c r="T102" i="50"/>
  <c r="S102" i="50"/>
  <c r="Q102" i="50"/>
  <c r="O102" i="50"/>
  <c r="M102" i="50"/>
  <c r="K102" i="50"/>
  <c r="X101" i="50"/>
  <c r="W101" i="50"/>
  <c r="V101" i="50"/>
  <c r="U101" i="50"/>
  <c r="T101" i="50"/>
  <c r="S101" i="50"/>
  <c r="Q101" i="50"/>
  <c r="O101" i="50"/>
  <c r="M101" i="50"/>
  <c r="K101" i="50"/>
  <c r="X100" i="50"/>
  <c r="W100" i="50"/>
  <c r="V100" i="50"/>
  <c r="U100" i="50"/>
  <c r="T100" i="50"/>
  <c r="S100" i="50"/>
  <c r="Q100" i="50"/>
  <c r="O100" i="50"/>
  <c r="M100" i="50"/>
  <c r="K100" i="50"/>
  <c r="X99" i="50"/>
  <c r="W99" i="50"/>
  <c r="V99" i="50"/>
  <c r="U99" i="50"/>
  <c r="T99" i="50"/>
  <c r="S99" i="50"/>
  <c r="Q99" i="50"/>
  <c r="O99" i="50"/>
  <c r="M99" i="50"/>
  <c r="K99" i="50"/>
  <c r="X98" i="50"/>
  <c r="W98" i="50"/>
  <c r="V98" i="50"/>
  <c r="U98" i="50"/>
  <c r="T98" i="50"/>
  <c r="S98" i="50"/>
  <c r="Q98" i="50"/>
  <c r="O98" i="50"/>
  <c r="M98" i="50"/>
  <c r="K98" i="50"/>
  <c r="X97" i="50"/>
  <c r="W97" i="50"/>
  <c r="V97" i="50"/>
  <c r="U97" i="50"/>
  <c r="T97" i="50"/>
  <c r="S97" i="50"/>
  <c r="Q97" i="50"/>
  <c r="O97" i="50"/>
  <c r="M97" i="50"/>
  <c r="K97" i="50"/>
  <c r="X96" i="50"/>
  <c r="W96" i="50"/>
  <c r="V96" i="50"/>
  <c r="U96" i="50"/>
  <c r="T96" i="50"/>
  <c r="S96" i="50"/>
  <c r="Q96" i="50"/>
  <c r="O96" i="50"/>
  <c r="M96" i="50"/>
  <c r="K96" i="50"/>
  <c r="X95" i="50"/>
  <c r="W95" i="50"/>
  <c r="V95" i="50"/>
  <c r="U95" i="50"/>
  <c r="T95" i="50"/>
  <c r="S95" i="50"/>
  <c r="Q95" i="50"/>
  <c r="O95" i="50"/>
  <c r="M95" i="50"/>
  <c r="K95" i="50"/>
  <c r="X94" i="50"/>
  <c r="W94" i="50"/>
  <c r="V94" i="50"/>
  <c r="U94" i="50"/>
  <c r="T94" i="50"/>
  <c r="S94" i="50"/>
  <c r="Q94" i="50"/>
  <c r="O94" i="50"/>
  <c r="M94" i="50"/>
  <c r="K94" i="50"/>
  <c r="X93" i="50"/>
  <c r="W93" i="50"/>
  <c r="V93" i="50"/>
  <c r="U93" i="50"/>
  <c r="T93" i="50"/>
  <c r="S93" i="50"/>
  <c r="Q93" i="50"/>
  <c r="O93" i="50"/>
  <c r="M93" i="50"/>
  <c r="K93" i="50"/>
  <c r="X92" i="50"/>
  <c r="W92" i="50"/>
  <c r="V92" i="50"/>
  <c r="U92" i="50"/>
  <c r="T92" i="50"/>
  <c r="S92" i="50"/>
  <c r="Q92" i="50"/>
  <c r="O92" i="50"/>
  <c r="M92" i="50"/>
  <c r="K92" i="50"/>
  <c r="X91" i="50"/>
  <c r="W91" i="50"/>
  <c r="V91" i="50"/>
  <c r="U91" i="50"/>
  <c r="T91" i="50"/>
  <c r="S91" i="50"/>
  <c r="Q91" i="50"/>
  <c r="O91" i="50"/>
  <c r="M91" i="50"/>
  <c r="K91" i="50"/>
  <c r="X90" i="50"/>
  <c r="W90" i="50"/>
  <c r="V90" i="50"/>
  <c r="U90" i="50"/>
  <c r="T90" i="50"/>
  <c r="S90" i="50"/>
  <c r="Q90" i="50"/>
  <c r="O90" i="50"/>
  <c r="M90" i="50"/>
  <c r="K90" i="50"/>
  <c r="X89" i="50"/>
  <c r="W89" i="50"/>
  <c r="V89" i="50"/>
  <c r="U89" i="50"/>
  <c r="T89" i="50"/>
  <c r="S89" i="50"/>
  <c r="Q89" i="50"/>
  <c r="O89" i="50"/>
  <c r="M89" i="50"/>
  <c r="K89" i="50"/>
  <c r="X88" i="50"/>
  <c r="W88" i="50"/>
  <c r="V88" i="50"/>
  <c r="U88" i="50"/>
  <c r="T88" i="50"/>
  <c r="S88" i="50"/>
  <c r="Q88" i="50"/>
  <c r="O88" i="50"/>
  <c r="M88" i="50"/>
  <c r="K88" i="50"/>
  <c r="X87" i="50"/>
  <c r="W87" i="50"/>
  <c r="V87" i="50"/>
  <c r="U87" i="50"/>
  <c r="T87" i="50"/>
  <c r="S87" i="50"/>
  <c r="Q87" i="50"/>
  <c r="O87" i="50"/>
  <c r="M87" i="50"/>
  <c r="K87" i="50"/>
  <c r="X86" i="50"/>
  <c r="W86" i="50"/>
  <c r="V86" i="50"/>
  <c r="U86" i="50"/>
  <c r="T86" i="50"/>
  <c r="S86" i="50"/>
  <c r="Q86" i="50"/>
  <c r="O86" i="50"/>
  <c r="M86" i="50"/>
  <c r="K86" i="50"/>
  <c r="X85" i="50"/>
  <c r="W85" i="50"/>
  <c r="V85" i="50"/>
  <c r="U85" i="50"/>
  <c r="T85" i="50"/>
  <c r="S85" i="50"/>
  <c r="Q85" i="50"/>
  <c r="O85" i="50"/>
  <c r="M85" i="50"/>
  <c r="K85" i="50"/>
  <c r="X84" i="50"/>
  <c r="W84" i="50"/>
  <c r="V84" i="50"/>
  <c r="U84" i="50"/>
  <c r="T84" i="50"/>
  <c r="S84" i="50"/>
  <c r="Q84" i="50"/>
  <c r="O84" i="50"/>
  <c r="M84" i="50"/>
  <c r="K84" i="50"/>
  <c r="X83" i="50"/>
  <c r="W83" i="50"/>
  <c r="V83" i="50"/>
  <c r="U83" i="50"/>
  <c r="T83" i="50"/>
  <c r="S83" i="50"/>
  <c r="Q83" i="50"/>
  <c r="O83" i="50"/>
  <c r="M83" i="50"/>
  <c r="K83" i="50"/>
  <c r="X82" i="50"/>
  <c r="W82" i="50"/>
  <c r="V82" i="50"/>
  <c r="U82" i="50"/>
  <c r="T82" i="50"/>
  <c r="S82" i="50"/>
  <c r="Q82" i="50"/>
  <c r="O82" i="50"/>
  <c r="M82" i="50"/>
  <c r="K82" i="50"/>
  <c r="X81" i="50"/>
  <c r="W81" i="50"/>
  <c r="V81" i="50"/>
  <c r="U81" i="50"/>
  <c r="T81" i="50"/>
  <c r="S81" i="50"/>
  <c r="Q81" i="50"/>
  <c r="O81" i="50"/>
  <c r="M81" i="50"/>
  <c r="K81" i="50"/>
  <c r="X80" i="50"/>
  <c r="W80" i="50"/>
  <c r="V80" i="50"/>
  <c r="U80" i="50"/>
  <c r="T80" i="50"/>
  <c r="S80" i="50"/>
  <c r="Q80" i="50"/>
  <c r="O80" i="50"/>
  <c r="M80" i="50"/>
  <c r="K80" i="50"/>
  <c r="X79" i="50"/>
  <c r="W79" i="50"/>
  <c r="V79" i="50"/>
  <c r="U79" i="50"/>
  <c r="T79" i="50"/>
  <c r="S79" i="50"/>
  <c r="Q79" i="50"/>
  <c r="O79" i="50"/>
  <c r="M79" i="50"/>
  <c r="K79" i="50"/>
  <c r="X78" i="50"/>
  <c r="W78" i="50"/>
  <c r="V78" i="50"/>
  <c r="U78" i="50"/>
  <c r="T78" i="50"/>
  <c r="S78" i="50"/>
  <c r="Q78" i="50"/>
  <c r="O78" i="50"/>
  <c r="M78" i="50"/>
  <c r="K78" i="50"/>
  <c r="X77" i="50"/>
  <c r="W77" i="50"/>
  <c r="V77" i="50"/>
  <c r="U77" i="50"/>
  <c r="T77" i="50"/>
  <c r="S77" i="50"/>
  <c r="Q77" i="50"/>
  <c r="O77" i="50"/>
  <c r="M77" i="50"/>
  <c r="K77" i="50"/>
  <c r="X76" i="50"/>
  <c r="W76" i="50"/>
  <c r="V76" i="50"/>
  <c r="U76" i="50"/>
  <c r="T76" i="50"/>
  <c r="S76" i="50"/>
  <c r="Q76" i="50"/>
  <c r="O76" i="50"/>
  <c r="M76" i="50"/>
  <c r="K76" i="50"/>
  <c r="X75" i="50"/>
  <c r="W75" i="50"/>
  <c r="V75" i="50"/>
  <c r="U75" i="50"/>
  <c r="T75" i="50"/>
  <c r="S75" i="50"/>
  <c r="Q75" i="50"/>
  <c r="O75" i="50"/>
  <c r="M75" i="50"/>
  <c r="K75" i="50"/>
  <c r="X74" i="50"/>
  <c r="W74" i="50"/>
  <c r="V74" i="50"/>
  <c r="U74" i="50"/>
  <c r="T74" i="50"/>
  <c r="S74" i="50"/>
  <c r="Q74" i="50"/>
  <c r="O74" i="50"/>
  <c r="M74" i="50"/>
  <c r="K74" i="50"/>
  <c r="X73" i="50"/>
  <c r="W73" i="50"/>
  <c r="V73" i="50"/>
  <c r="U73" i="50"/>
  <c r="T73" i="50"/>
  <c r="S73" i="50"/>
  <c r="Q73" i="50"/>
  <c r="O73" i="50"/>
  <c r="M73" i="50"/>
  <c r="K73" i="50"/>
  <c r="X72" i="50"/>
  <c r="W72" i="50"/>
  <c r="V72" i="50"/>
  <c r="U72" i="50"/>
  <c r="T72" i="50"/>
  <c r="S72" i="50"/>
  <c r="Q72" i="50"/>
  <c r="O72" i="50"/>
  <c r="M72" i="50"/>
  <c r="K72" i="50"/>
  <c r="X71" i="50"/>
  <c r="W71" i="50"/>
  <c r="V71" i="50"/>
  <c r="U71" i="50"/>
  <c r="T71" i="50"/>
  <c r="S71" i="50"/>
  <c r="Q71" i="50"/>
  <c r="O71" i="50"/>
  <c r="M71" i="50"/>
  <c r="K71" i="50"/>
  <c r="X70" i="50"/>
  <c r="W70" i="50"/>
  <c r="V70" i="50"/>
  <c r="U70" i="50"/>
  <c r="T70" i="50"/>
  <c r="S70" i="50"/>
  <c r="Q70" i="50"/>
  <c r="O70" i="50"/>
  <c r="M70" i="50"/>
  <c r="K70" i="50"/>
  <c r="X69" i="50"/>
  <c r="W69" i="50"/>
  <c r="V69" i="50"/>
  <c r="U69" i="50"/>
  <c r="T69" i="50"/>
  <c r="S69" i="50"/>
  <c r="Q69" i="50"/>
  <c r="O69" i="50"/>
  <c r="M69" i="50"/>
  <c r="K69" i="50"/>
  <c r="X68" i="50"/>
  <c r="W68" i="50"/>
  <c r="V68" i="50"/>
  <c r="U68" i="50"/>
  <c r="T68" i="50"/>
  <c r="S68" i="50"/>
  <c r="Q68" i="50"/>
  <c r="O68" i="50"/>
  <c r="M68" i="50"/>
  <c r="K68" i="50"/>
  <c r="X67" i="50"/>
  <c r="W67" i="50"/>
  <c r="V67" i="50"/>
  <c r="U67" i="50"/>
  <c r="T67" i="50"/>
  <c r="S67" i="50"/>
  <c r="Q67" i="50"/>
  <c r="O67" i="50"/>
  <c r="M67" i="50"/>
  <c r="K67" i="50"/>
  <c r="X66" i="50"/>
  <c r="W66" i="50"/>
  <c r="V66" i="50"/>
  <c r="U66" i="50"/>
  <c r="T66" i="50"/>
  <c r="S66" i="50"/>
  <c r="Q66" i="50"/>
  <c r="O66" i="50"/>
  <c r="M66" i="50"/>
  <c r="K66" i="50"/>
  <c r="X65" i="50"/>
  <c r="W65" i="50"/>
  <c r="V65" i="50"/>
  <c r="U65" i="50"/>
  <c r="T65" i="50"/>
  <c r="S65" i="50"/>
  <c r="Q65" i="50"/>
  <c r="O65" i="50"/>
  <c r="M65" i="50"/>
  <c r="K65" i="50"/>
  <c r="X64" i="50"/>
  <c r="W64" i="50"/>
  <c r="V64" i="50"/>
  <c r="U64" i="50"/>
  <c r="T64" i="50"/>
  <c r="S64" i="50"/>
  <c r="Q64" i="50"/>
  <c r="O64" i="50"/>
  <c r="M64" i="50"/>
  <c r="K64" i="50"/>
  <c r="X63" i="50"/>
  <c r="W63" i="50"/>
  <c r="V63" i="50"/>
  <c r="U63" i="50"/>
  <c r="T63" i="50"/>
  <c r="S63" i="50"/>
  <c r="Q63" i="50"/>
  <c r="O63" i="50"/>
  <c r="M63" i="50"/>
  <c r="K63" i="50"/>
  <c r="X62" i="50"/>
  <c r="W62" i="50"/>
  <c r="V62" i="50"/>
  <c r="U62" i="50"/>
  <c r="T62" i="50"/>
  <c r="S62" i="50"/>
  <c r="Q62" i="50"/>
  <c r="O62" i="50"/>
  <c r="M62" i="50"/>
  <c r="K62" i="50"/>
  <c r="X61" i="50"/>
  <c r="W61" i="50"/>
  <c r="V61" i="50"/>
  <c r="U61" i="50"/>
  <c r="T61" i="50"/>
  <c r="S61" i="50"/>
  <c r="Q61" i="50"/>
  <c r="O61" i="50"/>
  <c r="M61" i="50"/>
  <c r="K61" i="50"/>
  <c r="X60" i="50"/>
  <c r="W60" i="50"/>
  <c r="V60" i="50"/>
  <c r="U60" i="50"/>
  <c r="T60" i="50"/>
  <c r="S60" i="50"/>
  <c r="Q60" i="50"/>
  <c r="O60" i="50"/>
  <c r="M60" i="50"/>
  <c r="K60" i="50"/>
  <c r="X59" i="50"/>
  <c r="W59" i="50"/>
  <c r="V59" i="50"/>
  <c r="U59" i="50"/>
  <c r="T59" i="50"/>
  <c r="S59" i="50"/>
  <c r="Q59" i="50"/>
  <c r="O59" i="50"/>
  <c r="M59" i="50"/>
  <c r="K59" i="50"/>
  <c r="X58" i="50"/>
  <c r="W58" i="50"/>
  <c r="V58" i="50"/>
  <c r="U58" i="50"/>
  <c r="T58" i="50"/>
  <c r="S58" i="50"/>
  <c r="Q58" i="50"/>
  <c r="O58" i="50"/>
  <c r="M58" i="50"/>
  <c r="K58" i="50"/>
  <c r="X57" i="50"/>
  <c r="W57" i="50"/>
  <c r="V57" i="50"/>
  <c r="U57" i="50"/>
  <c r="T57" i="50"/>
  <c r="S57" i="50"/>
  <c r="Q57" i="50"/>
  <c r="O57" i="50"/>
  <c r="M57" i="50"/>
  <c r="K57" i="50"/>
  <c r="X56" i="50"/>
  <c r="W56" i="50"/>
  <c r="V56" i="50"/>
  <c r="U56" i="50"/>
  <c r="T56" i="50"/>
  <c r="S56" i="50"/>
  <c r="Q56" i="50"/>
  <c r="O56" i="50"/>
  <c r="M56" i="50"/>
  <c r="K56" i="50"/>
  <c r="X55" i="50"/>
  <c r="W55" i="50"/>
  <c r="V55" i="50"/>
  <c r="U55" i="50"/>
  <c r="T55" i="50"/>
  <c r="S55" i="50"/>
  <c r="Q55" i="50"/>
  <c r="O55" i="50"/>
  <c r="M55" i="50"/>
  <c r="K55" i="50"/>
  <c r="X54" i="50"/>
  <c r="W54" i="50"/>
  <c r="V54" i="50"/>
  <c r="U54" i="50"/>
  <c r="T54" i="50"/>
  <c r="S54" i="50"/>
  <c r="Q54" i="50"/>
  <c r="O54" i="50"/>
  <c r="M54" i="50"/>
  <c r="K54" i="50"/>
  <c r="X53" i="50"/>
  <c r="W53" i="50"/>
  <c r="V53" i="50"/>
  <c r="U53" i="50"/>
  <c r="T53" i="50"/>
  <c r="S53" i="50"/>
  <c r="Q53" i="50"/>
  <c r="O53" i="50"/>
  <c r="M53" i="50"/>
  <c r="K53" i="50"/>
  <c r="X52" i="50"/>
  <c r="W52" i="50"/>
  <c r="V52" i="50"/>
  <c r="U52" i="50"/>
  <c r="T52" i="50"/>
  <c r="S52" i="50"/>
  <c r="Q52" i="50"/>
  <c r="O52" i="50"/>
  <c r="M52" i="50"/>
  <c r="K52" i="50"/>
  <c r="X51" i="50"/>
  <c r="W51" i="50"/>
  <c r="V51" i="50"/>
  <c r="U51" i="50"/>
  <c r="T51" i="50"/>
  <c r="S51" i="50"/>
  <c r="Q51" i="50"/>
  <c r="O51" i="50"/>
  <c r="M51" i="50"/>
  <c r="K51" i="50"/>
  <c r="X50" i="50"/>
  <c r="W50" i="50"/>
  <c r="V50" i="50"/>
  <c r="U50" i="50"/>
  <c r="T50" i="50"/>
  <c r="S50" i="50"/>
  <c r="Q50" i="50"/>
  <c r="O50" i="50"/>
  <c r="M50" i="50"/>
  <c r="K50" i="50"/>
  <c r="X49" i="50"/>
  <c r="W49" i="50"/>
  <c r="V49" i="50"/>
  <c r="U49" i="50"/>
  <c r="T49" i="50"/>
  <c r="S49" i="50"/>
  <c r="Q49" i="50"/>
  <c r="O49" i="50"/>
  <c r="M49" i="50"/>
  <c r="K49" i="50"/>
  <c r="X48" i="50"/>
  <c r="W48" i="50"/>
  <c r="V48" i="50"/>
  <c r="U48" i="50"/>
  <c r="T48" i="50"/>
  <c r="S48" i="50"/>
  <c r="Q48" i="50"/>
  <c r="O48" i="50"/>
  <c r="M48" i="50"/>
  <c r="K48" i="50"/>
  <c r="X47" i="50"/>
  <c r="W47" i="50"/>
  <c r="V47" i="50"/>
  <c r="U47" i="50"/>
  <c r="T47" i="50"/>
  <c r="S47" i="50"/>
  <c r="Q47" i="50"/>
  <c r="O47" i="50"/>
  <c r="M47" i="50"/>
  <c r="K47" i="50"/>
  <c r="X46" i="50"/>
  <c r="W46" i="50"/>
  <c r="V46" i="50"/>
  <c r="U46" i="50"/>
  <c r="T46" i="50"/>
  <c r="S46" i="50"/>
  <c r="Q46" i="50"/>
  <c r="O46" i="50"/>
  <c r="M46" i="50"/>
  <c r="K46" i="50"/>
  <c r="X45" i="50"/>
  <c r="W45" i="50"/>
  <c r="V45" i="50"/>
  <c r="U45" i="50"/>
  <c r="T45" i="50"/>
  <c r="S45" i="50"/>
  <c r="Q45" i="50"/>
  <c r="O45" i="50"/>
  <c r="M45" i="50"/>
  <c r="K45" i="50"/>
  <c r="X44" i="50"/>
  <c r="W44" i="50"/>
  <c r="V44" i="50"/>
  <c r="U44" i="50"/>
  <c r="T44" i="50"/>
  <c r="S44" i="50"/>
  <c r="Q44" i="50"/>
  <c r="O44" i="50"/>
  <c r="M44" i="50"/>
  <c r="K44" i="50"/>
  <c r="X43" i="50"/>
  <c r="W43" i="50"/>
  <c r="V43" i="50"/>
  <c r="U43" i="50"/>
  <c r="T43" i="50"/>
  <c r="S43" i="50"/>
  <c r="Q43" i="50"/>
  <c r="O43" i="50"/>
  <c r="M43" i="50"/>
  <c r="K43" i="50"/>
  <c r="X42" i="50"/>
  <c r="W42" i="50"/>
  <c r="V42" i="50"/>
  <c r="U42" i="50"/>
  <c r="T42" i="50"/>
  <c r="S42" i="50"/>
  <c r="Q42" i="50"/>
  <c r="O42" i="50"/>
  <c r="M42" i="50"/>
  <c r="K42" i="50"/>
  <c r="X41" i="50"/>
  <c r="W41" i="50"/>
  <c r="V41" i="50"/>
  <c r="U41" i="50"/>
  <c r="T41" i="50"/>
  <c r="S41" i="50"/>
  <c r="Q41" i="50"/>
  <c r="O41" i="50"/>
  <c r="M41" i="50"/>
  <c r="K41" i="50"/>
  <c r="X40" i="50"/>
  <c r="W40" i="50"/>
  <c r="V40" i="50"/>
  <c r="U40" i="50"/>
  <c r="T40" i="50"/>
  <c r="S40" i="50"/>
  <c r="Q40" i="50"/>
  <c r="O40" i="50"/>
  <c r="M40" i="50"/>
  <c r="K40" i="50"/>
  <c r="X39" i="50"/>
  <c r="W39" i="50"/>
  <c r="V39" i="50"/>
  <c r="U39" i="50"/>
  <c r="T39" i="50"/>
  <c r="S39" i="50"/>
  <c r="Q39" i="50"/>
  <c r="O39" i="50"/>
  <c r="M39" i="50"/>
  <c r="K39" i="50"/>
  <c r="X38" i="50"/>
  <c r="W38" i="50"/>
  <c r="V38" i="50"/>
  <c r="U38" i="50"/>
  <c r="T38" i="50"/>
  <c r="S38" i="50"/>
  <c r="Q38" i="50"/>
  <c r="O38" i="50"/>
  <c r="M38" i="50"/>
  <c r="K38" i="50"/>
  <c r="X37" i="50"/>
  <c r="W37" i="50"/>
  <c r="V37" i="50"/>
  <c r="U37" i="50"/>
  <c r="T37" i="50"/>
  <c r="S37" i="50"/>
  <c r="Q37" i="50"/>
  <c r="O37" i="50"/>
  <c r="M37" i="50"/>
  <c r="K37" i="50"/>
  <c r="X36" i="50"/>
  <c r="W36" i="50"/>
  <c r="V36" i="50"/>
  <c r="U36" i="50"/>
  <c r="T36" i="50"/>
  <c r="S36" i="50"/>
  <c r="Q36" i="50"/>
  <c r="O36" i="50"/>
  <c r="M36" i="50"/>
  <c r="K36" i="50"/>
  <c r="X35" i="50"/>
  <c r="W35" i="50"/>
  <c r="V35" i="50"/>
  <c r="U35" i="50"/>
  <c r="T35" i="50"/>
  <c r="S35" i="50"/>
  <c r="Q35" i="50"/>
  <c r="O35" i="50"/>
  <c r="M35" i="50"/>
  <c r="K35" i="50"/>
  <c r="X34" i="50"/>
  <c r="W34" i="50"/>
  <c r="V34" i="50"/>
  <c r="U34" i="50"/>
  <c r="T34" i="50"/>
  <c r="S34" i="50"/>
  <c r="Q34" i="50"/>
  <c r="O34" i="50"/>
  <c r="M34" i="50"/>
  <c r="K34" i="50"/>
  <c r="X33" i="50"/>
  <c r="W33" i="50"/>
  <c r="V33" i="50"/>
  <c r="U33" i="50"/>
  <c r="T33" i="50"/>
  <c r="S33" i="50"/>
  <c r="Q33" i="50"/>
  <c r="O33" i="50"/>
  <c r="M33" i="50"/>
  <c r="K33" i="50"/>
  <c r="X32" i="50"/>
  <c r="W32" i="50"/>
  <c r="V32" i="50"/>
  <c r="U32" i="50"/>
  <c r="T32" i="50"/>
  <c r="S32" i="50"/>
  <c r="Q32" i="50"/>
  <c r="O32" i="50"/>
  <c r="M32" i="50"/>
  <c r="K32" i="50"/>
  <c r="X31" i="50"/>
  <c r="W31" i="50"/>
  <c r="V31" i="50"/>
  <c r="U31" i="50"/>
  <c r="T31" i="50"/>
  <c r="S31" i="50"/>
  <c r="Q31" i="50"/>
  <c r="O31" i="50"/>
  <c r="M31" i="50"/>
  <c r="K31" i="50"/>
  <c r="X30" i="50"/>
  <c r="W30" i="50"/>
  <c r="V30" i="50"/>
  <c r="U30" i="50"/>
  <c r="T30" i="50"/>
  <c r="S30" i="50"/>
  <c r="Q30" i="50"/>
  <c r="O30" i="50"/>
  <c r="M30" i="50"/>
  <c r="K30" i="50"/>
  <c r="X29" i="50"/>
  <c r="W29" i="50"/>
  <c r="V29" i="50"/>
  <c r="U29" i="50"/>
  <c r="T29" i="50"/>
  <c r="S29" i="50"/>
  <c r="Q29" i="50"/>
  <c r="O29" i="50"/>
  <c r="M29" i="50"/>
  <c r="K29" i="50"/>
  <c r="X28" i="50"/>
  <c r="W28" i="50"/>
  <c r="V28" i="50"/>
  <c r="U28" i="50"/>
  <c r="T28" i="50"/>
  <c r="S28" i="50"/>
  <c r="Q28" i="50"/>
  <c r="O28" i="50"/>
  <c r="M28" i="50"/>
  <c r="K28" i="50"/>
  <c r="X27" i="50"/>
  <c r="W27" i="50"/>
  <c r="V27" i="50"/>
  <c r="U27" i="50"/>
  <c r="T27" i="50"/>
  <c r="S27" i="50"/>
  <c r="Q27" i="50"/>
  <c r="O27" i="50"/>
  <c r="M27" i="50"/>
  <c r="K27" i="50"/>
  <c r="X26" i="50"/>
  <c r="W26" i="50"/>
  <c r="V26" i="50"/>
  <c r="U26" i="50"/>
  <c r="T26" i="50"/>
  <c r="S26" i="50"/>
  <c r="Q26" i="50"/>
  <c r="O26" i="50"/>
  <c r="M26" i="50"/>
  <c r="K26" i="50"/>
  <c r="X25" i="50"/>
  <c r="W25" i="50"/>
  <c r="V25" i="50"/>
  <c r="U25" i="50"/>
  <c r="T25" i="50"/>
  <c r="S25" i="50"/>
  <c r="Q25" i="50"/>
  <c r="O25" i="50"/>
  <c r="M25" i="50"/>
  <c r="K25" i="50"/>
  <c r="X24" i="50"/>
  <c r="W24" i="50"/>
  <c r="V24" i="50"/>
  <c r="U24" i="50"/>
  <c r="T24" i="50"/>
  <c r="S24" i="50"/>
  <c r="Q24" i="50"/>
  <c r="O24" i="50"/>
  <c r="M24" i="50"/>
  <c r="K24" i="50"/>
  <c r="X23" i="50"/>
  <c r="W23" i="50"/>
  <c r="V23" i="50"/>
  <c r="U23" i="50"/>
  <c r="T23" i="50"/>
  <c r="S23" i="50"/>
  <c r="Q23" i="50"/>
  <c r="O23" i="50"/>
  <c r="M23" i="50"/>
  <c r="K23" i="50"/>
  <c r="X22" i="50"/>
  <c r="W22" i="50"/>
  <c r="V22" i="50"/>
  <c r="U22" i="50"/>
  <c r="T22" i="50"/>
  <c r="S22" i="50"/>
  <c r="Q22" i="50"/>
  <c r="O22" i="50"/>
  <c r="M22" i="50"/>
  <c r="K22" i="50"/>
  <c r="X21" i="50"/>
  <c r="W21" i="50"/>
  <c r="V21" i="50"/>
  <c r="U21" i="50"/>
  <c r="T21" i="50"/>
  <c r="S21" i="50"/>
  <c r="Q21" i="50"/>
  <c r="O21" i="50"/>
  <c r="M21" i="50"/>
  <c r="K21" i="50"/>
  <c r="X20" i="50"/>
  <c r="W20" i="50"/>
  <c r="V20" i="50"/>
  <c r="U20" i="50"/>
  <c r="T20" i="50"/>
  <c r="S20" i="50"/>
  <c r="Q20" i="50"/>
  <c r="O20" i="50"/>
  <c r="M20" i="50"/>
  <c r="K20" i="50"/>
  <c r="X19" i="50"/>
  <c r="W19" i="50"/>
  <c r="V19" i="50"/>
  <c r="U19" i="50"/>
  <c r="T19" i="50"/>
  <c r="S19" i="50"/>
  <c r="Q19" i="50"/>
  <c r="O19" i="50"/>
  <c r="M19" i="50"/>
  <c r="K19" i="50"/>
  <c r="X18" i="50"/>
  <c r="W18" i="50"/>
  <c r="V18" i="50"/>
  <c r="U18" i="50"/>
  <c r="T18" i="50"/>
  <c r="S18" i="50"/>
  <c r="Q18" i="50"/>
  <c r="O18" i="50"/>
  <c r="M18" i="50"/>
  <c r="K18" i="50"/>
  <c r="X17" i="50"/>
  <c r="W17" i="50"/>
  <c r="V17" i="50"/>
  <c r="U17" i="50"/>
  <c r="T17" i="50"/>
  <c r="S17" i="50"/>
  <c r="Q17" i="50"/>
  <c r="O17" i="50"/>
  <c r="M17" i="50"/>
  <c r="K17" i="50"/>
  <c r="X16" i="50"/>
  <c r="W16" i="50"/>
  <c r="V16" i="50"/>
  <c r="U16" i="50"/>
  <c r="T16" i="50"/>
  <c r="S16" i="50"/>
  <c r="Q16" i="50"/>
  <c r="O16" i="50"/>
  <c r="M16" i="50"/>
  <c r="K16" i="50"/>
  <c r="X15" i="50"/>
  <c r="W15" i="50"/>
  <c r="V15" i="50"/>
  <c r="U15" i="50"/>
  <c r="T15" i="50"/>
  <c r="S15" i="50"/>
  <c r="Q15" i="50"/>
  <c r="O15" i="50"/>
  <c r="M15" i="50"/>
  <c r="K15" i="50"/>
  <c r="X14" i="50"/>
  <c r="W14" i="50"/>
  <c r="V14" i="50"/>
  <c r="U14" i="50"/>
  <c r="T14" i="50"/>
  <c r="S14" i="50"/>
  <c r="Q14" i="50"/>
  <c r="O14" i="50"/>
  <c r="M14" i="50"/>
  <c r="K14" i="50"/>
  <c r="X13" i="50"/>
  <c r="W13" i="50"/>
  <c r="V13" i="50"/>
  <c r="U13" i="50"/>
  <c r="T13" i="50"/>
  <c r="S13" i="50"/>
  <c r="Q13" i="50"/>
  <c r="O13" i="50"/>
  <c r="M13" i="50"/>
  <c r="K13" i="50"/>
  <c r="X12" i="50"/>
  <c r="W12" i="50"/>
  <c r="V12" i="50"/>
  <c r="U12" i="50"/>
  <c r="T12" i="50"/>
  <c r="S12" i="50"/>
  <c r="Q12" i="50"/>
  <c r="O12" i="50"/>
  <c r="M12" i="50"/>
  <c r="K12" i="50"/>
  <c r="X11" i="50"/>
  <c r="W11" i="50"/>
  <c r="V11" i="50"/>
  <c r="U11" i="50"/>
  <c r="T11" i="50"/>
  <c r="S11" i="50"/>
  <c r="Q11" i="50"/>
  <c r="O11" i="50"/>
  <c r="M11" i="50"/>
  <c r="K11" i="50"/>
  <c r="X10" i="50"/>
  <c r="W10" i="50"/>
  <c r="V10" i="50"/>
  <c r="U10" i="50"/>
  <c r="T10" i="50"/>
  <c r="S10" i="50"/>
  <c r="Q10" i="50"/>
  <c r="O10" i="50"/>
  <c r="M10" i="50"/>
  <c r="K10" i="50"/>
  <c r="X9" i="50"/>
  <c r="W9" i="50"/>
  <c r="V9" i="50"/>
  <c r="U9" i="50"/>
  <c r="T9" i="50"/>
  <c r="S9" i="50"/>
  <c r="Q9" i="50"/>
  <c r="O9" i="50"/>
  <c r="M9" i="50"/>
  <c r="K9" i="50"/>
  <c r="X8" i="50"/>
  <c r="W8" i="50"/>
  <c r="V8" i="50"/>
  <c r="U8" i="50"/>
  <c r="T8" i="50"/>
  <c r="S8" i="50"/>
  <c r="Q8" i="50"/>
  <c r="O8" i="50"/>
  <c r="M8" i="50"/>
  <c r="K8" i="50"/>
  <c r="X7" i="50"/>
  <c r="W7" i="50"/>
  <c r="V7" i="50"/>
  <c r="U7" i="50"/>
  <c r="T7" i="50"/>
  <c r="S7" i="50"/>
  <c r="Q7" i="50"/>
  <c r="O7" i="50"/>
  <c r="M7" i="50"/>
  <c r="K7" i="50"/>
</calcChain>
</file>

<file path=xl/sharedStrings.xml><?xml version="1.0" encoding="utf-8"?>
<sst xmlns="http://schemas.openxmlformats.org/spreadsheetml/2006/main" count="27863" uniqueCount="1289">
  <si>
    <t>(注) 1.信用：制度信用銘柄                  　　　　　　　　　　 (Notes) 1."信用"：Issues eligible for Standardized margin transactions.
     2.貸借：制度信用銘柄及び貸借銘柄                                   2."貸借"：Issues eligible for Standardized margin transactions and loan transactions.
     3.審　：監理銘柄（審査中）　確　：監理銘柄（確認中）               3."審""確""監"：Securities Under Supervision(Examination/Confirmation).
       監　：監理銘柄（審査中・確認中）                                   "整"　　　　：Securities to be Delisted.
       整　：整理銘柄</t>
    <phoneticPr fontId="3"/>
  </si>
  <si>
    <t>E　T　F　相　場　表</t>
    <rPh sb="6" eb="7">
      <t>ソウ</t>
    </rPh>
    <rPh sb="8" eb="9">
      <t>バ</t>
    </rPh>
    <rPh sb="10" eb="11">
      <t>ヒョウ</t>
    </rPh>
    <phoneticPr fontId="3"/>
  </si>
  <si>
    <t>Exchange-Traded Fund Quotations</t>
    <phoneticPr fontId="3"/>
  </si>
  <si>
    <t>年月</t>
    <phoneticPr fontId="8"/>
  </si>
  <si>
    <t>銘柄コード</t>
    <rPh sb="0" eb="2">
      <t>メイガラ</t>
    </rPh>
    <phoneticPr fontId="3"/>
  </si>
  <si>
    <t>日付</t>
    <rPh sb="0" eb="2">
      <t>ヒヅケ</t>
    </rPh>
    <phoneticPr fontId="3"/>
  </si>
  <si>
    <t>区分</t>
    <phoneticPr fontId="8"/>
  </si>
  <si>
    <t>信用・貸借</t>
    <rPh sb="0" eb="2">
      <t>シンヨウ</t>
    </rPh>
    <rPh sb="3" eb="5">
      <t>タイシャク</t>
    </rPh>
    <phoneticPr fontId="3"/>
  </si>
  <si>
    <t>売買単位</t>
    <rPh sb="0" eb="2">
      <t>バイバイ</t>
    </rPh>
    <rPh sb="2" eb="4">
      <t>タンイ</t>
    </rPh>
    <phoneticPr fontId="3"/>
  </si>
  <si>
    <t>始値</t>
    <rPh sb="0" eb="2">
      <t>ハジメネ</t>
    </rPh>
    <phoneticPr fontId="3"/>
  </si>
  <si>
    <t>高値</t>
    <rPh sb="0" eb="1">
      <t>タカ</t>
    </rPh>
    <rPh sb="1" eb="2">
      <t>ネ</t>
    </rPh>
    <phoneticPr fontId="3"/>
  </si>
  <si>
    <t>安値</t>
    <rPh sb="0" eb="2">
      <t>ヤスネ</t>
    </rPh>
    <phoneticPr fontId="3"/>
  </si>
  <si>
    <t>終値</t>
    <rPh sb="0" eb="2">
      <t>オワリネ</t>
    </rPh>
    <phoneticPr fontId="3"/>
  </si>
  <si>
    <t>終値平均</t>
    <rPh sb="0" eb="2">
      <t>オワリネ</t>
    </rPh>
    <rPh sb="2" eb="4">
      <t>ヘイキン</t>
    </rPh>
    <phoneticPr fontId="3"/>
  </si>
  <si>
    <t>売買高</t>
    <rPh sb="0" eb="3">
      <t>バイバイダカ</t>
    </rPh>
    <phoneticPr fontId="3"/>
  </si>
  <si>
    <t>うちToSTNeT売買高</t>
  </si>
  <si>
    <t>売買代金</t>
    <rPh sb="0" eb="2">
      <t>バイバイ</t>
    </rPh>
    <rPh sb="2" eb="4">
      <t>ダイキン</t>
    </rPh>
    <phoneticPr fontId="3"/>
  </si>
  <si>
    <t>うちToSTNeT売買代金</t>
  </si>
  <si>
    <t>値付日数</t>
    <rPh sb="0" eb="2">
      <t>ネツ</t>
    </rPh>
    <rPh sb="2" eb="4">
      <t>ニッスウ</t>
    </rPh>
    <phoneticPr fontId="3"/>
  </si>
  <si>
    <t>Year/Month</t>
    <phoneticPr fontId="8"/>
  </si>
  <si>
    <t>Code</t>
    <phoneticPr fontId="8"/>
  </si>
  <si>
    <t>銘柄名称</t>
    <phoneticPr fontId="8"/>
  </si>
  <si>
    <t>Issues</t>
  </si>
  <si>
    <t>銘柄属性</t>
    <rPh sb="0" eb="2">
      <t>メイガラ</t>
    </rPh>
    <rPh sb="2" eb="4">
      <t>ゾクセイ</t>
    </rPh>
    <phoneticPr fontId="8"/>
  </si>
  <si>
    <t>Attribute</t>
    <phoneticPr fontId="8"/>
  </si>
  <si>
    <t>Date</t>
    <phoneticPr fontId="3"/>
  </si>
  <si>
    <t>Sector</t>
    <phoneticPr fontId="8"/>
  </si>
  <si>
    <t>margin/loan</t>
    <phoneticPr fontId="8"/>
  </si>
  <si>
    <t>Trading Unit</t>
    <phoneticPr fontId="3"/>
  </si>
  <si>
    <t>Open</t>
  </si>
  <si>
    <t>High</t>
    <phoneticPr fontId="3"/>
  </si>
  <si>
    <t>Low</t>
  </si>
  <si>
    <t>Close</t>
  </si>
  <si>
    <t>Average Closing Price</t>
    <phoneticPr fontId="8"/>
  </si>
  <si>
    <t>Trading Volume</t>
  </si>
  <si>
    <t>Trading Volume(ToSTNeT)</t>
    <phoneticPr fontId="8"/>
  </si>
  <si>
    <t>Trading Value</t>
  </si>
  <si>
    <t>Trading Value(ToSTNeT)</t>
    <phoneticPr fontId="8"/>
  </si>
  <si>
    <t>Days Traded</t>
    <phoneticPr fontId="3"/>
  </si>
  <si>
    <t>口(units）</t>
    <phoneticPr fontId="8"/>
  </si>
  <si>
    <t>円(￥)</t>
    <phoneticPr fontId="8"/>
  </si>
  <si>
    <t>口(units）</t>
  </si>
  <si>
    <t>1305</t>
  </si>
  <si>
    <t/>
  </si>
  <si>
    <t>貸借</t>
  </si>
  <si>
    <t>1306</t>
  </si>
  <si>
    <t>ＮＥＸＴ　ＦＵＮＤＳ　ＴＯＰＩＸ連動型上場投信　受益証券</t>
  </si>
  <si>
    <t>NEXT FUNDS TOPIX Exchange Traded Fund</t>
  </si>
  <si>
    <t>1308</t>
  </si>
  <si>
    <t>上場インデックスファンドＴＯＰＩＸ　受益証券</t>
  </si>
  <si>
    <t>Nikko Exchange Traded Index Fund TOPIX</t>
  </si>
  <si>
    <t>1309</t>
  </si>
  <si>
    <t>ＮＥＸＴ　ＦＵＮＤＳ　ＣｈｉｎａＡＭＣ・中国株式・上証５０連動型上場投信　受益証券</t>
  </si>
  <si>
    <t>NEXT FUNDS ChinaAMC SSE50 Index Exchange Traded Fund</t>
  </si>
  <si>
    <t>1311</t>
  </si>
  <si>
    <t>ＮＥＸＴ　ＦＵＮＤＳ　ＴＯＰＩＸ　Ｃｏｒｅ　３０連動型上場投信　受益証券</t>
  </si>
  <si>
    <t>NEXT FUNDS TOPIX Core 30 Exchange Traded Fund</t>
  </si>
  <si>
    <t>1319</t>
  </si>
  <si>
    <t>ＮＥＸＴ　ＦＵＮＤＳ　日経３００株価指数連動型上場投信　受益証券</t>
  </si>
  <si>
    <t>NEXT FUNDS Nikkei 300 Index Exchange Traded Fund</t>
  </si>
  <si>
    <t>1320</t>
  </si>
  <si>
    <t>1321</t>
  </si>
  <si>
    <t>ＮＥＸＴ　ＦＵＮＤＳ　日経２２５連動型上場投信　受益証券</t>
  </si>
  <si>
    <t>NEXT FUNDS Nikkei 225 Exchange Traded Fund</t>
  </si>
  <si>
    <t>1322</t>
  </si>
  <si>
    <t>上場インデックスファンド中国Ａ株（パンダ）Ｅ　Ｆｕｎｄ　ＣＳＩ３００　受益証券</t>
  </si>
  <si>
    <t>Listed Index Fund China A Share (Panda) E Fund CSI300</t>
  </si>
  <si>
    <t>1325</t>
  </si>
  <si>
    <t>ＮＥＸＴ　ＦＵＮＤＳ　ブラジル株式指数・ボベスパ連動型上場投信　受益証券</t>
  </si>
  <si>
    <t>NEXT FUNDS Ibovespa Linked Exchange Traded Fund</t>
  </si>
  <si>
    <t>1326</t>
  </si>
  <si>
    <t>ＳＰＤＲゴールド・シェア　受益証券</t>
  </si>
  <si>
    <t>SPDR Gold Shares</t>
  </si>
  <si>
    <t>1328</t>
  </si>
  <si>
    <t>ＮＥＸＴ　ＦＵＮＤＳ　金価格連動型上場投信　受益証券</t>
  </si>
  <si>
    <t>NEXT FUNDS Gold Price Exchange Traded Fund</t>
  </si>
  <si>
    <t>1329</t>
  </si>
  <si>
    <t>ｉシェアーズ・コア　日経２２５　ＥＴＦ　受益証券</t>
  </si>
  <si>
    <t>iShares Core Nikkei 225 ETF</t>
  </si>
  <si>
    <t>1330</t>
  </si>
  <si>
    <t>上場インデックスファンド２２５　受益証券</t>
  </si>
  <si>
    <t>Nikko Exchange Traded Index Fund 225</t>
  </si>
  <si>
    <t>1343</t>
  </si>
  <si>
    <t>NEXT FUNDS REIT INDEX ETF</t>
  </si>
  <si>
    <t>1345</t>
  </si>
  <si>
    <t>上場インデックスファンドＪリート（東証ＲＥＩＴ指数）隔月分配型　受益証券</t>
  </si>
  <si>
    <t>1346</t>
  </si>
  <si>
    <t>ＭＡＸＩＳ　日経２２５上場投信　受益証券</t>
  </si>
  <si>
    <t>1348</t>
  </si>
  <si>
    <t>ＭＡＸＩＳ　トピックス上場投信　受益証券</t>
  </si>
  <si>
    <t>MAXIS TOPIX ETF</t>
  </si>
  <si>
    <t>1349</t>
  </si>
  <si>
    <t>ABF汎アジア債券インデックス・ファンド　受益証券</t>
  </si>
  <si>
    <t>ABF PAN ASIA BOND INDEX FUND</t>
  </si>
  <si>
    <t>1356</t>
  </si>
  <si>
    <t>ＴＯＰＩＸベア２倍上場投信　受益証券</t>
  </si>
  <si>
    <t>TOPIX Bear -2x ETF</t>
  </si>
  <si>
    <t>1357</t>
  </si>
  <si>
    <t>ＮＥＸＴ　ＦＵＮＤＳ　日経平均ダブルインバース・インデックス連動型上場投信　受益証券</t>
  </si>
  <si>
    <t>1358</t>
  </si>
  <si>
    <t>上場インデックスファンド日経レバレッジ指数　受益証券</t>
  </si>
  <si>
    <t>Listed Index Fund Nikkei Leveraged Index</t>
  </si>
  <si>
    <t>1360</t>
  </si>
  <si>
    <t>日経平均ベア２倍上場投信　受益証券</t>
  </si>
  <si>
    <t>Nikkei225 Bear -2x ETF</t>
  </si>
  <si>
    <t>1364</t>
  </si>
  <si>
    <t>ｉシェアーズ　ＪＰＸ日経４００　ＥＴＦ　受益証券</t>
  </si>
  <si>
    <t>iShares JPX-Nikkei 400 ETF</t>
  </si>
  <si>
    <t>1365</t>
  </si>
  <si>
    <t>1366</t>
  </si>
  <si>
    <t>1367</t>
  </si>
  <si>
    <t>1368</t>
  </si>
  <si>
    <t>1369</t>
  </si>
  <si>
    <t>Ｏｎｅ　ＥＴＦ　日経２２５　受益証券</t>
  </si>
  <si>
    <t>One ETF Nikkei225</t>
  </si>
  <si>
    <t>1397</t>
  </si>
  <si>
    <t>ＳＭＤＡＭ　日経２２５上場投信　受益証券</t>
  </si>
  <si>
    <t>SMDAM NIKKEI225 ETF</t>
  </si>
  <si>
    <t>1398</t>
  </si>
  <si>
    <t>ＳＭＤＡＭ　東証ＲＥＩＴ指数上場投信　受益証券</t>
  </si>
  <si>
    <t>SMDAM REIT Index ETF</t>
  </si>
  <si>
    <t>1399</t>
  </si>
  <si>
    <t>上場インデックスファンドＭＳＣＩ日本株高配当低ボラティリティ　受益証券</t>
  </si>
  <si>
    <t>Listed Index Fund MSCI Japan Equity High Dividend Low Volatility</t>
  </si>
  <si>
    <t>1456</t>
  </si>
  <si>
    <t>1457</t>
  </si>
  <si>
    <t>1458</t>
  </si>
  <si>
    <t>楽天ＥＴＦ‐日経レバレッジ指数連動型　受益証券</t>
  </si>
  <si>
    <t>Rakuten ETF - Nikkei 225 Leveraged Index</t>
  </si>
  <si>
    <t>1459</t>
  </si>
  <si>
    <t>楽天ＥＴＦ‐日経ダブルインバース指数連動型　受益証券</t>
  </si>
  <si>
    <t>Rakuten ETF - Nikkei 225 Double Inverse Index</t>
  </si>
  <si>
    <t>1466</t>
  </si>
  <si>
    <t>1469</t>
  </si>
  <si>
    <t>ＪＰＸ日経４００ベア２倍上場投信（ダブルインバース）　受益証券</t>
  </si>
  <si>
    <t>JPX-Nikkei 400 Bear -2x Double Inverse ETF</t>
  </si>
  <si>
    <t>1472</t>
  </si>
  <si>
    <t>ＮＥＸＴ　ＦＵＮＤＳ　ＪＰＸ日経４００ダブルインバース・インデックス連動型上場投信　受益証券</t>
  </si>
  <si>
    <t>NEXT FUNDS JPX-Nikkei 400 Double Inverse Index Exchange Traded Fund</t>
  </si>
  <si>
    <t>1473</t>
  </si>
  <si>
    <t>Ｏｎｅ　ＥＴＦ　トピックス　受益証券</t>
  </si>
  <si>
    <t>One ETF TOPIX</t>
  </si>
  <si>
    <t>1474</t>
  </si>
  <si>
    <t>Ｏｎｅ　ＥＴＦ　ＪＰＸ日経４００　受益証券</t>
  </si>
  <si>
    <t>One ETF JPX-Nikkei 400</t>
  </si>
  <si>
    <t>1475</t>
  </si>
  <si>
    <t>ｉシェアーズ・コア　ＴＯＰＩＸ　ＥＴＦ　受益証券</t>
  </si>
  <si>
    <t>iShares Core TOPIX ETF</t>
  </si>
  <si>
    <t>1476</t>
  </si>
  <si>
    <t>ｉシェアーズ・コア　Ｊリート　ＥＴＦ　受益証券</t>
  </si>
  <si>
    <t>iShares Core Japan REIT ETF</t>
  </si>
  <si>
    <t>1477</t>
  </si>
  <si>
    <t>ｉシェアーズ　ＭＳＣＩ　日本株最小分散　ＥＴＦ　受益証券</t>
  </si>
  <si>
    <t>iShares MSCI Japan Minimum Volatility (ex-REITs) ETF</t>
  </si>
  <si>
    <t>1478</t>
  </si>
  <si>
    <t>ｉシェアーズ　ＭＳＣＩ　ジャパン高配当利回り　ＥＴＦ　受益証券</t>
  </si>
  <si>
    <t>iShares MSCI Japan High Dividend ETF</t>
  </si>
  <si>
    <t>1479</t>
  </si>
  <si>
    <t>1480</t>
  </si>
  <si>
    <t>ＮＥＸＴ　ＦＵＮＤＳ　野村企業価値分配指数連動型上場投信　受益証券</t>
  </si>
  <si>
    <t>NEXT FUNDS Nomura Enterprise Value Allocation Index Exchange Traded Fund</t>
  </si>
  <si>
    <t>1481</t>
  </si>
  <si>
    <t>上場インデックスファンド日本経済貢献株　受益証券</t>
  </si>
  <si>
    <t>Listed Index Fund Japanese Economy Contributor Stocks</t>
  </si>
  <si>
    <t>1482</t>
  </si>
  <si>
    <t>ｉシェアーズ・コア　米国債７－１０年　ＥＴＦ（為替ヘッジあり）　受益証券</t>
  </si>
  <si>
    <t>iShares Core 7-10 Year US Treasury Bond JPY Hedged ETF</t>
  </si>
  <si>
    <t>1483</t>
  </si>
  <si>
    <t>ｉシェアーズ　ＪＰＸ／Ｓ＆Ｐ設備・人材投資　ＥＴＦ　受益証券</t>
  </si>
  <si>
    <t>iShares JPX/S&amp;P CAPEX &amp; Human Capital ETF</t>
  </si>
  <si>
    <t>1484</t>
  </si>
  <si>
    <t>Ｏｎｅ　ＥＴＦ　ＪＰＸ／Ｓ＆Ｐ　設備・人材投資指数　受益証券</t>
  </si>
  <si>
    <t>One ETF JPX/S&amp;P CAPEX &amp; Human Capital Index</t>
  </si>
  <si>
    <t>1485</t>
  </si>
  <si>
    <t>ＭＡＸＩＳ　ＪＡＰＡＮ　設備・人材積極投資企業２００上場投信　受益証券</t>
  </si>
  <si>
    <t>MAXIS JAPAN Proactive Investment in Physical and Human Capital 200 Index ETF</t>
  </si>
  <si>
    <t>1486</t>
  </si>
  <si>
    <t>上場インデックスファンド米国債券（為替ヘッジなし）　受益証券</t>
  </si>
  <si>
    <t>Listed Index Fund US Bond (No Currency Hedge)</t>
  </si>
  <si>
    <t>1487</t>
  </si>
  <si>
    <t>上場インデックスファンド米国債券（為替ヘッジあり）　受益証券</t>
  </si>
  <si>
    <t>Listed Index Fund US Bond (Currency Hedge)</t>
  </si>
  <si>
    <t>1488</t>
  </si>
  <si>
    <t>1489</t>
  </si>
  <si>
    <t>ＮＥＸＴ　ＦＵＮＤＳ　日経平均高配当株５０指数連動型上場投信　受益証券</t>
  </si>
  <si>
    <t>NEXT FUNDS Nikkei 225 High Dividend Yield Stock 50 Index Exchange Traded Fund</t>
  </si>
  <si>
    <t>1490</t>
  </si>
  <si>
    <t>上場インデックスファンドＭＳＣＩ日本株高配当低ボラティリティ（βヘッジ）　受益証券</t>
  </si>
  <si>
    <t>Listed Index Fund MSCI Japan Equity High Dividend Low Volatility (Beta Hedged)</t>
  </si>
  <si>
    <t>1493</t>
  </si>
  <si>
    <t>Ｏｎｅ　ＥＴＦ　ＪＰＸ日経中小型　受益証券</t>
  </si>
  <si>
    <t>One ETF JPX-Nikkei Mid Small</t>
  </si>
  <si>
    <t>1494</t>
  </si>
  <si>
    <t>Ｏｎｅ　ＥＴＦ　高配当日本株　受益証券</t>
  </si>
  <si>
    <t>One ETF High Dividend Japan Equity</t>
  </si>
  <si>
    <t>1495</t>
  </si>
  <si>
    <t>上場インデックスファンドアジアリート　受益証券</t>
  </si>
  <si>
    <t>Listed Index Fund Asian REIT</t>
  </si>
  <si>
    <t>1496</t>
  </si>
  <si>
    <t>ｉシェアーズ　米ドル建て投資適格社債　ＥＴＦ（為替ヘッジあり）　受益証券</t>
  </si>
  <si>
    <t>iShares USD Investment Grade Corporate Bond JPY Hedged ETF</t>
  </si>
  <si>
    <t>1497</t>
  </si>
  <si>
    <t>ｉシェアーズ　米ドル建てハイイールド社債　ＥＴＦ（為替ヘッジあり）　受益証券</t>
  </si>
  <si>
    <t>iShares USD High Yield Corporate Bond JPY Hedged ETF</t>
  </si>
  <si>
    <t>1498</t>
  </si>
  <si>
    <t>Ｏｎｅ　ＥＴＦ　ＥＳＧ　受益証券</t>
  </si>
  <si>
    <t>One ETF ESG</t>
  </si>
  <si>
    <t>1499</t>
  </si>
  <si>
    <t>ＭＡＸＩＳ日本株高配当７０マーケットニュートラル上場投信　受益証券</t>
  </si>
  <si>
    <t>MAXIS Japan Equity High Dividend 70 Market Neutral ETF</t>
  </si>
  <si>
    <t>1540</t>
  </si>
  <si>
    <t>純金上場信託（現物国内保管型）　受益証券</t>
  </si>
  <si>
    <t>Japan Physical Gold ETF</t>
  </si>
  <si>
    <t>1541</t>
  </si>
  <si>
    <t>純プラチナ上場信託（現物国内保管型）　受益証券</t>
  </si>
  <si>
    <t>Japan Physical Platinum ETF</t>
  </si>
  <si>
    <t>1542</t>
  </si>
  <si>
    <t>純銀上場信託（現物国内保管型）　受益証券</t>
  </si>
  <si>
    <t>Japan Physical Silver ETF</t>
  </si>
  <si>
    <t>1543</t>
  </si>
  <si>
    <t>純パラジウム上場信託（現物国内保管型）　受益証券</t>
  </si>
  <si>
    <t>Japan Physical Palladium ETF</t>
  </si>
  <si>
    <t>1545</t>
  </si>
  <si>
    <t>1546</t>
  </si>
  <si>
    <t>1547</t>
  </si>
  <si>
    <t>上場インデックスファンド米国株式（Ｓ＆Ｐ５００）　受益証券</t>
  </si>
  <si>
    <t>Listed Index Fund US Equity (S&amp;P500)</t>
  </si>
  <si>
    <t>1550</t>
  </si>
  <si>
    <t>ＭＡＸＩＳ　海外株式（ＭＳＣＩコクサイ）上場投信　受益証券</t>
  </si>
  <si>
    <t>MAXIS Global Equity (MSCI Kokusai) ETF</t>
  </si>
  <si>
    <t>1551</t>
  </si>
  <si>
    <t>1554</t>
  </si>
  <si>
    <t>上場インデックスファンド世界株式（ＭＳＣＩ　ＡＣＷＩ）除く日本　受益証券</t>
  </si>
  <si>
    <t>Listed Index Fund World Equity (MSCI ACWI) ex Japan</t>
  </si>
  <si>
    <t>1555</t>
  </si>
  <si>
    <t>Listed Index Fund Australian REIT (S&amp;P/ASX200 A-REIT)</t>
  </si>
  <si>
    <t>1557</t>
  </si>
  <si>
    <t>ＳＰＤＲ　Ｓ＆Ｐ５００　ＥＴＦ　受益証券</t>
  </si>
  <si>
    <t>SPDR S&amp;P500 ETF Trust</t>
  </si>
  <si>
    <t>1559</t>
  </si>
  <si>
    <t>ＮＥＸＴ　ＦＵＮＤＳ　タイ株式ＳＥＴ５０指数連動型上場投信　受益証券</t>
  </si>
  <si>
    <t>NEXT FUNDS Thai Stock SET50 Exchange Traded Fund</t>
  </si>
  <si>
    <t>1560</t>
  </si>
  <si>
    <t>ＮＥＸＴ　ＦＵＮＤＳ　ＦＴＳＥブルサ・マレーシアＫＬＣＩ連動型上場投信　受益証券</t>
  </si>
  <si>
    <t>NEXT FUNDS FTSE Bursa Malaysia KLCI Exchange Traded Fund</t>
  </si>
  <si>
    <t>1563</t>
  </si>
  <si>
    <t>1566</t>
  </si>
  <si>
    <t>上場インデックスファンド新興国債券　受益証券</t>
  </si>
  <si>
    <t>Listed Index Fund Emerging Bond</t>
  </si>
  <si>
    <t>1568</t>
  </si>
  <si>
    <t>ＴＯＰＩＸブル２倍上場投信　受益証券</t>
  </si>
  <si>
    <t>TOPIX Bull 2x ETF</t>
  </si>
  <si>
    <t>1569</t>
  </si>
  <si>
    <t>ＴＯＰＩＸベア上場投信　受益証券</t>
  </si>
  <si>
    <t>TOPIX Bear -1x ETF</t>
  </si>
  <si>
    <t>1570</t>
  </si>
  <si>
    <t>ＮＥＸＴ　ＦＵＮＤＳ　日経平均レバレッジ・インデックス連動型上場投信　受益証券</t>
  </si>
  <si>
    <t>NEXT FUNDS Nikkei 225 Leveraged Index Exchange Traded Fund</t>
  </si>
  <si>
    <t>1571</t>
  </si>
  <si>
    <t>ＮＥＸＴ　ＦＵＮＤＳ　日経平均インバース・インデックス連動型上場投信　受益証券</t>
  </si>
  <si>
    <t>NEXT FUNDS Nikkei 225 Inverse Index Exchange Traded Fund</t>
  </si>
  <si>
    <t>1572</t>
  </si>
  <si>
    <t>中国Ｈ株ブル２倍上場投信　受益証券</t>
  </si>
  <si>
    <t>China Bull 2x HSCEI ETF</t>
  </si>
  <si>
    <t>1573</t>
  </si>
  <si>
    <t>中国Ｈ株ベア上場投信　受益証券</t>
  </si>
  <si>
    <t>China Bear -1x HSCEI ETF</t>
  </si>
  <si>
    <t>1577</t>
  </si>
  <si>
    <t>ＮＥＸＴ　ＦＵＮＤＳ　野村日本株高配当７０連動型上場投信　受益証券</t>
  </si>
  <si>
    <t>1578</t>
  </si>
  <si>
    <t>上場インデックスファンド日経２２５（ミニ）　受益証券</t>
  </si>
  <si>
    <t>Listed Index Fund Nikkei 225 (Mini)</t>
  </si>
  <si>
    <t>1579</t>
  </si>
  <si>
    <t>日経平均ブル２倍上場投信　受益証券</t>
  </si>
  <si>
    <t>Nikkei 225 Bull 2x ETF</t>
  </si>
  <si>
    <t>1580</t>
  </si>
  <si>
    <t>日経平均ベア上場投信　受益証券</t>
  </si>
  <si>
    <t>Nikkei 225 Bear -1x ETF</t>
  </si>
  <si>
    <t>1585</t>
  </si>
  <si>
    <t>1586</t>
  </si>
  <si>
    <t>上場インデックスファンドＴＯＰＩＸ　Ｅｘ－Ｆｉｎａｎｃｉａｌｓ　受益証券</t>
  </si>
  <si>
    <t>Listed Index Fund TOPIX Ex-Financials</t>
  </si>
  <si>
    <t>1591</t>
  </si>
  <si>
    <t>ＮＥＸＴ　ＦＵＮＤＳ　ＪＰＸ日経インデックス４００連動型上場投信　受益証券</t>
  </si>
  <si>
    <t>NEXT FUNDS JPX-Nikkei Index 400 Exchange Traded Fund</t>
  </si>
  <si>
    <t>1592</t>
  </si>
  <si>
    <t>上場インデックスファンドＪＰＸ日経インデックス４００　受益証券</t>
  </si>
  <si>
    <t>Listed Index Fund JPX-Nikkei Index 400</t>
  </si>
  <si>
    <t>1593</t>
  </si>
  <si>
    <t>ＭＡＸＩＳ　ＪＰＸ日経インデックス４００上場投信　受益証券</t>
  </si>
  <si>
    <t>MAXIS JPX-Nikkei Index 400 ETF</t>
  </si>
  <si>
    <t>1595</t>
  </si>
  <si>
    <t>ＮＺＡＭ　上場投信　東証ＲＥＩＴ指数　受益証券</t>
  </si>
  <si>
    <t>NZAM ETF J-REIT Index</t>
  </si>
  <si>
    <t>1596</t>
  </si>
  <si>
    <t>ＮＺＡＭ　上場投信　ＴＯＰＩＸ　Ｅｘ－Ｆｉｎａｎｃｉａｌｓ　受益証券</t>
  </si>
  <si>
    <t>NZAM ETF TOPIX Ex-Financials</t>
  </si>
  <si>
    <t>1597</t>
  </si>
  <si>
    <t>ＭＡＸＩＳ　Ｊリート上場投信　受益証券</t>
  </si>
  <si>
    <t>MAXIS J-REIT ETF</t>
  </si>
  <si>
    <t>1599</t>
  </si>
  <si>
    <t>1615</t>
  </si>
  <si>
    <t>ＮＥＸＴ　ＦＵＮＤＳ　東証銀行業株価指数連動型上場投信　受益証券</t>
  </si>
  <si>
    <t>NEXT FUNDS TOPIX Banks Exchange Traded Fund</t>
  </si>
  <si>
    <t>1617</t>
  </si>
  <si>
    <t>ＮＥＸＴ　ＦＵＮＤＳ　食品（ＴＯＰＩＸ－１７）上場投信　受益証券</t>
  </si>
  <si>
    <t>NEXT FUNDS TOPIX-17 FOODS ETF</t>
  </si>
  <si>
    <t>1618</t>
  </si>
  <si>
    <t>ＮＥＸＴ　ＦＵＮＤＳ　エネルギー資源（ＴＯＰＩＸ－１７）上場投信　受益証券</t>
  </si>
  <si>
    <t>NEXT FUNDS TOPIX-17 ENERGY RESOURCES ETF</t>
  </si>
  <si>
    <t>1619</t>
  </si>
  <si>
    <t>ＮＥＸＴ　ＦＵＮＤＳ　建設・資材（ＴＯＰＩＸ－１７）上場投信　受益証券</t>
  </si>
  <si>
    <t>NEXT FUNDS TOPIX-17 CONSTRUCTION &amp; MATERIALS ETF</t>
  </si>
  <si>
    <t>1620</t>
  </si>
  <si>
    <t>ＮＥＸＴ　ＦＵＮＤＳ　素材・化学（ＴＯＰＩＸ－１７）上場投信　受益証券</t>
  </si>
  <si>
    <t>NEXT FUNDS TOPIX-17 RAW MATERIALS &amp; CHEMICALS ETF</t>
  </si>
  <si>
    <t>1621</t>
  </si>
  <si>
    <t>ＮＥＸＴ　ＦＵＮＤＳ　医薬品（ＴＯＰＩＸ－１７）上場投信　受益証券</t>
  </si>
  <si>
    <t>NEXT FUNDS TOPIX-17 PHARMACEUTICAL ETF</t>
  </si>
  <si>
    <t>1622</t>
  </si>
  <si>
    <t>ＮＥＸＴ　ＦＵＮＤＳ　自動車・輸送機（ＴＯＰＩＸ－１７）上場投信　受益証券</t>
  </si>
  <si>
    <t>NEXT FUNDS TOPIX-17 AUTOMOBILES TRANSPORTATION EQUIPMENT ETF</t>
  </si>
  <si>
    <t>1623</t>
  </si>
  <si>
    <t>ＮＥＸＴ　ＦＵＮＤＳ　鉄鋼・非鉄（ＴＯＰＩＸ－１７）上場投信　受益証券</t>
  </si>
  <si>
    <t>NEXT FUNDS TOPIX-17 STEEL &amp; NONFERROUS ETF</t>
  </si>
  <si>
    <t>1624</t>
  </si>
  <si>
    <t>ＮＥＸＴ　ＦＵＮＤＳ　機械（ＴＯＰＩＸ－１７）上場投信　受益証券</t>
  </si>
  <si>
    <t>NEXT FUNDS TOPIX-17 MACHINERY ETF</t>
  </si>
  <si>
    <t>1625</t>
  </si>
  <si>
    <t>ＮＥＸＴ　ＦＵＮＤＳ　電機・精密（ＴＯＰＩＸ－１７）上場投信　受益証券</t>
  </si>
  <si>
    <t>NEXT FUNDS TOPIX-17 ELECTRIC &amp; PRECISION INSTRUMENTS ETF</t>
  </si>
  <si>
    <t>1626</t>
  </si>
  <si>
    <t>ＮＥＸＴ　ＦＵＮＤＳ　情報通信・サービスその他（ＴＯＰＩＸ－１７）上場投信　受益証券</t>
  </si>
  <si>
    <t>NEXT FUNDS TOPIX-17 IT &amp; SERVICES,OTHERS ETF</t>
  </si>
  <si>
    <t>1627</t>
  </si>
  <si>
    <t>ＮＥＸＴ　ＦＵＮＤＳ　電力・ガス（ＴＯＰＩＸ－１７）上場投信　受益証券</t>
  </si>
  <si>
    <t>NEXT FUNDS TOPIX-17 ELECTRIC POWER &amp; GAS ETF</t>
  </si>
  <si>
    <t>1628</t>
  </si>
  <si>
    <t>ＮＥＸＴ　ＦＵＮＤＳ　運輸・物流（ＴＯＰＩＸ－１７）上場投信　受益証券</t>
  </si>
  <si>
    <t>NEXT FUNDS TOPIX-17 TRANSPORTATION &amp; LOGISTICS ETF</t>
  </si>
  <si>
    <t>1629</t>
  </si>
  <si>
    <t>ＮＥＸＴ　ＦＵＮＤＳ　商社・卸売（ＴＯＰＩＸ－１７）上場投信　受益証券</t>
  </si>
  <si>
    <t>NEXT FUNDS TOPIX-17 COMMERCIAL &amp; WHOLESALE TRADE ETF</t>
  </si>
  <si>
    <t>1630</t>
  </si>
  <si>
    <t>ＮＥＸＴ　ＦＵＮＤＳ　小売（ＴＯＰＩＸ－１７）上場投信　受益証券</t>
  </si>
  <si>
    <t>NEXT FUNDS TOPIX-17 RETAIL TRADE ETF</t>
  </si>
  <si>
    <t>1631</t>
  </si>
  <si>
    <t>ＮＥＸＴ　ＦＵＮＤＳ　銀行（ＴＯＰＩＸ－１７）上場投信　受益証券</t>
  </si>
  <si>
    <t>NEXT FUNDS TOPIX-17 BANKS ETF</t>
  </si>
  <si>
    <t>1632</t>
  </si>
  <si>
    <t>ＮＥＸＴ　ＦＵＮＤＳ　金融（除く銀行）（ＴＯＰＩＸ－１７）上場投信　受益証券</t>
  </si>
  <si>
    <t>NEXT FUNDS TOPIX-17 FINANCIALS (EX BANKS) ETF</t>
  </si>
  <si>
    <t>1633</t>
  </si>
  <si>
    <t>ＮＥＸＴ　ＦＵＮＤＳ　不動産（ＴＯＰＩＸ－１７）上場投信　受益証券</t>
  </si>
  <si>
    <t>NEXT FUNDS TOPIX-17 REAL ESTATE ETF</t>
  </si>
  <si>
    <t>1651</t>
  </si>
  <si>
    <t>1652</t>
  </si>
  <si>
    <t>1653</t>
  </si>
  <si>
    <t>1654</t>
  </si>
  <si>
    <t>1655</t>
  </si>
  <si>
    <t>ｉシェアーズ　Ｓ＆Ｐ　５００　米国株　ＥＴＦ　受益証券</t>
  </si>
  <si>
    <t>iShares S&amp;P 500 ETF</t>
  </si>
  <si>
    <t>1656</t>
  </si>
  <si>
    <t>ｉシェアーズ・コア　米国債７－１０年　ＥＴＦ　受益証券</t>
  </si>
  <si>
    <t>iShares Core 7-10 Year US Treasury Bond ETF</t>
  </si>
  <si>
    <t>1657</t>
  </si>
  <si>
    <t>iShares Core MSCI Kokusai ETF</t>
  </si>
  <si>
    <t>1658</t>
  </si>
  <si>
    <t>ｉシェアーズ・コア　ＭＳＣＩ　新興国株　ＥＴＦ　受益証券</t>
  </si>
  <si>
    <t>iShares Core MSCI Emerging Markets IMI ETF</t>
  </si>
  <si>
    <t>1659</t>
  </si>
  <si>
    <t>ｉシェアーズ　米国リート　ＥＴＦ　受益証券</t>
  </si>
  <si>
    <t>iShares US REIT ETF</t>
  </si>
  <si>
    <t>1660</t>
  </si>
  <si>
    <t>ＭＡＸＩＳ高利回りＪリート上場投信　受益証券</t>
  </si>
  <si>
    <t>MAXIS High Yield J-REIT ETF</t>
  </si>
  <si>
    <t>1671</t>
  </si>
  <si>
    <t>ＷＴＩ原油価格連動型上場投信　受益証券</t>
  </si>
  <si>
    <t>Simplex WTI ETF</t>
  </si>
  <si>
    <t>1672</t>
  </si>
  <si>
    <t>ＥＴＦＳ　金上場投資信託　投資証券</t>
  </si>
  <si>
    <t>WisdomTree Physical Gold Individual Securities</t>
  </si>
  <si>
    <t>1673</t>
  </si>
  <si>
    <t>ＥＴＦＳ　銀上場投資信託　投資証券</t>
  </si>
  <si>
    <t>WisdomTree Physical Silver Individual Securities</t>
  </si>
  <si>
    <t>1674</t>
  </si>
  <si>
    <t>ＥＴＦＳ　白金上場投資信託　投資証券</t>
  </si>
  <si>
    <t>WisdomTree Physical Platinum Individual Securities</t>
  </si>
  <si>
    <t>1675</t>
  </si>
  <si>
    <t>ＥＴＦＳ　パラジウム上場投資信託　投資証券</t>
  </si>
  <si>
    <t>WisdomTree Physical Palladium Individual Securities</t>
  </si>
  <si>
    <t>1676</t>
  </si>
  <si>
    <t>ＥＴＦＳ　貴金属バスケット上場投資信託　投資証券</t>
  </si>
  <si>
    <t>WisdomTree Physical Precious Metals Basket Securities</t>
  </si>
  <si>
    <t>1677</t>
  </si>
  <si>
    <t>上場インデックスファンド海外債券（ＦＴＳＥ　ＷＧＢＩ）毎月分配型　受益証券</t>
  </si>
  <si>
    <t>Listed Index Fund International Bond (FTSE WGBI) Monthly Dividend Payment Type</t>
  </si>
  <si>
    <t>1678</t>
  </si>
  <si>
    <t>NEXT FUNDS Nifty 50 Linked Exchange Traded Fund</t>
  </si>
  <si>
    <t>1679</t>
  </si>
  <si>
    <t>Simple-X NY Dow Jones Index ETF</t>
  </si>
  <si>
    <t>1680</t>
  </si>
  <si>
    <t>上場インデックスファンド海外先進国株式（ＭＳＣＩ－ＫＯＫＵＳＡＩ）　受益証券</t>
  </si>
  <si>
    <t>1681</t>
  </si>
  <si>
    <t>1684</t>
  </si>
  <si>
    <t>ＥＴＦＳ　総合上場投資信託　投資証券</t>
  </si>
  <si>
    <t>WisdomTree Broad Commodities</t>
  </si>
  <si>
    <t>1685</t>
  </si>
  <si>
    <t>ＥＴＦＳ　エネルギー上場投資信託　投資証券</t>
  </si>
  <si>
    <t>WisdomTree Energy</t>
  </si>
  <si>
    <t>1686</t>
  </si>
  <si>
    <t>ＥＴＦＳ　産業用金属上場投資信託　投資証券</t>
  </si>
  <si>
    <t>WisdomTree Industrial Metals</t>
  </si>
  <si>
    <t>1687</t>
  </si>
  <si>
    <t>ＥＴＦＳ　農産物上場投資信託　投資証券</t>
  </si>
  <si>
    <t>WisdomTree Agriculture</t>
  </si>
  <si>
    <t>1688</t>
  </si>
  <si>
    <t>ＥＴＦＳ　穀物上場投資信託　投資証券</t>
  </si>
  <si>
    <t>WisdomTree Grains</t>
  </si>
  <si>
    <t>1689</t>
  </si>
  <si>
    <t>ＥＴＦＳ　天然ガス上場投資信託　投資証券</t>
  </si>
  <si>
    <t>WisdomTree Natural Gas</t>
  </si>
  <si>
    <t>1690</t>
  </si>
  <si>
    <t>ＥＴＦＳ　ＷＴＩ　原油上場投資信託　投資証券</t>
  </si>
  <si>
    <t>WisdomTree WTI Crude Oil</t>
  </si>
  <si>
    <t>1691</t>
  </si>
  <si>
    <t>ＥＴＦＳ　ガソリン上場投資信託　投資証券</t>
  </si>
  <si>
    <t>WisdomTree Gasoline</t>
  </si>
  <si>
    <t>1692</t>
  </si>
  <si>
    <t>ＥＴＦＳ　アルミニウム上場投資信託　投資証券</t>
  </si>
  <si>
    <t>WisdomTree Aluminium</t>
  </si>
  <si>
    <t>1693</t>
  </si>
  <si>
    <t>ＥＴＦＳ　銅上場投資信託　投資証券</t>
  </si>
  <si>
    <t>WisdomTree Copper</t>
  </si>
  <si>
    <t>1694</t>
  </si>
  <si>
    <t>ＥＴＦＳ　ニッケル上場投資信託　投資証券</t>
  </si>
  <si>
    <t>WisdomTree Nickel</t>
  </si>
  <si>
    <t>1695</t>
  </si>
  <si>
    <t>ＥＴＦＳ　小麦上場投資信託　投資証券</t>
  </si>
  <si>
    <t>WisdomTree Wheat</t>
  </si>
  <si>
    <t>1696</t>
  </si>
  <si>
    <t>ＥＴＦＳ　とうもろこし上場投資信託　投資証券</t>
  </si>
  <si>
    <t>WisdomTree Corn</t>
  </si>
  <si>
    <t>1697</t>
  </si>
  <si>
    <t>ＥＴＦＳ　大豆上場投資信託　投資証券</t>
  </si>
  <si>
    <t>WisdomTree Soybeans</t>
  </si>
  <si>
    <t>1698</t>
  </si>
  <si>
    <t>上場インデックスファンド日本高配当（東証配当フォーカス１００）　受益証券</t>
  </si>
  <si>
    <t>1699</t>
  </si>
  <si>
    <t>2031</t>
  </si>
  <si>
    <t>ＮＥＸＴ　ＮＯＴＥＳ　香港ハンセン・ダブル・ブル　ＥＴＮ　受益証券</t>
  </si>
  <si>
    <t>NEXT NOTES HSI Leveraged ETN</t>
  </si>
  <si>
    <t>信用</t>
  </si>
  <si>
    <t>2032</t>
  </si>
  <si>
    <t>ＮＥＸＴ　ＮＯＴＥＳ　香港ハンセン・ベア　ＥＴＮ　受益証券</t>
  </si>
  <si>
    <t>NEXT NOTES HSI Short ETN</t>
  </si>
  <si>
    <t>2033</t>
  </si>
  <si>
    <t>ＮＥＸＴ　ＮＯＴＥＳ　韓国ＫＯＳＰＩ・ダブル・ブル　ＥＴＮ　受益証券</t>
  </si>
  <si>
    <t>NEXT NOTES KOSPI200 Leverage ETN</t>
  </si>
  <si>
    <t>2034</t>
  </si>
  <si>
    <t>ＮＥＸＴ　ＮＯＴＥＳ　韓国ＫＯＳＰＩ・ベア　ＥＴＮ　受益証券</t>
  </si>
  <si>
    <t>NEXT NOTES F-KOSPI200 Inverse ETN</t>
  </si>
  <si>
    <t>2036</t>
  </si>
  <si>
    <t>ＮＥＸＴ　ＮＯＴＥＳ　金先物　ダブル・ブル　ＥＴＮ　受益証券</t>
  </si>
  <si>
    <t>NEXT NOTES Gold Futures Double Bull ETN</t>
  </si>
  <si>
    <t>2037</t>
  </si>
  <si>
    <t>ＮＥＸＴ　ＮＯＴＥＳ　金先物　ベア　ＥＴＮ　受益証券</t>
  </si>
  <si>
    <t>NEXT NOTES Gold Futures Bear ETN</t>
  </si>
  <si>
    <t>2038</t>
  </si>
  <si>
    <t>ＮＥＸＴ　ＮＯＴＥＳ　ドバイ原油先物　ダブル・ブル　ＥＴＮ　受益証券</t>
  </si>
  <si>
    <t>NEXT NOTES Dubai Crude Oil Futures Double Bull ETN</t>
  </si>
  <si>
    <t>2039</t>
  </si>
  <si>
    <t>ＮＥＸＴ　ＮＯＴＥＳ　ドバイ原油先物　ベア　ＥＴＮ　受益証券</t>
  </si>
  <si>
    <t>NEXT NOTES Dubai Crude Oil Futures Bear ETN</t>
  </si>
  <si>
    <t>2040</t>
  </si>
  <si>
    <t>ＮＥＸＴ　ＮＯＴＥＳ　ＮＹダウ・ダブル・ブル・ドルヘッジ　ＥＴＮ　受益証券</t>
  </si>
  <si>
    <t>NEXT NOTES DJIA PR JPY-Monthly Hedged Leveraged (x2) ETN</t>
  </si>
  <si>
    <t>2041</t>
  </si>
  <si>
    <t>ＮＥＸＴ　ＮＯＴＥＳ　ＮＹダウ・ベア・ドルヘッジ　ＥＴＮ　受益証券</t>
  </si>
  <si>
    <t>NEXT NOTES DJIA TR JPY-Monthly Hedged Inverse (x1) ETN</t>
  </si>
  <si>
    <t>2042</t>
  </si>
  <si>
    <t>2043</t>
  </si>
  <si>
    <t>ＮＥＸＴ　ＮＯＴＥＳ　ＳＴＯＸＸ　アセアン好配当５０（円、ネットリターン）ＥＴＮ　受益証券</t>
  </si>
  <si>
    <t>NEXT NOTES STOXX ASEAN-Five Select Dividend 50(NR-JPY) ETN</t>
  </si>
  <si>
    <t>2044</t>
  </si>
  <si>
    <t>ＮＥＸＴ　ＮＯＴＥＳ　Ｓ＆Ｐ５００　配当貴族（ネットリターン）　ＥＴＮ　受益証券</t>
  </si>
  <si>
    <t>NEXT NOTES S&amp;P 500 Dividend Aristocrats Net Total Return Index ETN</t>
  </si>
  <si>
    <t>2045</t>
  </si>
  <si>
    <t>ＮＥＸＴ　ＮＯＴＥＳ　Ｓ＆Ｐ　シンガポール　リート（ネットリターン）　ＥＴＮ　受益証券</t>
  </si>
  <si>
    <t>NEXT NOTES S&amp;P Singapore REIT Net Total Return Index ETN</t>
  </si>
  <si>
    <t>2046</t>
  </si>
  <si>
    <t>ＮＥＸＴ　ＮＯＴＥＳ　インドＮｉｆｔｙ・ダブル・ブル　ＥＴＮ　受益証券</t>
  </si>
  <si>
    <t>NEXT NOTES Nifty PR 2x Leverage Index ETN</t>
  </si>
  <si>
    <t>2047</t>
  </si>
  <si>
    <t>ＮＥＸＴ　ＮＯＴＥＳ　インドＮｉｆｔｙ・ベア　ＥＴＮ　受益証券</t>
  </si>
  <si>
    <t>NEXT NOTES Nifty Total Returns(TR) Daily Inverse Index ETN</t>
  </si>
  <si>
    <t>2048</t>
  </si>
  <si>
    <t>ＮＥＸＴ　ＮＯＴＥＳ　野村日本株高配当７０（ドルヘッジ、ネットリターン）ＥＴＮ　受益証券</t>
  </si>
  <si>
    <t>NEXT NOTES Nomura Japan Equity High Dividend 70,Net Total Return US Dollar Hedged Index ETN</t>
  </si>
  <si>
    <t>2050</t>
  </si>
  <si>
    <t>ＮＥＸＴ　ＮＯＴＥＳ　ニッチトップ　中小型日本株（ネットリターン）ＥＴＮ　受益証券</t>
  </si>
  <si>
    <t>NEXT NOTES Niche Top Mid Small Cap Japan Equity, Net Total Return ETN</t>
  </si>
  <si>
    <t>2065</t>
  </si>
  <si>
    <t>ＮＥＸＴ　ＮＯＴＥＳ　日本株配当貴族（ドルヘッジ、ネットリターン）ＥＴＮ　受益証券</t>
  </si>
  <si>
    <t>NEXT NOTES S&amp;P/JPX Dividend Aristocrats Index USD Hedged NTR ETN</t>
  </si>
  <si>
    <t>2066</t>
  </si>
  <si>
    <t>ＮＥＸＴ　ＮＯＴＥＳ　東証ＲＥＩＴ（ドルヘッジ、ネットリターン）ＥＴＮ　受益証券</t>
  </si>
  <si>
    <t>NEXT NOTES Tokyo Stock Exchange REIT Net Total Return US Dollar Hedged Index ETN</t>
  </si>
  <si>
    <t>2067</t>
  </si>
  <si>
    <t>ＮＥＸＴ　ＮＯＴＥＳ　野村ＡＩビジネス７０（ネットリターン）ＥＴＮ　受益証券</t>
  </si>
  <si>
    <t>NEXT NOTES AI Companies 70,Net Total Return ETN</t>
  </si>
  <si>
    <t>2068</t>
  </si>
  <si>
    <t>ＮＥＸＴ　ＮＯＴＥＳ　高ベータ３０（ネットリターン）ＥＴＮ　受益証券</t>
  </si>
  <si>
    <t>NEXT NOTES Japan Equity High Beta Select 30,Net Total Return ETN</t>
  </si>
  <si>
    <t>2069</t>
  </si>
  <si>
    <t>ＮＥＸＴ　ＮＯＴＥＳ　低ベータ５０（ネットリターン）ＥＴＮ　受益証券</t>
  </si>
  <si>
    <t>NEXT NOTES Japan Equity Low Beta Select 50,Net Total Return ETN</t>
  </si>
  <si>
    <t>2070</t>
  </si>
  <si>
    <t>スマートＥＳＧ３０女性活躍（ネットリターン）ＥＴＮ　受益証券</t>
  </si>
  <si>
    <t>Smart ESG 30 Empowering Women Net Return ETN</t>
  </si>
  <si>
    <t>2071</t>
  </si>
  <si>
    <t>スマートＥＳＧ３０総合（ネットリターン）ＥＴＮ　受益証券</t>
  </si>
  <si>
    <t>Smart ESG 30 Net Return ETN</t>
  </si>
  <si>
    <t>2072</t>
  </si>
  <si>
    <t>トップシェアインデックス（ネットリターン）ＥＴＮ　受益証券</t>
  </si>
  <si>
    <t>Market Share Leaders Net Return ETN</t>
  </si>
  <si>
    <t>2510</t>
  </si>
  <si>
    <t>ＮＥＸＴ　ＦＵＮＤＳ　国内債券・ＮＯＭＵＲＡ－ＢＰＩ総合連動型上場投信　受益証券</t>
  </si>
  <si>
    <t>NEXT FUNDS Japan Bond NOMURA-BPI Exchange Traded Fund</t>
  </si>
  <si>
    <t>2511</t>
  </si>
  <si>
    <t>ＮＥＸＴ　ＦＵＮＤＳ　外国債券・ＦＴＳＥ世界国債インデックス（除く日本・為替ヘッジなし）連動型上場投信　受益証券</t>
  </si>
  <si>
    <t>NEXT FUNDS International Bond FTSE World Government Bond Index (ex Japan Unhedged) Exchange Traded Fund</t>
  </si>
  <si>
    <t>2512</t>
  </si>
  <si>
    <t>ＮＥＸＴ　ＦＵＮＤＳ　外国債券・ＦＴＳＥ世界国債インデックス（除く日本・為替ヘッジあり）連動型上場投信　受益証券</t>
  </si>
  <si>
    <t>NEXT FUNDS International Bond FTSE World Government Bond Index (ex Japan Yen-Hedged) Exchange Traded Fund</t>
  </si>
  <si>
    <t>2513</t>
  </si>
  <si>
    <t>ＮＥＸＴ　ＦＵＮＤＳ　外国株式・ＭＳＣＩ－ＫＯＫＵＳＡＩ指数（為替ヘッジなし）連動型上場投信　受益証券</t>
  </si>
  <si>
    <t>NEXT FUNDS International Equity MSCI-KOKUSAI (Unhedged) Exchange Traded Fund</t>
  </si>
  <si>
    <t>2514</t>
  </si>
  <si>
    <t>ＮＥＸＴ　ＦＵＮＤＳ　外国株式・ＭＳＣＩ－ＫＯＫＵＳＡＩ指数（為替ヘッジあり）連動型上場投信　受益証券</t>
  </si>
  <si>
    <t>NEXT FUNDS International Equity MSCI-KOKUSAI (Yen-Hedged) Exchange Traded Fund</t>
  </si>
  <si>
    <t>2515</t>
  </si>
  <si>
    <t>ＮＥＸＴ　ＦＵＮＤＳ　外国ＲＥＩＴ・Ｓ＆Ｐ先進国ＲＥＩＴ指数（除く日本・為替ヘッジなし）連動型上場投信　受益証券</t>
  </si>
  <si>
    <t>NEXT FUNDS International REIT S&amp;P Developed REIT Index (ex Japan Unhedged) Exchange Traded Fund</t>
  </si>
  <si>
    <t>2516</t>
  </si>
  <si>
    <t>2517</t>
  </si>
  <si>
    <t>ＭＡＸＩＳ　Ｊリート・コア上場投信　受益証券</t>
  </si>
  <si>
    <t>MAXIS J-REIT Core ETF</t>
  </si>
  <si>
    <t>2518</t>
  </si>
  <si>
    <t>ＮＥＸＴ　ＦＵＮＤＳ　ＭＳＣＩ日本株女性活躍指数（セレクト）連動型上場投信　受益証券</t>
  </si>
  <si>
    <t>NEXT FUNDS MSCI Japan Empowering Women Select Index Exchange Traded Fund</t>
  </si>
  <si>
    <t>2519</t>
  </si>
  <si>
    <t>ＮＥＸＴ　ＦＵＮＤＳ　新興国債券・Ｊ．Ｐ．モルガン・エマージング・マーケット・ボンド・インデックス・プラス（為替ヘッジなし）連動型上場投信　受益証券</t>
  </si>
  <si>
    <t>NEXT FUNDS Emerging Market Bond J.P. Morgan EMBI Plus (Unhedged) Exchange Traded Fund</t>
  </si>
  <si>
    <t>2520</t>
  </si>
  <si>
    <t>ＮＥＸＴ　ＦＵＮＤＳ　新興国株式・ＭＳＣＩエマージング・マーケット・インデックス（為替ヘッジなし）連動型上場投信　受益証券</t>
  </si>
  <si>
    <t>NEXT FUNDS Emerging Market Equity MSCI-EM (Unhedged) Exchange Traded Fund</t>
  </si>
  <si>
    <t>2521</t>
  </si>
  <si>
    <t>上場インデックスファンド米国株式（Ｓ＆Ｐ５００）為替ヘッジあり　受益証券</t>
  </si>
  <si>
    <t>Listed Index Fund US Equity (S&amp;P500) Currency Hedge</t>
  </si>
  <si>
    <t>2522</t>
  </si>
  <si>
    <t>ｉシェアーズ　オートメーション　＆　ロボット　ＥＴＦ　受益証券</t>
  </si>
  <si>
    <t>iShares Automation &amp; Robot ETF</t>
  </si>
  <si>
    <t>2523</t>
  </si>
  <si>
    <t>ＭＡＸＩＳトピックス（除く金融）上場投信　受益証券</t>
  </si>
  <si>
    <t>MAXIS TOPIX Ex-Financials ETF</t>
  </si>
  <si>
    <t>2524</t>
  </si>
  <si>
    <t>ＮＺＡＭ　上場投信　ＴＯＰＩＸ　受益証券</t>
  </si>
  <si>
    <t>NZAM ETF TOPIX</t>
  </si>
  <si>
    <t>2525</t>
  </si>
  <si>
    <t>ＮＺＡＭ　上場投信　日経２２５　受益証券</t>
  </si>
  <si>
    <t>NZAM ETF Nikkei 225</t>
  </si>
  <si>
    <t>2526</t>
  </si>
  <si>
    <t>ＮＺＡＭ　上場投信　ＪＰＸ日経４００　受益証券</t>
  </si>
  <si>
    <t>NZAM ETF JPX-Nikkei400</t>
  </si>
  <si>
    <t>2527</t>
  </si>
  <si>
    <t>ＮＺＡＭ　上場投信　東証ＲＥＩＴ　Ｃｏｒｅ指数　受益証券</t>
  </si>
  <si>
    <t>NZAM ETF J-REIT Core Index</t>
  </si>
  <si>
    <t>2528</t>
  </si>
  <si>
    <t>2529</t>
  </si>
  <si>
    <t>ＮＥＸＴ　ＦＵＮＤＳ　野村株主還元７０連動型上場投信　受益証券</t>
  </si>
  <si>
    <t>NEXT FUNDS Nomura Shareholder Yield 70 Exchange Traded Fund</t>
  </si>
  <si>
    <t>2530</t>
  </si>
  <si>
    <t>ＭＡＸＩＳ　ＨｕａＡｎ中国株式（上海１８０Ａ株）上場投信　受益証券</t>
  </si>
  <si>
    <t>MAXIS HuaAn China Equity (SSE 180 index) ETF</t>
  </si>
  <si>
    <t>2552</t>
  </si>
  <si>
    <t>上場インデックスファンドＪリート（東証ＲＥＩＴ指数）隔月分配型（ミニ）　受益証券</t>
  </si>
  <si>
    <t>Listed Index Fund J-REIT (Tokyo Stock Exchange REIT Index) Bi-Monthly Dividend Payment Type (Mini)</t>
  </si>
  <si>
    <t>2553</t>
  </si>
  <si>
    <t>Ｏｎｅ　ＥＴＦ　南方　中国Ａ株　ＣＳＩ５００　受益証券</t>
  </si>
  <si>
    <t>One ETF Southern China A-Share CSI 500</t>
  </si>
  <si>
    <t>2554</t>
  </si>
  <si>
    <t>2555</t>
  </si>
  <si>
    <t>東証ＲＥＩＴ　ＥＴＦ　受益証券</t>
  </si>
  <si>
    <t>TSE REIT ETF</t>
  </si>
  <si>
    <t>2556</t>
  </si>
  <si>
    <t>Ｏｎｅ　ＥＴＦ　東証ＲＥＩＴ指数　受益証券</t>
  </si>
  <si>
    <t>One ETF Tokyo Stock Exchange REIT Index</t>
  </si>
  <si>
    <t>2557</t>
  </si>
  <si>
    <t>ＳＭＤＡＭ　トピックス上場投信　受益証券</t>
  </si>
  <si>
    <t>SMDAM TOPIX ETF</t>
  </si>
  <si>
    <t>2558</t>
  </si>
  <si>
    <t>ＭＡＸＩＳ米国株式（Ｓ＆Ｐ５００）上場投信　受益証券</t>
  </si>
  <si>
    <t>MAXIS S&amp;P500 US Equity ETF</t>
  </si>
  <si>
    <t>2559</t>
  </si>
  <si>
    <t>ＭＡＸＩＳ全世界株式（オール・カントリー）上場投信　受益証券</t>
  </si>
  <si>
    <t>MAXIS World Equity (MSCI ACWI) ETF</t>
  </si>
  <si>
    <t>2560</t>
  </si>
  <si>
    <t>ＭＡＸＩＳカーボン・エフィシェント日本株上場投信　受益証券</t>
  </si>
  <si>
    <t>MAXIS Carbon Efficient Japan Equity ETF</t>
  </si>
  <si>
    <t>2561</t>
  </si>
  <si>
    <t>ｉシェアーズ・コア　日本国債　ＥＴＦ　受益証券</t>
  </si>
  <si>
    <t>iShares Core Japan Government Bond ETF</t>
  </si>
  <si>
    <t>2562</t>
  </si>
  <si>
    <t>上場インデックスファンド米国株式（ダウ平均）為替ヘッジあり　受益証券</t>
  </si>
  <si>
    <t>Listed Index Fund US Equity (Dow Average) Currency Hedge</t>
  </si>
  <si>
    <t>2563</t>
  </si>
  <si>
    <t>ｉシェアーズ　Ｓ＆Ｐ　５００　米国株　ＥＴＦ（為替ヘッジあり）　受益証券</t>
  </si>
  <si>
    <t>iShares S&amp;P 500 JPY Hedged ETF</t>
  </si>
  <si>
    <t>2564</t>
  </si>
  <si>
    <t>グローバルＸ　ＭＳＣＩスーパーディビィデンド－日本株式　ＥＴＦ　受益証券</t>
  </si>
  <si>
    <t>Global X MSCI SuperDividend Japan ETF</t>
  </si>
  <si>
    <t>2565</t>
  </si>
  <si>
    <t>グローバルＸ　ロジスティクス・Ｊ－ＲＥＩＴ　ＥＴＦ　受益証券</t>
  </si>
  <si>
    <t>Global X Logistics J-REIT ETF</t>
  </si>
  <si>
    <t>2566</t>
  </si>
  <si>
    <t>上場インデックスファンド日経ＥＳＧリート　受益証券</t>
  </si>
  <si>
    <t>Listed Index Fund Nikkei ESG REIT</t>
  </si>
  <si>
    <t>2567</t>
  </si>
  <si>
    <t>ＮＺＡＭ　上場投信　Ｓ＆Ｐ／ＪＰＸカーボン・エフィシェント指数　受益証券</t>
  </si>
  <si>
    <t>NZAM ETF S&amp;P/JPX Carbon Efficient Index</t>
  </si>
  <si>
    <t>2568</t>
  </si>
  <si>
    <t>上場インデックスファンド米国株式（ＮＡＳＤＡＱ１００）為替ヘッジなし　受益証券</t>
  </si>
  <si>
    <t>Listed Index Fund US Equity (NASDAQ100) No Currency Hedge</t>
  </si>
  <si>
    <t>2569</t>
  </si>
  <si>
    <t>上場インデックスファンド米国株式（ＮＡＳＤＡＱ１００）為替ヘッジあり　受益証券</t>
  </si>
  <si>
    <t>Listed Index Fund US Equity (NASDAQ100) Currency Hedge</t>
  </si>
  <si>
    <t>2620</t>
  </si>
  <si>
    <t>ｉシェアーズ　米国債１－３年　ＥＴＦ　受益証券</t>
  </si>
  <si>
    <t>iShares 1-3 Year US Treasury Bond ETF</t>
  </si>
  <si>
    <t>2621</t>
  </si>
  <si>
    <t>ｉシェアーズ　米国債２０年超　ＥＴＦ（為替ヘッジあり）　受益証券</t>
  </si>
  <si>
    <t>iShares 20+ Year US Treasury Bond JPY Hedged ETF</t>
  </si>
  <si>
    <t>2622</t>
  </si>
  <si>
    <t>ｉシェアーズ　米ドル建て新興国債券　ＥＴＦ（為替ヘッジあり）　受益証券</t>
  </si>
  <si>
    <t>iShares USD Emerging Markets Bond JPY Hedged ETF</t>
  </si>
  <si>
    <t>2623</t>
  </si>
  <si>
    <t>ｉシェアーズ　ユーロ建て投資適格社債　ＥＴＦ（為替ヘッジあり）　受益証券</t>
  </si>
  <si>
    <t>iShares Euro Investment Grade Corporate Bond JPY Hedged ETF</t>
  </si>
  <si>
    <t>2624</t>
  </si>
  <si>
    <t>ｉＦｒｅｅＥＴＦ　日経２２５（年４回決算型）　受益証券</t>
  </si>
  <si>
    <t>2625</t>
  </si>
  <si>
    <t>ｉＦｒｅｅＥＴＦ　ＴＯＰＩＸ（年４回決算型）　受益証券</t>
  </si>
  <si>
    <t>2626</t>
  </si>
  <si>
    <t>グローバルＸ　デジタル・イノベーション－日本株式　ＥＴＦ　受益証券</t>
  </si>
  <si>
    <t>Global X Digital Innovation Japan ETF</t>
  </si>
  <si>
    <t>2627</t>
  </si>
  <si>
    <t>グローバルＸ　ｅコマース－日本株式　ＥＴＦ　受益証券</t>
  </si>
  <si>
    <t>Global X E-Commerce Japan ETF</t>
  </si>
  <si>
    <t xml:space="preserve">新規上場  </t>
  </si>
  <si>
    <t xml:space="preserve">New Listing  </t>
  </si>
  <si>
    <t>31</t>
  </si>
  <si>
    <t>17</t>
  </si>
  <si>
    <t>24</t>
  </si>
  <si>
    <t>ＮＥＸＴ　ＦＵＮＤＳ　ブルームバーグ米国投資適格社債（１－１０年）インデックス（為替ヘッジあり）連動型上場投信　受益証券</t>
  </si>
  <si>
    <t>NEXT FUNDS Bloomberg US Intermediate Corporate Index (JPY Hedged) Exchange Traded Fund</t>
  </si>
  <si>
    <t>2628</t>
  </si>
  <si>
    <t>ｉＦｒｅｅＥＴＦ　中国科創板５０（ＳＴＡＲ５０）　受益証券</t>
  </si>
  <si>
    <t>iFreeETF China STAR50</t>
  </si>
  <si>
    <t>2629</t>
  </si>
  <si>
    <t>ｉＦｒｅｅＥＴＦ　中国グレーターベイエリア・イノベーション１００（ＧＢＡ１００）　受益証券</t>
  </si>
  <si>
    <t>iFreeETF China GBA100</t>
  </si>
  <si>
    <t>2630</t>
  </si>
  <si>
    <t>ＭＡＸＩＳ米国株式（Ｓ＆Ｐ５００）上場投信（為替ヘッジあり）　受益証券</t>
  </si>
  <si>
    <t>MAXIS S&amp;P500 US Equity ETF (JPY Hedged)</t>
  </si>
  <si>
    <t>2631</t>
  </si>
  <si>
    <t>ＭＡＸＩＳナスダック１００上場投信　受益証券</t>
  </si>
  <si>
    <t>MAXIS NASDAQ100 ETF</t>
  </si>
  <si>
    <t>2632</t>
  </si>
  <si>
    <t>ＭＡＸＩＳナスダック１００上場投信（為替ヘッジあり）　受益証券</t>
  </si>
  <si>
    <t>MAXIS NASDAQ100 ETF (JPY Hedged)</t>
  </si>
  <si>
    <t>2633</t>
  </si>
  <si>
    <t>ＮＥＸＴ　ＦＵＮＤＳ　Ｓ＆Ｐ　５００　指数（為替ヘッジなし）連動型上場投信　受益証券</t>
  </si>
  <si>
    <t>NEXT FUNDS S&amp;P 500 (Unhedged) Exchange Traded Fund</t>
  </si>
  <si>
    <t>2634</t>
  </si>
  <si>
    <t>ＮＥＸＴ　ＦＵＮＤＳ　Ｓ＆Ｐ　５００　指数（為替ヘッジあり）連動型上場投信　受益証券</t>
  </si>
  <si>
    <t>NEXT FUNDS S&amp;P 500 (Yen-Hedged) Exchange Traded Fund</t>
  </si>
  <si>
    <t>2635</t>
  </si>
  <si>
    <t>ＮＥＸＴ　ＦＵＮＤＳ　Ｓ＆Ｐ　５００　ＥＳＧ指数連動型上場投信　受益証券</t>
  </si>
  <si>
    <t>NEXT FUNDS S&amp;P 500 ESG Index Exchange Traded Fund</t>
  </si>
  <si>
    <t>2636</t>
  </si>
  <si>
    <t>グローバルＸ　ＭＳＣＩ　ガバナンス・クオリティ－日本株式　ＥＴＦ　受益証券</t>
  </si>
  <si>
    <t>Global X MSCI Governance-Quality Japan ETF</t>
  </si>
  <si>
    <t>2637</t>
  </si>
  <si>
    <t>2638</t>
  </si>
  <si>
    <t>グローバルＸ　ロボティクス＆ＡＩ－日本株式　ＥＴＦ　受益証券</t>
  </si>
  <si>
    <t>Global X Japan Robotics &amp; AI ETF</t>
  </si>
  <si>
    <t>2639</t>
  </si>
  <si>
    <t>グローバルＸ　バイオ＆メドテック－日本株式　ＥＴＦ　受益証券</t>
  </si>
  <si>
    <t>Global X Japan Bio &amp; Med Tech ETF</t>
  </si>
  <si>
    <t>2640</t>
  </si>
  <si>
    <t>グローバルＸ　ゲーム＆アニメ－日本株式　ＥＴＦ　受益証券</t>
  </si>
  <si>
    <t>Global X Japan Games &amp; Animation ETF</t>
  </si>
  <si>
    <t>2641</t>
  </si>
  <si>
    <t>2642</t>
  </si>
  <si>
    <t>ＳＭＴ　ＥＴＦカーボン・エフィシェント日本株　受益証券</t>
  </si>
  <si>
    <t>SMT ETF Carbon Efficient Index Japan Equity</t>
  </si>
  <si>
    <t>2643</t>
  </si>
  <si>
    <t>ＮＥＸＴ　ＦＵＮＤＳ　ＭＳＣＩジャパンカントリーＥＳＧリーダーズ指数連動型上場投信　受益証券</t>
  </si>
  <si>
    <t>NEXT FUNDS MSCI Japan Country ESG Leaders Index Exchange Traded Fund</t>
  </si>
  <si>
    <t>2644</t>
  </si>
  <si>
    <t>グローバルＸ　半導体関連－日本株式　ＥＴＦ　受益証券</t>
  </si>
  <si>
    <t>Global X Japan Semiconductor ETF</t>
  </si>
  <si>
    <t>2645</t>
  </si>
  <si>
    <t>グローバルＸ　レジャー＆エンターテインメント－日本株式　ＥＴＦ　受益証券</t>
  </si>
  <si>
    <t>Global X Japan Leisure &amp; Entertainment ETF</t>
  </si>
  <si>
    <t>2646</t>
  </si>
  <si>
    <t>グローバルＸ　メタルビジネス－日本株式　ＥＴＦ　受益証券</t>
  </si>
  <si>
    <t>Global X Japan Metal Business ETF</t>
  </si>
  <si>
    <t>2647</t>
  </si>
  <si>
    <t>ＮＥＸＴ　ＦＵＮＤＳ　ブルームバーグ米国国債（７－１０年）インデックス（為替ヘッジなし）連動型上場投信　受益証券</t>
  </si>
  <si>
    <t>NEXT FUNDS Bloomberg US Treasury Bond (7-10 year) Index (Unhedged) Exchange Traded Fund</t>
  </si>
  <si>
    <t>2648</t>
  </si>
  <si>
    <t>ＮＥＸＴ　ＦＵＮＤＳ　ブルームバーグ米国国債（７－１０年）インデックス（為替ヘッジあり）連動型上場投信　受益証券</t>
  </si>
  <si>
    <t>NEXT FUNDS Bloomberg US Treasury Bond (7-10 year) Index (Yen-Hedged) Exchange Traded Fund</t>
  </si>
  <si>
    <t>2649</t>
  </si>
  <si>
    <t>ｉシェアーズ　米国政府系機関ジニーメイＭＢＳ　ＥＴＦ（為替ヘッジあり）　受益証券</t>
  </si>
  <si>
    <t>iShares Ginnie Mae MBS JPY Hedged ETF</t>
  </si>
  <si>
    <t>2836</t>
  </si>
  <si>
    <t>グローバルＸ　フィンテック－日本株式　ＥＴＦ　受益証券</t>
  </si>
  <si>
    <t>Global X Japan Fintech ETF</t>
  </si>
  <si>
    <t>2837</t>
  </si>
  <si>
    <t>2838</t>
  </si>
  <si>
    <t>ＭＡＸＩＳ米国国債７－１０年上場投信（為替ヘッジなし）　受益証券</t>
  </si>
  <si>
    <t>MAXIS US Treasury Bond 7-10 Year ETF (Unhedged)</t>
  </si>
  <si>
    <t>2839</t>
  </si>
  <si>
    <t>ＭＡＸＩＳ米国国債７－１０年上場投信（為替ヘッジあり）　受益証券</t>
  </si>
  <si>
    <t>MAXIS US Treasury Bond 7-10 Year ETF (JPY Hedged)</t>
  </si>
  <si>
    <t>10</t>
  </si>
  <si>
    <t>16</t>
  </si>
  <si>
    <t>2840</t>
  </si>
  <si>
    <t>ｉＦｒｅｅＥＴＦ　ＮＡＳＤＡＱ１００（為替ヘッジなし）　受益証券</t>
  </si>
  <si>
    <t>iFreeETF NASDAQ100 (NON HEDGED)</t>
  </si>
  <si>
    <t>2841</t>
  </si>
  <si>
    <t>ｉＦｒｅｅＥＴＦ　ＮＡＳＤＡＱ１００（為替ヘッジあり）　受益証券</t>
  </si>
  <si>
    <t>iFreeETF NASDAQ100 (JPY HEDGED)</t>
  </si>
  <si>
    <t>2842</t>
  </si>
  <si>
    <t>ｉＦｒｅｅＥＴＦ　ＮＡＳＤＡＱ１００インバース　受益証券</t>
  </si>
  <si>
    <t>iFreeETF NASDAQ100 Inverse</t>
  </si>
  <si>
    <t>2843</t>
  </si>
  <si>
    <t>上場インデックスファンド豪州国債（為替ヘッジあり）　受益証券</t>
  </si>
  <si>
    <t>Listed Index Fund Australian Government Bond (Currency Hedge)</t>
  </si>
  <si>
    <t>2844</t>
  </si>
  <si>
    <t>上場インデックスファンド豪州国債（為替ヘッジなし）　受益証券</t>
  </si>
  <si>
    <t>Listed Index Fund Australian Government Bond (No Currency Hedge)</t>
  </si>
  <si>
    <t>30</t>
  </si>
  <si>
    <t>23</t>
  </si>
  <si>
    <t>ＮＥＸＴ　ＦＵＮＤＳ　ＮＡＳＤＡＱ－１００（為替ヘッジなし）連動型上場投信　受益証券</t>
  </si>
  <si>
    <t>NEXT FUNDS NASDAQ-100(R) (Unhedged) Exchange Traded Fund</t>
  </si>
  <si>
    <t>ＮＥＸＴ　ＦＵＮＤＳ　ダウ・ジョーンズ工業株３０種平均株価（為替ヘッジなし）連動型上場投信　受益証券</t>
  </si>
  <si>
    <t>NEXT FUNDS DJIA (Unhedged) Exchange Traded Fund</t>
  </si>
  <si>
    <t>2073</t>
  </si>
  <si>
    <t>スマートＥＳＧ３０低カーボンリスク（ネットリターン）ＥＴＮ　受益証券</t>
  </si>
  <si>
    <t>Smart ESG 30 Low Carbon Risk Net Return ETN</t>
  </si>
  <si>
    <t>2845</t>
  </si>
  <si>
    <t>ＮＥＸＴ　ＦＵＮＤＳ　ＮＡＳＤＡＱ－１００（為替ヘッジあり）連動型上場投信　受益証券</t>
  </si>
  <si>
    <t>NEXT FUNDS NASDAQ-100(R) (Yen-Hedged) Exchange Traded Fund</t>
  </si>
  <si>
    <t>2846</t>
  </si>
  <si>
    <t>ＮＥＸＴ　ＦＵＮＤＳ　ダウ・ジョーンズ工業株３０種平均株価（為替ヘッジあり）連動型上場投信　受益証券</t>
  </si>
  <si>
    <t>NEXT FUNDS DJIA (Yen-Hedged) Exchange Traded Fund</t>
  </si>
  <si>
    <t>2847</t>
  </si>
  <si>
    <t>グローバルＸ　新成長インフラ－日本株式　ＥＴＦ　受益証券</t>
  </si>
  <si>
    <t>Global X Japan New Growth Infrastructure ETF</t>
  </si>
  <si>
    <t>2848</t>
  </si>
  <si>
    <t>グローバルＸ　ＭＳＣＩ　気候変動対応－日本株式　ＥＴＦ　受益証券</t>
  </si>
  <si>
    <t>Global X MSCI Japan Climate Change ETF</t>
  </si>
  <si>
    <t>2849</t>
  </si>
  <si>
    <t>グローバルＸ　Ｍｏｒｎｉｎｇｓｔａｒ　高配当　ＥＳＧ－日本株式　ＥＴＦ　受益証券</t>
  </si>
  <si>
    <t>Global X Morningstar Japan High Dividend ESG ETF</t>
  </si>
  <si>
    <t>2850</t>
  </si>
  <si>
    <t>ＮＥＸＴ　ＦＵＮＤＳ　ＳｏｌａｃｔｉｖｅジャパンＥＳＧコア指数連動型上場投信　受益証券</t>
  </si>
  <si>
    <t>NEXT FUNDS Solactive Japan ESG Core Index Exchange Traded Fund</t>
  </si>
  <si>
    <t>2852</t>
  </si>
  <si>
    <t>ｉシェアーズ　グリーンＪリート　ＥＴＦ　受益証券</t>
  </si>
  <si>
    <t>iShares Japan Green REIT ETF</t>
  </si>
  <si>
    <t>2853</t>
  </si>
  <si>
    <t>ｉシェアーズ　気候リスク調整世界国債　ＥＴＦ（除く日本・為替ヘッジあり）　受益証券</t>
  </si>
  <si>
    <t>iShares Climate Risk-Adjusted Global ex Japan Government Bond JPY Hedged ETF</t>
  </si>
  <si>
    <t>2851</t>
  </si>
  <si>
    <t>ｉシェアーズ　ＭＳＣＩ　ジャパンＳＲＩ　ＥＴＦ　受益証券</t>
  </si>
  <si>
    <t>iShares MSCI Japan SRI ETF</t>
  </si>
  <si>
    <t>2854</t>
  </si>
  <si>
    <t>グローバルＸ　テック・トップ２０－日本株式　ＥＴＦ　受益証券</t>
  </si>
  <si>
    <t>Global X Japan Tech Top 20 ETF</t>
  </si>
  <si>
    <t>2855</t>
  </si>
  <si>
    <t>グローバルＸ　グリーン・Ｊ－ＲＥＩＴ　ＥＴＦ　受益証券</t>
  </si>
  <si>
    <t>Global X Green J-REIT ETF</t>
  </si>
  <si>
    <t>2856</t>
  </si>
  <si>
    <t>ｉシェアーズ　米国債３－７年　ＥＴＦ（為替ヘッジあり）　受益証券</t>
  </si>
  <si>
    <t>iShares 3-7 Year US Treasury Bond JPY Hedged ETF</t>
  </si>
  <si>
    <t>2857</t>
  </si>
  <si>
    <t>ｉシェアーズ　ドイツ国債　ＥＴＦ（為替ヘッジあり）　受益証券</t>
  </si>
  <si>
    <t>iShares Germany Government Bond JPY Hedged ETF</t>
  </si>
  <si>
    <t>2858</t>
  </si>
  <si>
    <t>グローバルＸ　日経２２５　カバード・コール　ＥＴＦ（プレミアム再投資型）　受益証券</t>
  </si>
  <si>
    <t>Global X Nikkei 225 Covered Call ETF (option premium reinvestment type)</t>
  </si>
  <si>
    <t>2861</t>
  </si>
  <si>
    <t>上場インデックスファンドフランス国債（為替ヘッジなし）　受益証券</t>
  </si>
  <si>
    <t>Listed Index Fund France Government Bond (No Currency Hedge)</t>
  </si>
  <si>
    <t>2862</t>
  </si>
  <si>
    <t>上場インデックスファンドフランス国債（為替ヘッジあり）　受益証券</t>
  </si>
  <si>
    <t>Listed Index Fund France Government Bond (Currency Hedge)</t>
  </si>
  <si>
    <t>2859</t>
  </si>
  <si>
    <t>ＮＥＸＴ　ＦＵＮＤＳ　ユーロ・ストックス５０指数（為替ヘッジあり）連動型上場投信　受益証券</t>
  </si>
  <si>
    <t>NEXT FUNDS EURO STOXX 50 (Yen-Hedged) Exchange Traded Fund</t>
  </si>
  <si>
    <t>2860</t>
  </si>
  <si>
    <t>ＮＥＸＴ　ＦＵＮＤＳ　ドイツ株式・ＤＡＸ（為替ヘッジあり）連動型上場投信　受益証券</t>
  </si>
  <si>
    <t>NEXT FUNDS German Equity DAX (Yen-Hedged) Exchange Traded Fund</t>
  </si>
  <si>
    <t>2863</t>
  </si>
  <si>
    <t>ＮＥＸＴ　ＦＵＮＤＳ　Ｓ＆Ｐ米国株式・債券バランス保守型指数（為替ヘッジあり）連動型上場投信　受益証券</t>
  </si>
  <si>
    <t>NEXT FUNDS S&amp;P US Equity and Bond Balance Conservative Index (Yen-Hedged) Exchange Traded Fund</t>
  </si>
  <si>
    <t>2864</t>
  </si>
  <si>
    <t>グローバルＸ　ロジスティクス・ＲＥＩＴ　ＥＴＦ　受益証券</t>
  </si>
  <si>
    <t>Global X Logistics REIT ETF</t>
  </si>
  <si>
    <t>2865</t>
  </si>
  <si>
    <t>グローバルＸ　ＮＡＳＤＡＱ１００・カバード・コール　ＥＴＦ　受益証券</t>
  </si>
  <si>
    <t>Global X Nasdaq 100 Covered Call ETF</t>
  </si>
  <si>
    <t>2866</t>
  </si>
  <si>
    <t>グローバルＸ　米国優先証券　ＥＴＦ　受益証券</t>
  </si>
  <si>
    <t>Global X U.S. Preferred Security ETF</t>
  </si>
  <si>
    <t>東証スタンダードＴＯＰ２０ＥＴＦ　受益証券</t>
  </si>
  <si>
    <t>TSE Standard Top 20 ETF</t>
  </si>
  <si>
    <t>東証グロース・コアＥＴＦ　受益証券</t>
  </si>
  <si>
    <t>TSE Growth Core ETF</t>
  </si>
  <si>
    <t>2867</t>
  </si>
  <si>
    <t>グローバルＸ　自動運転＆ＥＶ　ＥＴＦ　受益証券</t>
  </si>
  <si>
    <t>Global X Autonomous &amp; EV ETF</t>
  </si>
  <si>
    <t>2868</t>
  </si>
  <si>
    <t>グローバルＸ　Ｓ＆Ｐ５００・カバード・コール　ＥＴＦ　受益証券</t>
  </si>
  <si>
    <t>Global X S&amp;P 500 Covered Call ETF</t>
  </si>
  <si>
    <t>2869</t>
  </si>
  <si>
    <t>ｉＦｒｅｅＥＴＦ　ＮＡＳＤＡＱ１００レバレッジ　受益証券</t>
  </si>
  <si>
    <t>2870</t>
  </si>
  <si>
    <t>ｉＦｒｅｅＥＴＦ　ＮＡＳＤＡＱ１００ダブルインバース　受益証券</t>
  </si>
  <si>
    <t>2235</t>
  </si>
  <si>
    <t>上場インデックスファンド米国株式（ダウ平均）為替ヘッジなし　受益証券</t>
  </si>
  <si>
    <t>Listed Index Fund US Equity (Dow Average) No Currency Hedge</t>
  </si>
  <si>
    <t>2236</t>
  </si>
  <si>
    <t>グローバルＸ　Ｓ＆Ｐ５００配当貴族ＥＴＦ　受益証券</t>
  </si>
  <si>
    <t>Global X S&amp;P 500 Dividend Aristocrats ETF</t>
  </si>
  <si>
    <t>22</t>
  </si>
  <si>
    <t>15</t>
  </si>
  <si>
    <t>9</t>
  </si>
  <si>
    <t>2237</t>
  </si>
  <si>
    <t>ｉＦｒｅｅＥＴＦ　Ｓ＆Ｐ５００レバレッジ　受益証券</t>
  </si>
  <si>
    <t>iFreeETF S&amp;P500 Leveraged (2x)</t>
  </si>
  <si>
    <t>2238</t>
  </si>
  <si>
    <t>ｉＦｒｅｅＥＴＦ　Ｓ＆Ｐ５００インバース　受益証券</t>
  </si>
  <si>
    <t>iFreeETF S&amp;P500 Inverse</t>
  </si>
  <si>
    <t>29</t>
  </si>
  <si>
    <t>2239</t>
  </si>
  <si>
    <t>上場インデックスファンドＳ＆Ｐ５００先物レバレッジ２倍　受益証券</t>
  </si>
  <si>
    <t>Listed Index Fund S&amp;P500 Futures Leveraged Two Times</t>
  </si>
  <si>
    <t>2240</t>
  </si>
  <si>
    <t>上場インデックスファンドＳ＆Ｐ５００先物インバース　受益証券</t>
  </si>
  <si>
    <t>Listed Index Fund S&amp;P500 Futures Inverse</t>
  </si>
  <si>
    <t>2241</t>
  </si>
  <si>
    <t>ＭＡＸＩＳ　ＮＹダウ上場投信　受益証券</t>
  </si>
  <si>
    <t>MAXIS NY Dow Industrial Average ETF</t>
  </si>
  <si>
    <t>2242</t>
  </si>
  <si>
    <t>ＭＡＸＩＳ　ＮＹダウ上場投信（為替ヘッジあり）　受益証券</t>
  </si>
  <si>
    <t>MAXIS NY Dow Industrial Average ETF (JPY Hedged)</t>
  </si>
  <si>
    <t>ｉＦｒｅｅＥＴＦ　ＴＯＰＩＸ（年１回決算型）　受益証券</t>
  </si>
  <si>
    <t>iFreeETF TOPIX (Yearly Dividend Type)</t>
  </si>
  <si>
    <t>ｉＦｒｅｅＥＴＦ　日経２２５（年１回決算型）　受益証券</t>
  </si>
  <si>
    <t>iFreeETF Nikkei225 (Yearly Dividend Type)</t>
  </si>
  <si>
    <t>ｉＦｒｅｅＥＴＦ　日経平均レバレッジ・インデックス　受益証券</t>
  </si>
  <si>
    <t>iFreeETF Nikkei225 Leveraged Index</t>
  </si>
  <si>
    <t>ｉＦｒｅｅＥＴＦ　日経平均ダブルインバース・インデックス　受益証券</t>
  </si>
  <si>
    <t>iFreeETF Nikkei225 Double Inverse Index</t>
  </si>
  <si>
    <t>ｉＦｒｅｅＥＴＦ　ＴＯＰＩＸレバレッジ（２倍）指数　受益証券</t>
  </si>
  <si>
    <t>iFreeETF TOPIX Leveraged (2x) Index</t>
  </si>
  <si>
    <t>ｉＦｒｅｅＥＴＦ　ＴＯＰＩＸダブルインバース（－２倍）指数　受益証券</t>
  </si>
  <si>
    <t>iFreeETF TOPIX Double Inverse (-2x) Index</t>
  </si>
  <si>
    <t>ｉＦｒｅｅＥＴＦ　日経平均インバース・インデックス　受益証券</t>
  </si>
  <si>
    <t>iFreeETF Nikkei225 Inverse Index</t>
  </si>
  <si>
    <t>ｉＦｒｅｅＥＴＦ　ＴＯＰＩＸインバース（－１倍）指数　受益証券</t>
  </si>
  <si>
    <t>iFreeETF TOPIX Inverse (-1x) Index</t>
  </si>
  <si>
    <t>ｉＦｒｅｅＥＴＦ　ＪＰＸ日経４００ダブルインバース・インデックス　受益証券</t>
  </si>
  <si>
    <t>iFreeETF JPX-Nikkei400 Double Inverse (-2x) Index</t>
  </si>
  <si>
    <t>ｉＦｒｅｅＥＴＦ　ＭＳＣＩ日本株人材設備投資指数　受益証券</t>
  </si>
  <si>
    <t>iFreeETF MSCI Japan Human and Physical Investment Index</t>
  </si>
  <si>
    <t>ｉＦｒｅｅＥＴＦ　東証ＲＥＩＴ指数　受益証券</t>
  </si>
  <si>
    <t>iFreeETF Tokyo Stock Exchange REIT Index</t>
  </si>
  <si>
    <t>ｉＦｒｅｅＥＴＦ　ＴＯＰＩＸ　Ｅｘ－Ｆｉｎａｎｃｉａｌｓ　受益証券</t>
  </si>
  <si>
    <t>iFreeETF TOPIX Ex-Financials</t>
  </si>
  <si>
    <t>ｉＦｒｅｅＥＴＦ　ＪＰＸ日経４００　受益証券</t>
  </si>
  <si>
    <t>iFreeETF JPX-Nikkei400</t>
  </si>
  <si>
    <t>ｉＦｒｅｅＥＴＦ　ＴＯＰＩＸ高配当４０指数　受益証券</t>
  </si>
  <si>
    <t>iFreeETF TOPIX High Dividend Yield 40 Index</t>
  </si>
  <si>
    <t>ｉＦｒｅｅＥＴＦ　ＭＳＣＩ日本株女性活躍指数（ＷＩＮ）　受益証券</t>
  </si>
  <si>
    <t>iFreeETF MSCI Japan Empowering Women Index (WIN)</t>
  </si>
  <si>
    <t>ｉＦｒｅｅＥＴＦ　ＭＳＣＩジャパンＥＳＧセレクト・リーダーズ指数　受益証券</t>
  </si>
  <si>
    <t>iFreeETF MSCI Japan ESG Select Leaders Index</t>
  </si>
  <si>
    <t>ｉＦｒｅｅＥＴＦ　ＦＴＳＥ　Ｂｌｏｓｓｏｍ　Ｊａｐａｎ　Ｉｎｄｅｘ　受益証券</t>
  </si>
  <si>
    <t>iFreeETF FTSE Blossom Japan Index</t>
  </si>
  <si>
    <t>2243</t>
  </si>
  <si>
    <t>グローバルＸ　半導体　ＥＴＦ　受益証券</t>
  </si>
  <si>
    <t>Global X Semiconductor ETF</t>
  </si>
  <si>
    <t>2244</t>
  </si>
  <si>
    <t>グローバルＸ　ＵＳ　テック・トップ２０　ＥＴＦ　受益証券</t>
  </si>
  <si>
    <t>Global X US Tech Top 20 ETF</t>
  </si>
  <si>
    <t>2245</t>
  </si>
  <si>
    <t>ＮＥＸＴ　ＦＵＮＤＳ　ブルームバーグ・ドイツ国債（７－１０年）インデックス（為替ヘッジあり）連動型上場投信　受益証券</t>
  </si>
  <si>
    <t>NEXT FUNDS Bloomberg Germany Treasury Bond (7-10 year) Index (Yen-Hedged) Exchange Traded Fund</t>
  </si>
  <si>
    <t>2246</t>
  </si>
  <si>
    <t>ＮＥＸＴ　ＦＵＮＤＳ　ブルームバーグ・フランス国債（７－１０年）インデックス（為替ヘッジあり）連動型上場投信　受益証券</t>
  </si>
  <si>
    <t>NEXT FUNDS Bloomberg France Treasury Bond (7-10 year) Index (Yen-Hedged) Exchange Traded Fund</t>
  </si>
  <si>
    <t>ｉＦｒｅｅＥＴＦ　東証ＲＥＩＴ　Ｃｏｒｅ指数　受益証券</t>
  </si>
  <si>
    <t>iFreeETF Tokyo Stock Exchange REIT Core Index</t>
  </si>
  <si>
    <t>iFreeETF Nikkei225 (Quarterly Dividend Type)</t>
  </si>
  <si>
    <t>iFreeETF TOPIX (Quarterly Dividend Type)</t>
  </si>
  <si>
    <t>iFreeETF NASDAQ100 Leveraged (2x)</t>
  </si>
  <si>
    <t>iFreeETF NASDAQ100 Double Inverse (-2x)</t>
  </si>
  <si>
    <t>2247</t>
  </si>
  <si>
    <t>ｉＦｒｅｅＥＴＦ　Ｓ＆Ｐ５００（為替ヘッジなし）　受益証券</t>
  </si>
  <si>
    <t>iFreeETF S&amp;P500 (NON HEDGED)</t>
  </si>
  <si>
    <t>2248</t>
  </si>
  <si>
    <t>ｉＦｒｅｅＥＴＦ　Ｓ＆Ｐ５００（為替ヘッジあり）　受益証券</t>
  </si>
  <si>
    <t>iFreeETF S&amp;P500 (JPY HEDGED)</t>
  </si>
  <si>
    <t>2249</t>
  </si>
  <si>
    <t>ｉＦｒｅｅＥＴＦ　Ｓ＆Ｐ５００ダブルインバース　受益証券</t>
  </si>
  <si>
    <t>iFreeETF S&amp;P500 Double Inverse (-2x)</t>
  </si>
  <si>
    <t>2250</t>
  </si>
  <si>
    <t>ｉシェアーズ　ＭＳＣＩ　ジャパン気候変動アクション　ＥＴＦ　受益証券</t>
  </si>
  <si>
    <t>iShares MSCI Japan Climate Action ETF</t>
  </si>
  <si>
    <t>2251</t>
  </si>
  <si>
    <t>ＮＥＸＴ　ＦＵＮＤＳ　ＪＰＸ国債先物ダブルインバース指数連動型上場投信　受益証券</t>
  </si>
  <si>
    <t>NEXT FUNDS JPX JGB Futures Double Inverse Index Exchange Traded Fund</t>
  </si>
  <si>
    <t>ＮＥＸＴ　ＦＵＮＤＳ　東証ＲＥＩＴ　指数連動型上場投信　受益証券</t>
  </si>
  <si>
    <t>Listed Index Fund J-REIT (Tokyo Stock Exchange REIT Index)Bi-Monthly Dividend Payment Type</t>
  </si>
  <si>
    <t>MAXIS NIKKEI 225 ETF</t>
  </si>
  <si>
    <t>NEXT FUNDS Nikkei 225 Double Inverse Index Exchange Traded Fund</t>
  </si>
  <si>
    <t>上場インデックスファンド豪州リート（Ｓ＆Ｐ／ＡＳＸ２００　Ａ－ＲＥＩＴ）　受益証券</t>
  </si>
  <si>
    <t>NEXT FUNDS Nomura Japan Equity High Dividend 70 Exchange Traded Fund</t>
  </si>
  <si>
    <t>ｉシェアーズ・コア　ＭＳＣＩ　先進国株（除く日本）ＥＴＦ　受益証券</t>
  </si>
  <si>
    <t>ＮＥＸＴ　ＦＵＮＤＳ　インド株式指数・Ｎｉｆｔｙ　５０　連動型上場投信　受益証券</t>
  </si>
  <si>
    <t>Ｓｉｍｐｌｅ－Ｘ　ＮＹ　ダウ・ジョーンズ・インデックス上場投信　受益証券</t>
  </si>
  <si>
    <t>Listed Index Fund International Developed Countries Equity (MSCI-KOKUSAI)</t>
  </si>
  <si>
    <t>上場インデックスファンド海外新興国株式（ＭＳＣＩ　エマージング）　受益証券</t>
  </si>
  <si>
    <t>Listed Index Fund International Emerging Countries Equity (MSCI EMERGING)</t>
  </si>
  <si>
    <t>Listed Index Fund Japan High Dividend (TSE Dividend Focus 100)</t>
  </si>
  <si>
    <t>ＮＥＸＴ　ＦＵＮＤＳ　ＮＯＭＵＲＡ　原油インデックス連動型上場投信　受益証券</t>
  </si>
  <si>
    <t>NEXT FUNDS NOMURA Crude Oil Long Index Linked Exchange Traded Fund</t>
  </si>
  <si>
    <t>2252</t>
  </si>
  <si>
    <t>グローバルＸ　Ｍｏｒｎｉｎｇｓｔａｒ　米国中小型　Ｍｏａｔ　ＥＴＦ　受益証券</t>
  </si>
  <si>
    <t>Global X Morningstar US Small Mid Moat ETF</t>
  </si>
  <si>
    <t>2253</t>
  </si>
  <si>
    <t>グローバルＸ　スーパーディビィデンド－ＵＳ　ＥＴＦ　受益証券</t>
  </si>
  <si>
    <t>Global X SuperDividend U.S. ETF</t>
  </si>
  <si>
    <t>2254</t>
  </si>
  <si>
    <t>グローバルＸ　チャイナＥＶ＆バッテリー　ＥＴＦ　受益証券</t>
  </si>
  <si>
    <t>Global X China Electric Vehicle and Battery ETF</t>
  </si>
  <si>
    <t>2080</t>
  </si>
  <si>
    <t>ＰＢＲ１倍割れ解消推進ＥＴＦ　受益証券</t>
  </si>
  <si>
    <t>PBR Improvement over 1x ETF</t>
  </si>
  <si>
    <t>2081</t>
  </si>
  <si>
    <t>政策保有解消推進ＥＴＦ　受益証券</t>
  </si>
  <si>
    <t>Strategic Shareholding Disposal Promotion ETF</t>
  </si>
  <si>
    <t>2082</t>
  </si>
  <si>
    <t>投資家経営者一心同体ＥＴＦ　受益証券</t>
  </si>
  <si>
    <t>Investor-Management Unite as One ETF</t>
  </si>
  <si>
    <t>2083</t>
  </si>
  <si>
    <t>ＮＥＸＴ　ＦＵＮＤＳ　日本成長株アクティブ上場投信　受益証券</t>
  </si>
  <si>
    <t>NEXT FUNDS Japan Growth Equity Active Exchange Traded Fund</t>
  </si>
  <si>
    <t>2084</t>
  </si>
  <si>
    <t>ＮＥＸＴ　ＦＵＮＤＳ　日本高配当株アクティブ上場投信　受益証券</t>
  </si>
  <si>
    <t>NEXT FUNDS Japan High Dividend Equity Active Exchange Traded Fund</t>
  </si>
  <si>
    <t>2085</t>
  </si>
  <si>
    <t>ＭＡＸＩＳ高配当日本株アクティブ上場投信　受益証券</t>
  </si>
  <si>
    <t>MAXIS High Dividend Japan Equity Actively Managed ETF</t>
  </si>
  <si>
    <t>2086</t>
  </si>
  <si>
    <t>ＮＺＡＭ　上場投信　Ｓ＆Ｐ５００（為替ヘッジあり）　受益証券</t>
  </si>
  <si>
    <t>NZAM ETF S&amp;P500 (JPY Hedged)</t>
  </si>
  <si>
    <t>2087</t>
  </si>
  <si>
    <t>ＮＺＡＭ　上場投信　ＮＡＳＤＡＱ１００（為替ヘッジあり）　受益証券</t>
  </si>
  <si>
    <t>NZAM ETF NASDAQ100 (JPY Hedged)</t>
  </si>
  <si>
    <t>2088</t>
  </si>
  <si>
    <t>ＮＺＡＭ　上場投信　ＮＹダウ３０（為替ヘッジあり）　受益証券</t>
  </si>
  <si>
    <t>NZAM ETF NY Dow30 (JPY Hedged)</t>
  </si>
  <si>
    <t>2089</t>
  </si>
  <si>
    <t>ＮＺＡＭ　上場投信　ＤＡＸ（為替ヘッジあり）　受益証券</t>
  </si>
  <si>
    <t>NZAM ETF DAX (JPY Hedged)</t>
  </si>
  <si>
    <t>2090</t>
  </si>
  <si>
    <t>ＮＺＡＭ　上場投信　米国国債７－１０年（為替ヘッジあり）　受益証券</t>
  </si>
  <si>
    <t>NZAM ETF US Treasury 7-10Y (JPY Hedged)</t>
  </si>
  <si>
    <t>2091</t>
  </si>
  <si>
    <t>ＮＺＡＭ　上場投信　ドイツ国債７－１０年（為替ヘッジあり）　受益証券</t>
  </si>
  <si>
    <t>NZAM ETF German Government Bond 7-10Y (JPY Hedged)</t>
  </si>
  <si>
    <t>2092</t>
  </si>
  <si>
    <t>ＮＺＡＭ　上場投信　フランス国債７－１０年（為替ヘッジあり）　受益証券</t>
  </si>
  <si>
    <t>NZAM ETF France Government Bond 7-10Y (JPY Hedged)</t>
  </si>
  <si>
    <t>Global X Japan Mid &amp; Small Cap Leaders ETF</t>
  </si>
  <si>
    <t>グローバルＸ　中小型リーダーズ－日本株式　ＥＴＦ　受益証券</t>
  </si>
  <si>
    <t>Global X Japan Global Leaders ETF</t>
  </si>
  <si>
    <t>グローバルＸ　グローバルリーダーズ－日本株式　ＥＴＦ　受益証券</t>
  </si>
  <si>
    <t>Global X CleanTech Japan ETF</t>
  </si>
  <si>
    <t>グローバルＸ　クリーンテック－日本株式　ＥＴＦ　受益証券</t>
  </si>
  <si>
    <t>Global X Hotel &amp; Retail J-REIT ETF</t>
  </si>
  <si>
    <t>グローバルＸ　ホテル＆リテール・Ｊ－ＲＥＩＴ　ＥＴＦ　受益証券</t>
  </si>
  <si>
    <t>2098</t>
  </si>
  <si>
    <t>Global X Residential J-REIT ETF</t>
  </si>
  <si>
    <t>グローバルＸ　レジデンシャル・Ｊ－ＲＥＩＴ　ＥＴＦ　受益証券</t>
  </si>
  <si>
    <t>2097</t>
  </si>
  <si>
    <t>Global X Office J-REIT ETF</t>
  </si>
  <si>
    <t>グローバルＸ　オフィス・Ｊ－ＲＥＩＴ　ＥＴＦ　受益証券</t>
  </si>
  <si>
    <t>2096</t>
  </si>
  <si>
    <t>Global X S&amp;P 500 Dividend Aristocrats ETF (JPY Hedged)</t>
  </si>
  <si>
    <t>グローバルＸ　Ｓ＆Ｐ５００配当貴族　ＥＴＦ（為替ヘッジあり）　受益証券</t>
  </si>
  <si>
    <t>2095</t>
  </si>
  <si>
    <t>TSE REIT Inverse ETF</t>
  </si>
  <si>
    <t>東証ＲＥＩＴインバースＥＴＦ　受益証券</t>
  </si>
  <si>
    <t>2094</t>
  </si>
  <si>
    <t>Listed Tracers US Government Bond 0-2years Ladder (No Currency Hedge)</t>
  </si>
  <si>
    <t>上場Ｔｒａｃｅｒｓ　米国債０－２年ラダー（為替ヘッジなし）　受益証券</t>
  </si>
  <si>
    <t>2093</t>
  </si>
  <si>
    <t>2011</t>
  </si>
  <si>
    <t>ＳＭＤＡＭ　Ａｃｔｉｖｅ　ＥＴＦ　日本高配当株式　受益証券</t>
  </si>
  <si>
    <t>SMDAM Active ETF Japan High Dividend Equity</t>
  </si>
  <si>
    <t>ＮＥＸＴ　ＮＯＴＥＳ　東証グロース市場２５０　ＥＴＮ　受益証券</t>
  </si>
  <si>
    <t>NEXT NOTES Tokyo Stock Exchange Growth Market 250 Index ETN</t>
  </si>
  <si>
    <t>2255</t>
  </si>
  <si>
    <t>ｉシェアーズ　米国債２０年超　ＥＴＦ　受益証券</t>
  </si>
  <si>
    <t>iShares 20+ Year US Treasury Bond ETF</t>
  </si>
  <si>
    <t>2256</t>
  </si>
  <si>
    <t>ｉシェアーズ　米国総合債券　ＥＴＦ　受益証券</t>
  </si>
  <si>
    <t>iShares US Aggregate Bond ETF</t>
  </si>
  <si>
    <t>2257</t>
  </si>
  <si>
    <t>ｉシェアーズ　米ドル建て投資適格社債　ＥＴＦ　受益証券</t>
  </si>
  <si>
    <t>iShares USD Investment Grade Corporate Bond ETF</t>
  </si>
  <si>
    <t>2258</t>
  </si>
  <si>
    <t>ｉシェアーズ　米ドル建てハイイールド社債　ＥＴＦ　受益証券</t>
  </si>
  <si>
    <t>iShares USD High Yield Corporate Bond ETF</t>
  </si>
  <si>
    <t>2259</t>
  </si>
  <si>
    <t>ｉシェアーズ　フランス国債７－１０年　ＥＴＦ（為替ヘッジあり）　受益証券</t>
  </si>
  <si>
    <t>iShares 7-10 Year France Government Bond JPY Hedged ETF</t>
  </si>
  <si>
    <t>東証グロース２５０ＥＴＦ　受益証券</t>
  </si>
  <si>
    <t>TSE Growth 250 ETF</t>
  </si>
  <si>
    <t>133A</t>
  </si>
  <si>
    <t>グローバルＸ　超短期米国債　ＥＴＦ　受益証券</t>
  </si>
  <si>
    <t>Global X Ultra Short-Term T-Bill ETF</t>
  </si>
  <si>
    <t>2012</t>
  </si>
  <si>
    <t>ｉシェアーズ　米国債０－３ヶ月　ＥＴＦ　受益証券</t>
  </si>
  <si>
    <t>iShares 0-3 Month US Treasury Bond ETF</t>
  </si>
  <si>
    <t>2013</t>
  </si>
  <si>
    <t>ｉシェアーズ　米国高配当株　ＥＴＦ　受益証券</t>
  </si>
  <si>
    <t>iShares US High Dividend ETF</t>
  </si>
  <si>
    <t>2014</t>
  </si>
  <si>
    <t>ｉシェアーズ　米国連続増配株　ＥＴＦ　受益証券</t>
  </si>
  <si>
    <t>iShares US Dividend Growth ETF</t>
  </si>
  <si>
    <t>2015</t>
  </si>
  <si>
    <t>ｉＦｒｅｅＥＴＦ　米国国債７－１０年（為替ヘッジなし）　受益証券</t>
  </si>
  <si>
    <t>iFreeETF US Treasury Bond 7-10 Year (NON HEDGED)</t>
  </si>
  <si>
    <t>2016</t>
  </si>
  <si>
    <t>ｉＦｒｅｅＥＴＦ　米国国債７－１０年（為替ヘッジあり）　受益証券</t>
  </si>
  <si>
    <t>iFreeETF US Treasury Bond 7-10 Year (JPY HEDGED)</t>
  </si>
  <si>
    <t>2017</t>
  </si>
  <si>
    <t>ｉＦｒｅｅＥＴＦ　ＪＰＸプライム１５０　受益証券</t>
  </si>
  <si>
    <t>iFreeETF JPX Prime 150</t>
  </si>
  <si>
    <t>2018</t>
  </si>
  <si>
    <t>グローバルＸ　ＵＳ　ＲＥＩＴ・トップ２０　ＥＴＦ　受益証券</t>
  </si>
  <si>
    <t>Global X US REIT Top 20 ETF</t>
  </si>
  <si>
    <t>2019</t>
  </si>
  <si>
    <t>グローバルＸ　米国優先証券　ＥＴＦ（隔月分配型）　受益証券</t>
  </si>
  <si>
    <t>Global X U.S. Preferred Security ETF (Bi-monthly dividend type)</t>
  </si>
  <si>
    <t>27</t>
  </si>
  <si>
    <t>21</t>
  </si>
  <si>
    <t>8</t>
  </si>
  <si>
    <t>28</t>
  </si>
  <si>
    <t>7</t>
  </si>
  <si>
    <t>14</t>
  </si>
  <si>
    <t>20</t>
  </si>
  <si>
    <t>140A</t>
  </si>
  <si>
    <t>ｉＦｒｅｅＥＴＦ　米国１０年国債先物インバース　受益証券</t>
  </si>
  <si>
    <t>iFreeETF 10-Year U.S. Treasury Note Futures Inverse</t>
  </si>
  <si>
    <t>6</t>
  </si>
  <si>
    <t>SMT ETF Japan Equity Income Strategy Active</t>
  </si>
  <si>
    <t>ＳＭＴ　ＥＴＦ日本好配当株アクティブ　受益証券</t>
  </si>
  <si>
    <t>170A</t>
  </si>
  <si>
    <t>Semiconductor Focus Japan Equity Net Return ETN</t>
  </si>
  <si>
    <t>半導体フォーカス　日本株（ネットリターン）ＥＴＮ　受益証券</t>
  </si>
  <si>
    <t>163A</t>
  </si>
  <si>
    <t>AI Select Megatrend Japan Equity Net Return ETN</t>
  </si>
  <si>
    <t>ＡＩセレクトメガトレンド　日本株（ネットリターン）ＥＴＮ　受益証券</t>
  </si>
  <si>
    <t>162A</t>
  </si>
  <si>
    <t>NEXT FUNDS JPX Prime 150 Index Exchange Traded Fund</t>
  </si>
  <si>
    <t>ＮＥＸＴ　ＦＵＮＤＳ　ＪＰＸプライム１５０指数連動型上場投信　受益証券</t>
  </si>
  <si>
    <t>159A</t>
  </si>
  <si>
    <t>178A</t>
  </si>
  <si>
    <t>グローバルＸ　革新的優良企業　ＥＴＦ　受益証券</t>
  </si>
  <si>
    <t>Global X Innovative Bluechip Top 10+ ETF</t>
  </si>
  <si>
    <t>179A</t>
  </si>
  <si>
    <t>グローバルＸ　超長期米国債　ＥＴＦ（為替ヘッジあり）　受益証券</t>
  </si>
  <si>
    <t>Global X 25+ Year T-Bond ETF (JPY Hedged)</t>
  </si>
  <si>
    <t>180A</t>
  </si>
  <si>
    <t>グローバルＸ　超長期米国債　ＥＴＦ　受益証券</t>
  </si>
  <si>
    <t>Global X 25+ Year T-Bond ETF</t>
  </si>
  <si>
    <t>181A</t>
  </si>
  <si>
    <t>ＭＡＸＩＳ米国国債１－３年上場投信（為替ヘッジなし）　受益証券</t>
  </si>
  <si>
    <t>MAXIS US Treasury Bond 1-3 Year ETF (Unhedged)</t>
  </si>
  <si>
    <t>182A</t>
  </si>
  <si>
    <t>ＭＡＸＩＳ米国国債２０年超上場投信（為替ヘッジなし）　受益証券</t>
  </si>
  <si>
    <t>MAXIS US Treasury Bond 20+ Year ETF (Unhedged)</t>
  </si>
  <si>
    <t>183A</t>
  </si>
  <si>
    <t>ＭＡＸＩＳ米国国債２０年超上場投信（為替ヘッジあり）　受益証券</t>
  </si>
  <si>
    <t>MAXIS US Treasury Bond 20+ Year ETF (JPY Hedged)</t>
  </si>
  <si>
    <t>188A</t>
  </si>
  <si>
    <t>グローバルＸ　インド・トップ１０＋　ＥＴＦ　受益証券</t>
  </si>
  <si>
    <t>Global X India Top 10+ ETF</t>
  </si>
  <si>
    <t>200A</t>
  </si>
  <si>
    <t>ＮＥＸＴ　ＦＵＮＤＳ　日経半導体株指数連動型上場投信　受益証券</t>
  </si>
  <si>
    <t>NEXT FUNDS Nikkei Semiconductor Stock Index Exchange Traded Fund</t>
  </si>
  <si>
    <t>201A</t>
  </si>
  <si>
    <t>ｉシェアーズ　Ｎｉｆｔｙ　５０　インド株　ＥＴＦ　受益証券</t>
  </si>
  <si>
    <t>iShares Nifty 50 ETF</t>
  </si>
  <si>
    <t>210A</t>
  </si>
  <si>
    <t>ｉＦｒｅｅＥＴＦ　日経高利回りＲＥＩＴ指数　受益証券</t>
  </si>
  <si>
    <t>iFreeETF Nikkei High Yield REIT Index</t>
  </si>
  <si>
    <t>Global X Uranium ETF</t>
  </si>
  <si>
    <t>グローバルＸ　ウラニウムビジネス　ＥＴＦ　受益証券</t>
  </si>
  <si>
    <t>224A</t>
  </si>
  <si>
    <t>Global X Artificial Intelligence &amp; Technology ETF</t>
  </si>
  <si>
    <t>グローバルＸ　ＡＩ＆ビッグデータ　ＥＴＦ　受益証券</t>
  </si>
  <si>
    <t>223A</t>
  </si>
  <si>
    <t>MAXIS Nikkei Semiconductor Stock (Japan) ETF</t>
  </si>
  <si>
    <t>ＭＡＸＩＳ日経半導体株上場投信　受益証券</t>
  </si>
  <si>
    <t>221A</t>
  </si>
  <si>
    <t>Listed Index Fund Nikkei Semiconductor Stock</t>
  </si>
  <si>
    <t>上場インデックスファンド日経半導体株　受益証券</t>
  </si>
  <si>
    <t>213A</t>
  </si>
  <si>
    <t>233A</t>
  </si>
  <si>
    <t>ｉＦｒｅｅＥＴＦ　インドＮｉｆｔｙ５０　受益証券</t>
  </si>
  <si>
    <t>iFreeETF Nifty50</t>
  </si>
  <si>
    <t>234A</t>
  </si>
  <si>
    <t>グローバルＸ　ＭＳＣＩ　キャッシュフローキング－日本株式　ＥＴＦ　受益証券</t>
  </si>
  <si>
    <t>Global X MSCI Japan Cash Flow Kings ETF</t>
  </si>
  <si>
    <t>235A</t>
  </si>
  <si>
    <t>グローバルＸ　高配当３０－日本株式　ＥＴＦ　受益証券</t>
  </si>
  <si>
    <t>Global X Japan High Dividend 30 ETF</t>
  </si>
  <si>
    <t>236A</t>
  </si>
  <si>
    <t>ｉシェアーズ　日本国債７－１０年　ＥＴＦ　受益証券</t>
  </si>
  <si>
    <t>iShares 7-10 Year Japan Government Bond ETF</t>
  </si>
  <si>
    <t>237A</t>
  </si>
  <si>
    <t>ｉシェアーズ　米国債２５年超　ロングデュレーション　ＥＴＦ　受益証券</t>
  </si>
  <si>
    <t>iShares 25+ Year US Treasury Bond Long Duration ETF</t>
  </si>
  <si>
    <t>238A</t>
  </si>
  <si>
    <t>ｉシェアーズ　米国債２５年超　ロングデュレーション　ＥＴＦ（為替ヘッジあり）　受益証券</t>
  </si>
  <si>
    <t>iShares 25+ Year US Treasury Bond Long Duration JPY Hedged ETF</t>
  </si>
  <si>
    <t>257A</t>
  </si>
  <si>
    <t>ＳＭＴ　ＥＴＦ日本株厳選投資アクティブ　受益証券</t>
  </si>
  <si>
    <t>SMT ETF Selected Japan Equity Active</t>
  </si>
  <si>
    <t>258A</t>
  </si>
  <si>
    <t>ＳＭＴ　ＥＴＦ国内リート厳選投資アクティブ　受益証券</t>
  </si>
  <si>
    <t>SMT ETF Selected J-REIT Active</t>
  </si>
  <si>
    <t>SBI Saudi Arabia Equity Exchange Traded Fund</t>
  </si>
  <si>
    <t>ＳＢＩ　サウジアラビア株式上場投信　受益証券</t>
  </si>
  <si>
    <t>273A</t>
  </si>
  <si>
    <t>282A</t>
  </si>
  <si>
    <t>グローバルＸ　半導体・トップ１０－日本株式　ＥＴＦ　受益証券</t>
  </si>
  <si>
    <t>Global X Japan Semiconductor Top 10 ETF</t>
  </si>
  <si>
    <t>283A</t>
  </si>
  <si>
    <t>グローバルＸ　ＵＳ　テック・配当貴族　ＥＴＦ　受益証券</t>
  </si>
  <si>
    <t>Global X US Tech Dividend Aristocrats ETF</t>
  </si>
  <si>
    <t>294A</t>
  </si>
  <si>
    <t>ＮＥＸＴ　ＦＵＮＤＳ　ＭＳＣＩジャパン気候変動指数（セレクト）連動型上場投信　受益証券</t>
  </si>
  <si>
    <t>NEXT FUNDS MSCI Global Climate 500 Japan Selection Index Exchange Traded Fund</t>
  </si>
  <si>
    <t>295A</t>
  </si>
  <si>
    <t>Ｏｎｅ　ＥＴＦ　ＦＴＳＥ・サウジアラビア・インデックス　受益証券</t>
  </si>
  <si>
    <t>One ETF FTSE Saudi Arabia Index</t>
  </si>
  <si>
    <t>2025/01</t>
  </si>
  <si>
    <t>313A</t>
  </si>
  <si>
    <t>ｉシェアーズ　Ｓ＆Ｐ　５００　トップ　２０　ＥＴＦ　受益証券</t>
  </si>
  <si>
    <t>iShares S&amp;P 500 Top 20 ETF</t>
  </si>
  <si>
    <t xml:space="preserve">2025/01/16  </t>
  </si>
  <si>
    <t>314A</t>
  </si>
  <si>
    <t>ｉシェアーズ　ゴールド　ＥＴＦ　受益証券</t>
  </si>
  <si>
    <t>iShares Gold ETF</t>
  </si>
  <si>
    <t>315A</t>
  </si>
  <si>
    <t>グローバルＸ　銀行　高配当－日本株式　ＥＴＦ　受益証券</t>
  </si>
  <si>
    <t>Global X Japan Bank High Dividend ETF</t>
  </si>
  <si>
    <t xml:space="preserve">2025/01/09  </t>
  </si>
  <si>
    <t>316A</t>
  </si>
  <si>
    <t>ｉＦｒｅｅＥＴＦ　ＦＡＮＧ＋　受益証券</t>
  </si>
  <si>
    <t>iFreeETF FANG+</t>
  </si>
  <si>
    <t xml:space="preserve">2025/01/10  </t>
  </si>
  <si>
    <t>318A</t>
  </si>
  <si>
    <t>ＶＩＸ短期先物指数ＥＴＦ　受益証券</t>
  </si>
  <si>
    <t>SIMPLEX VIX Short-Term Futures ETF</t>
  </si>
  <si>
    <t xml:space="preserve">2025/01/15  </t>
  </si>
  <si>
    <t xml:space="preserve">2025/02/20  </t>
  </si>
  <si>
    <t>Global X Japan Pricing Power Leaders ETF</t>
  </si>
  <si>
    <t>グローバルＸ　プライシングパワー・リーダーズ－日本株式　ＥＴＦ　受益証券</t>
  </si>
  <si>
    <t>328A</t>
  </si>
  <si>
    <t>2025/02</t>
  </si>
  <si>
    <t>3</t>
  </si>
  <si>
    <t>18</t>
  </si>
  <si>
    <t>12</t>
  </si>
  <si>
    <t>19</t>
  </si>
  <si>
    <t>4</t>
  </si>
  <si>
    <t>5</t>
  </si>
  <si>
    <t>25</t>
  </si>
  <si>
    <t>13</t>
  </si>
  <si>
    <t>26</t>
  </si>
  <si>
    <t>NEXT FUNDS MSCI Japan Country Selection Index Exchange Traded Fund</t>
  </si>
  <si>
    <t>ＮＥＸＴ　ＦＵＮＤＳ　ＭＳＣＩジャパンカントリー指数（セレクト）連動型上場投信　受益証券</t>
  </si>
  <si>
    <t>NEXT FUNDS S&amp;P 500 Scored &amp; Screened Index Exchange Traded Fund</t>
  </si>
  <si>
    <t>ＮＥＸＴ　ＦＵＮＤＳ　Ｓ＆Ｐ　５００スコアリング＆スクリーニング指数連動型上場投信　受益証券</t>
  </si>
  <si>
    <t>Listed Index Fund 225</t>
  </si>
  <si>
    <t>Listed Index Fund TOPIX</t>
  </si>
  <si>
    <t>2025/03</t>
  </si>
  <si>
    <t>11</t>
  </si>
  <si>
    <t xml:space="preserve">新株落ち  </t>
  </si>
  <si>
    <t xml:space="preserve">ex-subscription right  </t>
  </si>
  <si>
    <t>345A</t>
  </si>
  <si>
    <t>高配当成長　日本株（ネットリターン）ＥＴＮ　受益証券</t>
  </si>
  <si>
    <t>High Dividend Growth Japan Equity Net Return ETN</t>
  </si>
  <si>
    <t xml:space="preserve">2025/03/21  </t>
  </si>
  <si>
    <t>346A</t>
  </si>
  <si>
    <t>ＮＥＸＴ　ＦＵＮＤＳ　Ｓ＆Ｐ　５００　半導体・半導体製造装置３５％キャップ指数連動型上場投信　受益証券</t>
  </si>
  <si>
    <t>NEXT FUNDS S&amp;P 500 Semiconductors &amp; Semiconductor Equipment (Industry Group) 35% Capped Index Exchange Traded Fund</t>
  </si>
  <si>
    <t xml:space="preserve">2025/03/27  </t>
  </si>
  <si>
    <t>348A</t>
  </si>
  <si>
    <t>ＭＡＸＩＳ読売３３３日本株上場投信　受益証券</t>
  </si>
  <si>
    <t>MAXIS Yomiuri333 Japan Stock ETF</t>
  </si>
  <si>
    <t>349A</t>
  </si>
  <si>
    <t>ＳＭＤＡＭ　Ａｃｔｉｖｅ　ＥＴＦ　日本グロース株式　受益証券</t>
  </si>
  <si>
    <t>SMDAM Active ETF Japan Growth Equity</t>
  </si>
  <si>
    <t xml:space="preserve">2025/03/28  </t>
  </si>
  <si>
    <t>2025/04</t>
  </si>
  <si>
    <t>1</t>
  </si>
  <si>
    <t>2</t>
  </si>
  <si>
    <t>確</t>
  </si>
  <si>
    <t>354A</t>
  </si>
  <si>
    <t>ｉＦｒｅｅＥＴＦ　ブルームバーグ日本株高配当５０指数　受益証券</t>
  </si>
  <si>
    <t>iFreeETF Bloomberg Japan High Dividend 50 Index</t>
  </si>
  <si>
    <t xml:space="preserve">2025/04/17  </t>
  </si>
  <si>
    <t>356A</t>
  </si>
  <si>
    <t>グローバルＸ　Ｓ＆Ｐ５００　キャッシュフロー・トップ１００　ＥＴＦ　受益証券</t>
  </si>
  <si>
    <t>Global X S&amp;P 500 Cash Flow Top 100 ETF</t>
  </si>
  <si>
    <t xml:space="preserve">2025/04/16  </t>
  </si>
  <si>
    <t xml:space="preserve">2025/05/29  </t>
  </si>
  <si>
    <t>iFreeETF FTSE100</t>
  </si>
  <si>
    <t>ｉＦｒｅｅＥＴＦ　英国ＦＴＳＥ１００　受益証券</t>
  </si>
  <si>
    <t>363A</t>
  </si>
  <si>
    <t>2025/05</t>
  </si>
  <si>
    <t xml:space="preserve">2025/05/12  </t>
  </si>
  <si>
    <t>TSE REIT Core ETF</t>
  </si>
  <si>
    <t>東証ＲＥＩＴ　Ｃｏｒｅ　ＥＴＦ　受益証券</t>
  </si>
  <si>
    <t>360A</t>
  </si>
  <si>
    <t>整</t>
  </si>
  <si>
    <t>2025/06</t>
  </si>
  <si>
    <t xml:space="preserve">上場廃止  </t>
  </si>
  <si>
    <t xml:space="preserve">Removal  </t>
  </si>
  <si>
    <t xml:space="preserve">2025/06/09  </t>
  </si>
  <si>
    <t>364A</t>
  </si>
  <si>
    <t>ＮＥＸＴ　ＦＵＮＤＳ　Ｓ＆Ｐ　５００　配当貴族指数連動型上場投信　受益証券</t>
  </si>
  <si>
    <t>NEXT FUNDS S&amp;P 500 Dividend Aristocrats Index Exchange Traded Fund</t>
  </si>
  <si>
    <t xml:space="preserve">2025/06/11  </t>
  </si>
  <si>
    <t>376A</t>
  </si>
  <si>
    <t>ＮＥＸＴ　ＦＵＮＤＳ　ブルームバーグ米国国債（７－１０年）インデックス（７５％為替ヘッジあり）連動型上場投信　受益証券</t>
  </si>
  <si>
    <t>NEXT FUNDS Bloomberg US Treasury Bond (7-10 year) Index (75% Yen-Hedged) Exchange Traded Fund</t>
  </si>
  <si>
    <t xml:space="preserve">2025/06/25  </t>
  </si>
  <si>
    <t>379A</t>
  </si>
  <si>
    <t>グローバルＸ　Ｓ＆Ｐ５００　ＥＴＦ（ダイナミック・プロテクション）　受益証券</t>
  </si>
  <si>
    <t>Global X S&amp;P 500 ETF (Dynamic Protection)</t>
  </si>
  <si>
    <t xml:space="preserve">2025/06/24  </t>
  </si>
  <si>
    <t>380A</t>
  </si>
  <si>
    <t>グローバルＸ　チャイナテック　ＥＴＦ　受益証券</t>
  </si>
  <si>
    <t>Global X China Tech ETF</t>
  </si>
  <si>
    <t>381A</t>
  </si>
  <si>
    <t>ｉＦｒｅｅＥＴＦ　米国国債３－５年（為替ヘッジなし）　受益証券</t>
  </si>
  <si>
    <t>iFreeETF US Treasury Bond 3-5 Year (NON HEDGED)</t>
  </si>
  <si>
    <t>382A</t>
  </si>
  <si>
    <t>ｉＦｒｅｅＥＴＦ　米国国債３－５年（為替ヘッジあり）　受益証券</t>
  </si>
  <si>
    <t>iFreeETF US Treasury Bond 3-5 Year (JPY HEDGED)</t>
  </si>
  <si>
    <t>383A</t>
  </si>
  <si>
    <t>ＭＡＸＩＳ　Ｓ＆Ｐ５００均等ウェイト上場投信　受益証券</t>
  </si>
  <si>
    <t>MAXIS S&amp;P500 Equal Weight ETF</t>
  </si>
  <si>
    <t xml:space="preserve">2025/06/30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</si>
</sst>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0"/>
  </numFmts>
  <fonts count="12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游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游ゴシック"/>
      <family val="2"/>
      <charset val="128"/>
      <scheme val="minor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9" fillId="0" borderId="0"/>
    <xf numFmtId="38" fontId="1" fillId="0" borderId="0" applyFont="0" applyFill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0" fontId="2" fillId="0" borderId="1" xfId="1" applyFont="1" applyBorder="1">
      <alignment vertical="center"/>
    </xf>
    <xf numFmtId="0" fontId="2" fillId="0" borderId="2" xfId="1" applyFont="1" applyBorder="1">
      <alignment vertical="center"/>
    </xf>
    <xf numFmtId="0" fontId="4" fillId="0" borderId="0" xfId="1" applyFont="1">
      <alignment vertical="center"/>
    </xf>
    <xf numFmtId="0" fontId="7" fillId="0" borderId="9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49" fontId="7" fillId="0" borderId="9" xfId="2" applyNumberFormat="1" applyFont="1" applyBorder="1" applyAlignment="1">
      <alignment horizontal="center" vertical="center"/>
    </xf>
    <xf numFmtId="0" fontId="10" fillId="0" borderId="0" xfId="1" applyFont="1">
      <alignment vertical="center"/>
    </xf>
    <xf numFmtId="0" fontId="2" fillId="0" borderId="1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49" fontId="2" fillId="0" borderId="15" xfId="2" applyNumberFormat="1" applyFont="1" applyBorder="1" applyAlignment="1">
      <alignment horizontal="center" vertical="center"/>
    </xf>
    <xf numFmtId="49" fontId="7" fillId="0" borderId="13" xfId="2" applyNumberFormat="1" applyFont="1" applyBorder="1" applyAlignment="1">
      <alignment horizontal="center" vertical="center"/>
    </xf>
    <xf numFmtId="49" fontId="2" fillId="0" borderId="16" xfId="2" applyNumberFormat="1" applyFont="1" applyBorder="1" applyAlignment="1">
      <alignment horizontal="center" vertical="center"/>
    </xf>
    <xf numFmtId="49" fontId="2" fillId="0" borderId="13" xfId="2" applyNumberFormat="1" applyFont="1" applyBorder="1" applyAlignment="1">
      <alignment horizontal="center" vertical="center"/>
    </xf>
    <xf numFmtId="0" fontId="2" fillId="0" borderId="17" xfId="1" applyFont="1" applyBorder="1" applyAlignment="1">
      <alignment horizontal="right" vertical="center"/>
    </xf>
    <xf numFmtId="0" fontId="2" fillId="0" borderId="6" xfId="1" applyFont="1" applyBorder="1" applyAlignment="1">
      <alignment horizontal="right" vertical="center"/>
    </xf>
    <xf numFmtId="0" fontId="2" fillId="0" borderId="18" xfId="1" applyFont="1" applyBorder="1" applyAlignment="1">
      <alignment horizontal="right" vertical="center"/>
    </xf>
    <xf numFmtId="0" fontId="2" fillId="0" borderId="19" xfId="1" applyFont="1" applyBorder="1" applyAlignment="1">
      <alignment horizontal="right" vertical="center"/>
    </xf>
    <xf numFmtId="49" fontId="11" fillId="0" borderId="17" xfId="2" applyNumberFormat="1" applyFont="1" applyBorder="1" applyAlignment="1">
      <alignment horizontal="right"/>
    </xf>
    <xf numFmtId="49" fontId="11" fillId="0" borderId="20" xfId="2" applyNumberFormat="1" applyFont="1" applyBorder="1" applyAlignment="1">
      <alignment horizontal="right"/>
    </xf>
    <xf numFmtId="49" fontId="11" fillId="0" borderId="19" xfId="2" applyNumberFormat="1" applyFont="1" applyBorder="1" applyAlignment="1">
      <alignment horizontal="right"/>
    </xf>
    <xf numFmtId="49" fontId="7" fillId="0" borderId="21" xfId="1" applyNumberFormat="1" applyFont="1" applyBorder="1" applyAlignment="1">
      <alignment horizontal="left" vertical="center"/>
    </xf>
    <xf numFmtId="49" fontId="7" fillId="0" borderId="22" xfId="1" applyNumberFormat="1" applyFont="1" applyBorder="1" applyAlignment="1">
      <alignment horizontal="left" vertical="center"/>
    </xf>
    <xf numFmtId="49" fontId="7" fillId="0" borderId="23" xfId="1" applyNumberFormat="1" applyFont="1" applyBorder="1" applyAlignment="1">
      <alignment horizontal="left" vertical="center"/>
    </xf>
    <xf numFmtId="49" fontId="7" fillId="0" borderId="24" xfId="1" applyNumberFormat="1" applyFont="1" applyBorder="1" applyAlignment="1">
      <alignment horizontal="left" vertical="center"/>
    </xf>
    <xf numFmtId="49" fontId="7" fillId="0" borderId="21" xfId="2" applyNumberFormat="1" applyFont="1" applyBorder="1" applyAlignment="1">
      <alignment horizontal="left"/>
    </xf>
    <xf numFmtId="3" fontId="7" fillId="0" borderId="21" xfId="2" applyNumberFormat="1" applyFont="1" applyBorder="1" applyAlignment="1">
      <alignment horizontal="right"/>
    </xf>
    <xf numFmtId="4" fontId="7" fillId="0" borderId="25" xfId="2" applyNumberFormat="1" applyFont="1" applyBorder="1" applyAlignment="1">
      <alignment horizontal="right"/>
    </xf>
    <xf numFmtId="49" fontId="7" fillId="0" borderId="24" xfId="2" applyNumberFormat="1" applyFont="1" applyBorder="1" applyAlignment="1">
      <alignment horizontal="right"/>
    </xf>
    <xf numFmtId="4" fontId="7" fillId="0" borderId="21" xfId="2" applyNumberFormat="1" applyFont="1" applyBorder="1" applyAlignment="1">
      <alignment horizontal="right"/>
    </xf>
    <xf numFmtId="176" fontId="7" fillId="0" borderId="21" xfId="2" applyNumberFormat="1" applyFont="1" applyBorder="1" applyAlignment="1">
      <alignment horizontal="right"/>
    </xf>
    <xf numFmtId="0" fontId="7" fillId="0" borderId="0" xfId="1" applyFont="1">
      <alignment vertical="center"/>
    </xf>
    <xf numFmtId="38" fontId="7" fillId="0" borderId="9" xfId="3" applyFont="1" applyBorder="1" applyAlignment="1">
      <alignment horizontal="center" vertical="center"/>
    </xf>
    <xf numFmtId="38" fontId="2" fillId="0" borderId="13" xfId="3" applyFont="1" applyBorder="1" applyAlignment="1">
      <alignment horizontal="center" vertical="center"/>
    </xf>
    <xf numFmtId="38" fontId="11" fillId="0" borderId="17" xfId="3" applyFont="1" applyBorder="1" applyAlignment="1">
      <alignment horizontal="right"/>
    </xf>
    <xf numFmtId="38" fontId="7" fillId="0" borderId="21" xfId="3" applyFont="1" applyBorder="1" applyAlignment="1">
      <alignment horizontal="right"/>
    </xf>
    <xf numFmtId="38" fontId="4" fillId="0" borderId="0" xfId="3" applyFont="1">
      <alignment vertical="center"/>
    </xf>
    <xf numFmtId="0" fontId="2" fillId="0" borderId="2" xfId="1" applyFont="1" applyBorder="1" applyAlignment="1">
      <alignment horizontal="left" vertical="top" wrapText="1"/>
    </xf>
    <xf numFmtId="0" fontId="2" fillId="0" borderId="3" xfId="1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5" xfId="1" applyFont="1" applyBorder="1" applyAlignment="1">
      <alignment horizontal="left" vertical="top" wrapText="1"/>
    </xf>
    <xf numFmtId="0" fontId="2" fillId="0" borderId="7" xfId="1" applyFont="1" applyBorder="1" applyAlignment="1">
      <alignment horizontal="left" vertical="top" wrapText="1"/>
    </xf>
    <xf numFmtId="0" fontId="2" fillId="0" borderId="8" xfId="1" applyFont="1" applyBorder="1" applyAlignment="1">
      <alignment horizontal="left" vertical="top" wrapText="1"/>
    </xf>
    <xf numFmtId="0" fontId="5" fillId="0" borderId="4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</cellXfs>
  <cellStyles count="4">
    <cellStyle name="桁区切り" xfId="3" builtinId="6"/>
    <cellStyle name="標準" xfId="0" builtinId="0"/>
    <cellStyle name="標準 10 3" xfId="2" xr:uid="{52A9C9D1-04B4-4DEE-97C9-9E5BC12EDF58}"/>
    <cellStyle name="標準 132" xfId="1" xr:uid="{4B2E7684-C327-4DE2-8DB8-B03F9E10235E}"/>
  </cellStyles>
  <dxfs count="1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C5801-0332-43BF-9DEF-26E9095FEF40}">
  <sheetPr>
    <pageSetUpPr fitToPage="1"/>
  </sheetPr>
  <dimension ref="A1:X398"/>
  <sheetViews>
    <sheetView showGridLines="0" tabSelected="1" view="pageBreakPreview" zoomScaleNormal="70" zoomScaleSheetLayoutView="100" workbookViewId="0">
      <pane ySplit="6" topLeftCell="A7" activePane="bottomLeft" state="frozen"/>
      <selection pane="bottomLeft"/>
    </sheetView>
  </sheetViews>
  <sheetFormatPr defaultColWidth="8.4375" defaultRowHeight="17.649999999999999"/>
  <cols>
    <col min="1" max="1" width="12.3125" style="3" bestFit="1" customWidth="1"/>
    <col min="2" max="2" width="10.0625" style="3" bestFit="1" customWidth="1"/>
    <col min="3" max="4" width="25.875" style="3" customWidth="1"/>
    <col min="5" max="5" width="12.875" style="3" bestFit="1" customWidth="1"/>
    <col min="6" max="6" width="19.4375" style="3" bestFit="1" customWidth="1"/>
    <col min="7" max="7" width="10.5625" style="3" customWidth="1"/>
    <col min="8" max="8" width="8.1875" style="3" bestFit="1" customWidth="1"/>
    <col min="9" max="9" width="11" style="3" bestFit="1" customWidth="1"/>
    <col min="10" max="10" width="11.8125" style="3" bestFit="1" customWidth="1"/>
    <col min="11" max="11" width="15.25" style="3" customWidth="1"/>
    <col min="12" max="12" width="5.25" style="3" bestFit="1" customWidth="1"/>
    <col min="13" max="13" width="15.25" style="3" customWidth="1"/>
    <col min="14" max="14" width="5.25" style="3" bestFit="1" customWidth="1"/>
    <col min="15" max="15" width="15.25" style="3" customWidth="1"/>
    <col min="16" max="16" width="5.25" style="3" bestFit="1" customWidth="1"/>
    <col min="17" max="17" width="15.25" style="3" customWidth="1"/>
    <col min="18" max="18" width="5.25" style="3" bestFit="1" customWidth="1"/>
    <col min="19" max="19" width="22.375" style="3" bestFit="1" customWidth="1"/>
    <col min="20" max="20" width="15.25" style="3" customWidth="1"/>
    <col min="21" max="21" width="22.625" style="3" customWidth="1"/>
    <col min="22" max="22" width="18.625" style="3" bestFit="1" customWidth="1"/>
    <col min="23" max="23" width="23.4375" style="3" bestFit="1" customWidth="1"/>
    <col min="24" max="24" width="12.3125" style="3" bestFit="1" customWidth="1"/>
    <col min="25" max="16384" width="8.4375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4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1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22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1260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2984.5</f>
        <v>2984.5</v>
      </c>
      <c r="L7" s="32" t="s">
        <v>1240</v>
      </c>
      <c r="M7" s="31">
        <f>3083</f>
        <v>3083</v>
      </c>
      <c r="N7" s="32" t="s">
        <v>755</v>
      </c>
      <c r="O7" s="31">
        <f>2944.5</f>
        <v>2944.5</v>
      </c>
      <c r="P7" s="32" t="s">
        <v>1211</v>
      </c>
      <c r="Q7" s="31">
        <f>3065</f>
        <v>3065</v>
      </c>
      <c r="R7" s="32" t="s">
        <v>755</v>
      </c>
      <c r="S7" s="33">
        <f>2989.71</f>
        <v>2989.71</v>
      </c>
      <c r="T7" s="30">
        <f>11796450</f>
        <v>11796450</v>
      </c>
      <c r="U7" s="30">
        <f>9276120</f>
        <v>9276120</v>
      </c>
      <c r="V7" s="30">
        <f>35258529575</f>
        <v>35258529575</v>
      </c>
      <c r="W7" s="30">
        <f>27690933605</f>
        <v>27690933605</v>
      </c>
      <c r="X7" s="34">
        <f>21</f>
        <v>21</v>
      </c>
    </row>
    <row r="8" spans="1:24">
      <c r="A8" s="25" t="s">
        <v>1260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2952.5</f>
        <v>2952.5</v>
      </c>
      <c r="L8" s="32" t="s">
        <v>1240</v>
      </c>
      <c r="M8" s="31">
        <f>3051</f>
        <v>3051</v>
      </c>
      <c r="N8" s="32" t="s">
        <v>755</v>
      </c>
      <c r="O8" s="31">
        <f>2913.5</f>
        <v>2913.5</v>
      </c>
      <c r="P8" s="32" t="s">
        <v>1211</v>
      </c>
      <c r="Q8" s="31">
        <f>3030</f>
        <v>3030</v>
      </c>
      <c r="R8" s="32" t="s">
        <v>755</v>
      </c>
      <c r="S8" s="33">
        <f>2958.43</f>
        <v>2958.43</v>
      </c>
      <c r="T8" s="30">
        <f>32549990</f>
        <v>32549990</v>
      </c>
      <c r="U8" s="30">
        <f>11043060</f>
        <v>11043060</v>
      </c>
      <c r="V8" s="30">
        <f>96408904105</f>
        <v>96408904105</v>
      </c>
      <c r="W8" s="30">
        <f>32673196265</f>
        <v>32673196265</v>
      </c>
      <c r="X8" s="34">
        <f>21</f>
        <v>21</v>
      </c>
    </row>
    <row r="9" spans="1:24">
      <c r="A9" s="25" t="s">
        <v>1260</v>
      </c>
      <c r="B9" s="25" t="s">
        <v>48</v>
      </c>
      <c r="C9" s="25" t="s">
        <v>49</v>
      </c>
      <c r="D9" s="25" t="s">
        <v>1218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2920</f>
        <v>2920</v>
      </c>
      <c r="L9" s="32" t="s">
        <v>1240</v>
      </c>
      <c r="M9" s="31">
        <f>3016</f>
        <v>3016</v>
      </c>
      <c r="N9" s="32" t="s">
        <v>755</v>
      </c>
      <c r="O9" s="31">
        <f>2879</f>
        <v>2879</v>
      </c>
      <c r="P9" s="32" t="s">
        <v>1211</v>
      </c>
      <c r="Q9" s="31">
        <f>2994</f>
        <v>2994</v>
      </c>
      <c r="R9" s="32" t="s">
        <v>755</v>
      </c>
      <c r="S9" s="33">
        <f>2924.52</f>
        <v>2924.52</v>
      </c>
      <c r="T9" s="30">
        <f>15618294</f>
        <v>15618294</v>
      </c>
      <c r="U9" s="30">
        <f>10492120</f>
        <v>10492120</v>
      </c>
      <c r="V9" s="30">
        <f>45685373881</f>
        <v>45685373881</v>
      </c>
      <c r="W9" s="30">
        <f>30677438261</f>
        <v>30677438261</v>
      </c>
      <c r="X9" s="34">
        <f>21</f>
        <v>21</v>
      </c>
    </row>
    <row r="10" spans="1:24">
      <c r="A10" s="25" t="s">
        <v>1260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42370</f>
        <v>42370</v>
      </c>
      <c r="L10" s="32" t="s">
        <v>1240</v>
      </c>
      <c r="M10" s="31">
        <f>44290</f>
        <v>44290</v>
      </c>
      <c r="N10" s="32" t="s">
        <v>1212</v>
      </c>
      <c r="O10" s="31">
        <f>41390</f>
        <v>41390</v>
      </c>
      <c r="P10" s="32" t="s">
        <v>1240</v>
      </c>
      <c r="Q10" s="31">
        <f>43420</f>
        <v>43420</v>
      </c>
      <c r="R10" s="32" t="s">
        <v>755</v>
      </c>
      <c r="S10" s="33">
        <f>42891.43</f>
        <v>42891.43</v>
      </c>
      <c r="T10" s="30">
        <f>1601</f>
        <v>1601</v>
      </c>
      <c r="U10" s="30" t="str">
        <f>"－"</f>
        <v>－</v>
      </c>
      <c r="V10" s="30">
        <f>68567840</f>
        <v>68567840</v>
      </c>
      <c r="W10" s="30" t="str">
        <f>"－"</f>
        <v>－</v>
      </c>
      <c r="X10" s="34">
        <f>21</f>
        <v>21</v>
      </c>
    </row>
    <row r="11" spans="1:24">
      <c r="A11" s="25" t="s">
        <v>1260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1488</f>
        <v>1488</v>
      </c>
      <c r="L11" s="32" t="s">
        <v>1240</v>
      </c>
      <c r="M11" s="31">
        <f>1553</f>
        <v>1553</v>
      </c>
      <c r="N11" s="32" t="s">
        <v>755</v>
      </c>
      <c r="O11" s="31">
        <f>1444.5</f>
        <v>1444.5</v>
      </c>
      <c r="P11" s="32" t="s">
        <v>756</v>
      </c>
      <c r="Q11" s="31">
        <f>1514</f>
        <v>1514</v>
      </c>
      <c r="R11" s="32" t="s">
        <v>755</v>
      </c>
      <c r="S11" s="33">
        <f>1479.36</f>
        <v>1479.36</v>
      </c>
      <c r="T11" s="30">
        <f>315990</f>
        <v>315990</v>
      </c>
      <c r="U11" s="30">
        <f>118200</f>
        <v>118200</v>
      </c>
      <c r="V11" s="30">
        <f>468405705</f>
        <v>468405705</v>
      </c>
      <c r="W11" s="30">
        <f>175528140</f>
        <v>175528140</v>
      </c>
      <c r="X11" s="34">
        <f>21</f>
        <v>21</v>
      </c>
    </row>
    <row r="12" spans="1:24">
      <c r="A12" s="25" t="s">
        <v>1260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536.6</f>
        <v>536.6</v>
      </c>
      <c r="L12" s="32" t="s">
        <v>1240</v>
      </c>
      <c r="M12" s="31">
        <f>567</f>
        <v>567</v>
      </c>
      <c r="N12" s="32" t="s">
        <v>1206</v>
      </c>
      <c r="O12" s="31">
        <f>535.9</f>
        <v>535.9</v>
      </c>
      <c r="P12" s="32" t="s">
        <v>1204</v>
      </c>
      <c r="Q12" s="31">
        <f>563.1</f>
        <v>563.1</v>
      </c>
      <c r="R12" s="32" t="s">
        <v>755</v>
      </c>
      <c r="S12" s="33">
        <f>557.29</f>
        <v>557.29</v>
      </c>
      <c r="T12" s="30">
        <f>292000</f>
        <v>292000</v>
      </c>
      <c r="U12" s="30">
        <f>220000</f>
        <v>220000</v>
      </c>
      <c r="V12" s="30">
        <f>164099200</f>
        <v>164099200</v>
      </c>
      <c r="W12" s="30">
        <f>124005200</f>
        <v>124005200</v>
      </c>
      <c r="X12" s="34">
        <f>15</f>
        <v>15</v>
      </c>
    </row>
    <row r="13" spans="1:24">
      <c r="A13" s="25" t="s">
        <v>1260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39280</f>
        <v>39280</v>
      </c>
      <c r="L13" s="32" t="s">
        <v>1240</v>
      </c>
      <c r="M13" s="31">
        <f>42680</f>
        <v>42680</v>
      </c>
      <c r="N13" s="32" t="s">
        <v>755</v>
      </c>
      <c r="O13" s="31">
        <f>38950</f>
        <v>38950</v>
      </c>
      <c r="P13" s="32" t="s">
        <v>1240</v>
      </c>
      <c r="Q13" s="31">
        <f>42270</f>
        <v>42270</v>
      </c>
      <c r="R13" s="32" t="s">
        <v>755</v>
      </c>
      <c r="S13" s="33">
        <f>40135.24</f>
        <v>40135.24</v>
      </c>
      <c r="T13" s="30">
        <f>1268732</f>
        <v>1268732</v>
      </c>
      <c r="U13" s="30">
        <f>423139</f>
        <v>423139</v>
      </c>
      <c r="V13" s="30">
        <f>51079913944</f>
        <v>51079913944</v>
      </c>
      <c r="W13" s="30">
        <f>16977992184</f>
        <v>16977992184</v>
      </c>
      <c r="X13" s="34">
        <f>21</f>
        <v>21</v>
      </c>
    </row>
    <row r="14" spans="1:24">
      <c r="A14" s="25" t="s">
        <v>1260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39420</f>
        <v>39420</v>
      </c>
      <c r="L14" s="32" t="s">
        <v>1240</v>
      </c>
      <c r="M14" s="31">
        <f>42840</f>
        <v>42840</v>
      </c>
      <c r="N14" s="32" t="s">
        <v>755</v>
      </c>
      <c r="O14" s="31">
        <f>39110</f>
        <v>39110</v>
      </c>
      <c r="P14" s="32" t="s">
        <v>1240</v>
      </c>
      <c r="Q14" s="31">
        <f>42420</f>
        <v>42420</v>
      </c>
      <c r="R14" s="32" t="s">
        <v>755</v>
      </c>
      <c r="S14" s="33">
        <f>40284.29</f>
        <v>40284.29</v>
      </c>
      <c r="T14" s="30">
        <f>5687029</f>
        <v>5687029</v>
      </c>
      <c r="U14" s="30">
        <f>744581</f>
        <v>744581</v>
      </c>
      <c r="V14" s="30">
        <f>231062132824</f>
        <v>231062132824</v>
      </c>
      <c r="W14" s="30">
        <f>30467406824</f>
        <v>30467406824</v>
      </c>
      <c r="X14" s="34">
        <f>21</f>
        <v>21</v>
      </c>
    </row>
    <row r="15" spans="1:24">
      <c r="A15" s="25" t="s">
        <v>1260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</v>
      </c>
      <c r="K15" s="31">
        <f>8050</f>
        <v>8050</v>
      </c>
      <c r="L15" s="32" t="s">
        <v>1240</v>
      </c>
      <c r="M15" s="31">
        <f>8479</f>
        <v>8479</v>
      </c>
      <c r="N15" s="32" t="s">
        <v>1212</v>
      </c>
      <c r="O15" s="31">
        <f>7908</f>
        <v>7908</v>
      </c>
      <c r="P15" s="32" t="s">
        <v>1204</v>
      </c>
      <c r="Q15" s="31">
        <f>8380</f>
        <v>8380</v>
      </c>
      <c r="R15" s="32" t="s">
        <v>755</v>
      </c>
      <c r="S15" s="33">
        <f>8224.9</f>
        <v>8224.9</v>
      </c>
      <c r="T15" s="30">
        <f>18188</f>
        <v>18188</v>
      </c>
      <c r="U15" s="30">
        <f>4700</f>
        <v>4700</v>
      </c>
      <c r="V15" s="30">
        <f>151214524</f>
        <v>151214524</v>
      </c>
      <c r="W15" s="30">
        <f>39703579</f>
        <v>39703579</v>
      </c>
      <c r="X15" s="34">
        <f>21</f>
        <v>21</v>
      </c>
    </row>
    <row r="16" spans="1:24">
      <c r="A16" s="25" t="s">
        <v>1260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211.1</f>
        <v>211.1</v>
      </c>
      <c r="L16" s="32" t="s">
        <v>1240</v>
      </c>
      <c r="M16" s="31">
        <f>218.6</f>
        <v>218.6</v>
      </c>
      <c r="N16" s="32" t="s">
        <v>1207</v>
      </c>
      <c r="O16" s="31">
        <f>202</f>
        <v>202</v>
      </c>
      <c r="P16" s="32" t="s">
        <v>1240</v>
      </c>
      <c r="Q16" s="31">
        <f>215.1</f>
        <v>215.1</v>
      </c>
      <c r="R16" s="32" t="s">
        <v>755</v>
      </c>
      <c r="S16" s="33">
        <f>212.79</f>
        <v>212.79</v>
      </c>
      <c r="T16" s="30">
        <f>649000</f>
        <v>649000</v>
      </c>
      <c r="U16" s="30">
        <f>700</f>
        <v>700</v>
      </c>
      <c r="V16" s="30">
        <f>138218760</f>
        <v>138218760</v>
      </c>
      <c r="W16" s="30">
        <f>150250</f>
        <v>150250</v>
      </c>
      <c r="X16" s="34">
        <f>21</f>
        <v>21</v>
      </c>
    </row>
    <row r="17" spans="1:24">
      <c r="A17" s="25" t="s">
        <v>1260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43880</f>
        <v>43880</v>
      </c>
      <c r="L17" s="32" t="s">
        <v>1240</v>
      </c>
      <c r="M17" s="31">
        <f>45960</f>
        <v>45960</v>
      </c>
      <c r="N17" s="32" t="s">
        <v>739</v>
      </c>
      <c r="O17" s="31">
        <f>43430</f>
        <v>43430</v>
      </c>
      <c r="P17" s="32" t="s">
        <v>755</v>
      </c>
      <c r="Q17" s="31">
        <f>43640</f>
        <v>43640</v>
      </c>
      <c r="R17" s="32" t="s">
        <v>755</v>
      </c>
      <c r="S17" s="33">
        <f>44616.19</f>
        <v>44616.19</v>
      </c>
      <c r="T17" s="30">
        <f>289802</f>
        <v>289802</v>
      </c>
      <c r="U17" s="30" t="str">
        <f>"－"</f>
        <v>－</v>
      </c>
      <c r="V17" s="30">
        <f>12945624740</f>
        <v>12945624740</v>
      </c>
      <c r="W17" s="30" t="str">
        <f>"－"</f>
        <v>－</v>
      </c>
      <c r="X17" s="34">
        <f>21</f>
        <v>21</v>
      </c>
    </row>
    <row r="18" spans="1:24">
      <c r="A18" s="25" t="s">
        <v>1260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11435</f>
        <v>11435</v>
      </c>
      <c r="L18" s="32" t="s">
        <v>1240</v>
      </c>
      <c r="M18" s="31">
        <f>11970</f>
        <v>11970</v>
      </c>
      <c r="N18" s="32" t="s">
        <v>739</v>
      </c>
      <c r="O18" s="31">
        <f>11300</f>
        <v>11300</v>
      </c>
      <c r="P18" s="32" t="s">
        <v>755</v>
      </c>
      <c r="Q18" s="31">
        <f>11380</f>
        <v>11380</v>
      </c>
      <c r="R18" s="32" t="s">
        <v>755</v>
      </c>
      <c r="S18" s="33">
        <f>11632.14</f>
        <v>11632.14</v>
      </c>
      <c r="T18" s="30">
        <f>685920</f>
        <v>685920</v>
      </c>
      <c r="U18" s="30">
        <f>5210</f>
        <v>5210</v>
      </c>
      <c r="V18" s="30">
        <f>7997191303</f>
        <v>7997191303</v>
      </c>
      <c r="W18" s="30">
        <f>61381653</f>
        <v>61381653</v>
      </c>
      <c r="X18" s="34">
        <f>21</f>
        <v>21</v>
      </c>
    </row>
    <row r="19" spans="1:24">
      <c r="A19" s="25" t="s">
        <v>1260</v>
      </c>
      <c r="B19" s="25" t="s">
        <v>76</v>
      </c>
      <c r="C19" s="25" t="s">
        <v>77</v>
      </c>
      <c r="D19" s="25" t="s">
        <v>78</v>
      </c>
      <c r="E19" s="26" t="s">
        <v>43</v>
      </c>
      <c r="F19" s="27" t="s">
        <v>43</v>
      </c>
      <c r="G19" s="28" t="s">
        <v>43</v>
      </c>
      <c r="H19" s="29"/>
      <c r="I19" s="29" t="s">
        <v>44</v>
      </c>
      <c r="J19" s="30">
        <v>1</v>
      </c>
      <c r="K19" s="31">
        <f>3920</f>
        <v>3920</v>
      </c>
      <c r="L19" s="32" t="s">
        <v>1240</v>
      </c>
      <c r="M19" s="31">
        <f>4259</f>
        <v>4259</v>
      </c>
      <c r="N19" s="32" t="s">
        <v>755</v>
      </c>
      <c r="O19" s="31">
        <f>3886</f>
        <v>3886</v>
      </c>
      <c r="P19" s="32" t="s">
        <v>1240</v>
      </c>
      <c r="Q19" s="31">
        <f>4215</f>
        <v>4215</v>
      </c>
      <c r="R19" s="32" t="s">
        <v>755</v>
      </c>
      <c r="S19" s="33">
        <f>4004.1</f>
        <v>4004.1</v>
      </c>
      <c r="T19" s="30">
        <f>17431928</f>
        <v>17431928</v>
      </c>
      <c r="U19" s="30">
        <f>8147297</f>
        <v>8147297</v>
      </c>
      <c r="V19" s="30">
        <f>69806242428</f>
        <v>69806242428</v>
      </c>
      <c r="W19" s="30">
        <f>32463215809</f>
        <v>32463215809</v>
      </c>
      <c r="X19" s="34">
        <f>21</f>
        <v>21</v>
      </c>
    </row>
    <row r="20" spans="1:24">
      <c r="A20" s="25" t="s">
        <v>1260</v>
      </c>
      <c r="B20" s="25" t="s">
        <v>79</v>
      </c>
      <c r="C20" s="25" t="s">
        <v>80</v>
      </c>
      <c r="D20" s="25" t="s">
        <v>1217</v>
      </c>
      <c r="E20" s="26" t="s">
        <v>43</v>
      </c>
      <c r="F20" s="27" t="s">
        <v>43</v>
      </c>
      <c r="G20" s="28" t="s">
        <v>43</v>
      </c>
      <c r="H20" s="29"/>
      <c r="I20" s="29" t="s">
        <v>44</v>
      </c>
      <c r="J20" s="30">
        <v>1</v>
      </c>
      <c r="K20" s="31">
        <f>39470</f>
        <v>39470</v>
      </c>
      <c r="L20" s="32" t="s">
        <v>1240</v>
      </c>
      <c r="M20" s="31">
        <f>42870</f>
        <v>42870</v>
      </c>
      <c r="N20" s="32" t="s">
        <v>755</v>
      </c>
      <c r="O20" s="31">
        <f>39130</f>
        <v>39130</v>
      </c>
      <c r="P20" s="32" t="s">
        <v>1240</v>
      </c>
      <c r="Q20" s="31">
        <f>42510</f>
        <v>42510</v>
      </c>
      <c r="R20" s="32" t="s">
        <v>755</v>
      </c>
      <c r="S20" s="33">
        <f>40313.33</f>
        <v>40313.33</v>
      </c>
      <c r="T20" s="30">
        <f>1609242</f>
        <v>1609242</v>
      </c>
      <c r="U20" s="30">
        <f>886445</f>
        <v>886445</v>
      </c>
      <c r="V20" s="30">
        <f>64716047218</f>
        <v>64716047218</v>
      </c>
      <c r="W20" s="30">
        <f>35371377668</f>
        <v>35371377668</v>
      </c>
      <c r="X20" s="34">
        <f>21</f>
        <v>21</v>
      </c>
    </row>
    <row r="21" spans="1:24">
      <c r="A21" s="25" t="s">
        <v>1260</v>
      </c>
      <c r="B21" s="25" t="s">
        <v>1048</v>
      </c>
      <c r="C21" s="25" t="s">
        <v>1049</v>
      </c>
      <c r="D21" s="25" t="s">
        <v>1050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970</f>
        <v>970</v>
      </c>
      <c r="L21" s="32" t="s">
        <v>1240</v>
      </c>
      <c r="M21" s="31">
        <f>995</f>
        <v>995</v>
      </c>
      <c r="N21" s="32" t="s">
        <v>1211</v>
      </c>
      <c r="O21" s="31">
        <f>957</f>
        <v>957</v>
      </c>
      <c r="P21" s="32" t="s">
        <v>1204</v>
      </c>
      <c r="Q21" s="31">
        <f>973</f>
        <v>973</v>
      </c>
      <c r="R21" s="32" t="s">
        <v>755</v>
      </c>
      <c r="S21" s="33">
        <f>975.9</f>
        <v>975.9</v>
      </c>
      <c r="T21" s="30">
        <f>511094</f>
        <v>511094</v>
      </c>
      <c r="U21" s="30" t="str">
        <f>"－"</f>
        <v>－</v>
      </c>
      <c r="V21" s="30">
        <f>496677628</f>
        <v>496677628</v>
      </c>
      <c r="W21" s="30" t="str">
        <f>"－"</f>
        <v>－</v>
      </c>
      <c r="X21" s="34">
        <f>21</f>
        <v>21</v>
      </c>
    </row>
    <row r="22" spans="1:24">
      <c r="A22" s="25" t="s">
        <v>1260</v>
      </c>
      <c r="B22" s="25" t="s">
        <v>82</v>
      </c>
      <c r="C22" s="25" t="s">
        <v>939</v>
      </c>
      <c r="D22" s="25" t="s">
        <v>83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10</v>
      </c>
      <c r="K22" s="31">
        <f>1871.5</f>
        <v>1871.5</v>
      </c>
      <c r="L22" s="32" t="s">
        <v>1240</v>
      </c>
      <c r="M22" s="31">
        <f>1939</f>
        <v>1939</v>
      </c>
      <c r="N22" s="32" t="s">
        <v>663</v>
      </c>
      <c r="O22" s="31">
        <f>1866</f>
        <v>1866</v>
      </c>
      <c r="P22" s="32" t="s">
        <v>1204</v>
      </c>
      <c r="Q22" s="31">
        <f>1923.5</f>
        <v>1923.5</v>
      </c>
      <c r="R22" s="32" t="s">
        <v>755</v>
      </c>
      <c r="S22" s="33">
        <f>1908.19</f>
        <v>1908.19</v>
      </c>
      <c r="T22" s="30">
        <f>10832770</f>
        <v>10832770</v>
      </c>
      <c r="U22" s="30">
        <f>2535560</f>
        <v>2535560</v>
      </c>
      <c r="V22" s="30">
        <f>20664110321</f>
        <v>20664110321</v>
      </c>
      <c r="W22" s="30">
        <f>4822055711</f>
        <v>4822055711</v>
      </c>
      <c r="X22" s="34">
        <f>21</f>
        <v>21</v>
      </c>
    </row>
    <row r="23" spans="1:24">
      <c r="A23" s="25" t="s">
        <v>1260</v>
      </c>
      <c r="B23" s="25" t="s">
        <v>84</v>
      </c>
      <c r="C23" s="25" t="s">
        <v>85</v>
      </c>
      <c r="D23" s="25" t="s">
        <v>940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100</v>
      </c>
      <c r="K23" s="31">
        <f>1769.5</f>
        <v>1769.5</v>
      </c>
      <c r="L23" s="32" t="s">
        <v>1240</v>
      </c>
      <c r="M23" s="31">
        <f>1832.5</f>
        <v>1832.5</v>
      </c>
      <c r="N23" s="32" t="s">
        <v>755</v>
      </c>
      <c r="O23" s="31">
        <f>1760.5</f>
        <v>1760.5</v>
      </c>
      <c r="P23" s="32" t="s">
        <v>1204</v>
      </c>
      <c r="Q23" s="31">
        <f>1809</f>
        <v>1809</v>
      </c>
      <c r="R23" s="32" t="s">
        <v>755</v>
      </c>
      <c r="S23" s="33">
        <f>1800.29</f>
        <v>1800.29</v>
      </c>
      <c r="T23" s="30">
        <f>1898600</f>
        <v>1898600</v>
      </c>
      <c r="U23" s="30">
        <f>1272900</f>
        <v>1272900</v>
      </c>
      <c r="V23" s="30">
        <f>3425558166</f>
        <v>3425558166</v>
      </c>
      <c r="W23" s="30">
        <f>2293643416</f>
        <v>2293643416</v>
      </c>
      <c r="X23" s="34">
        <f>21</f>
        <v>21</v>
      </c>
    </row>
    <row r="24" spans="1:24">
      <c r="A24" s="25" t="s">
        <v>1260</v>
      </c>
      <c r="B24" s="25" t="s">
        <v>86</v>
      </c>
      <c r="C24" s="25" t="s">
        <v>87</v>
      </c>
      <c r="D24" s="25" t="s">
        <v>941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</v>
      </c>
      <c r="K24" s="31">
        <f>39150</f>
        <v>39150</v>
      </c>
      <c r="L24" s="32" t="s">
        <v>1240</v>
      </c>
      <c r="M24" s="31">
        <f>42530</f>
        <v>42530</v>
      </c>
      <c r="N24" s="32" t="s">
        <v>755</v>
      </c>
      <c r="O24" s="31">
        <f>38840</f>
        <v>38840</v>
      </c>
      <c r="P24" s="32" t="s">
        <v>1240</v>
      </c>
      <c r="Q24" s="31">
        <f>42180</f>
        <v>42180</v>
      </c>
      <c r="R24" s="32" t="s">
        <v>755</v>
      </c>
      <c r="S24" s="33">
        <f>40007.62</f>
        <v>40007.620000000003</v>
      </c>
      <c r="T24" s="30">
        <f>634333</f>
        <v>634333</v>
      </c>
      <c r="U24" s="30">
        <f>121362</f>
        <v>121362</v>
      </c>
      <c r="V24" s="30">
        <f>25496890686</f>
        <v>25496890686</v>
      </c>
      <c r="W24" s="30">
        <f>4923675446</f>
        <v>4923675446</v>
      </c>
      <c r="X24" s="34">
        <f>21</f>
        <v>21</v>
      </c>
    </row>
    <row r="25" spans="1:24">
      <c r="A25" s="25" t="s">
        <v>1260</v>
      </c>
      <c r="B25" s="25" t="s">
        <v>88</v>
      </c>
      <c r="C25" s="25" t="s">
        <v>89</v>
      </c>
      <c r="D25" s="25" t="s">
        <v>90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10</v>
      </c>
      <c r="K25" s="31">
        <f>2913.5</f>
        <v>2913.5</v>
      </c>
      <c r="L25" s="32" t="s">
        <v>1240</v>
      </c>
      <c r="M25" s="31">
        <f>3008</f>
        <v>3008</v>
      </c>
      <c r="N25" s="32" t="s">
        <v>755</v>
      </c>
      <c r="O25" s="31">
        <f>2874</f>
        <v>2874</v>
      </c>
      <c r="P25" s="32" t="s">
        <v>1211</v>
      </c>
      <c r="Q25" s="31">
        <f>2987</f>
        <v>2987</v>
      </c>
      <c r="R25" s="32" t="s">
        <v>755</v>
      </c>
      <c r="S25" s="33">
        <f>2918.02</f>
        <v>2918.02</v>
      </c>
      <c r="T25" s="30">
        <f>7478220</f>
        <v>7478220</v>
      </c>
      <c r="U25" s="30">
        <f>5702250</f>
        <v>5702250</v>
      </c>
      <c r="V25" s="30">
        <f>21722000913</f>
        <v>21722000913</v>
      </c>
      <c r="W25" s="30">
        <f>16539866108</f>
        <v>16539866108</v>
      </c>
      <c r="X25" s="34">
        <f>21</f>
        <v>21</v>
      </c>
    </row>
    <row r="26" spans="1:24">
      <c r="A26" s="25" t="s">
        <v>1260</v>
      </c>
      <c r="B26" s="25" t="s">
        <v>91</v>
      </c>
      <c r="C26" s="25" t="s">
        <v>92</v>
      </c>
      <c r="D26" s="25" t="s">
        <v>93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</v>
      </c>
      <c r="K26" s="31">
        <f>16460</f>
        <v>16460</v>
      </c>
      <c r="L26" s="32" t="s">
        <v>1240</v>
      </c>
      <c r="M26" s="31">
        <f>16800</f>
        <v>16800</v>
      </c>
      <c r="N26" s="32" t="s">
        <v>755</v>
      </c>
      <c r="O26" s="31">
        <f>16230</f>
        <v>16230</v>
      </c>
      <c r="P26" s="32" t="s">
        <v>1240</v>
      </c>
      <c r="Q26" s="31">
        <f>16435</f>
        <v>16435</v>
      </c>
      <c r="R26" s="32" t="s">
        <v>755</v>
      </c>
      <c r="S26" s="33">
        <f>16533.13</f>
        <v>16533.13</v>
      </c>
      <c r="T26" s="30">
        <f>507</f>
        <v>507</v>
      </c>
      <c r="U26" s="30" t="str">
        <f>"－"</f>
        <v>－</v>
      </c>
      <c r="V26" s="30">
        <f>8359530</f>
        <v>8359530</v>
      </c>
      <c r="W26" s="30" t="str">
        <f>"－"</f>
        <v>－</v>
      </c>
      <c r="X26" s="34">
        <f>16</f>
        <v>16</v>
      </c>
    </row>
    <row r="27" spans="1:24">
      <c r="A27" s="25" t="s">
        <v>1260</v>
      </c>
      <c r="B27" s="25" t="s">
        <v>94</v>
      </c>
      <c r="C27" s="25" t="s">
        <v>95</v>
      </c>
      <c r="D27" s="25" t="s">
        <v>96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10</v>
      </c>
      <c r="K27" s="31">
        <f>273.2</f>
        <v>273.2</v>
      </c>
      <c r="L27" s="32" t="s">
        <v>1240</v>
      </c>
      <c r="M27" s="31">
        <f>280.9</f>
        <v>280.89999999999998</v>
      </c>
      <c r="N27" s="32" t="s">
        <v>1211</v>
      </c>
      <c r="O27" s="31">
        <f>255.5</f>
        <v>255.5</v>
      </c>
      <c r="P27" s="32" t="s">
        <v>755</v>
      </c>
      <c r="Q27" s="31">
        <f>259.1</f>
        <v>259.10000000000002</v>
      </c>
      <c r="R27" s="32" t="s">
        <v>755</v>
      </c>
      <c r="S27" s="33">
        <f>272.37</f>
        <v>272.37</v>
      </c>
      <c r="T27" s="30">
        <f>29961830</f>
        <v>29961830</v>
      </c>
      <c r="U27" s="30">
        <f>1110</f>
        <v>1110</v>
      </c>
      <c r="V27" s="30">
        <f>8121219494</f>
        <v>8121219494</v>
      </c>
      <c r="W27" s="30">
        <f>301330</f>
        <v>301330</v>
      </c>
      <c r="X27" s="34">
        <f>21</f>
        <v>21</v>
      </c>
    </row>
    <row r="28" spans="1:24">
      <c r="A28" s="25" t="s">
        <v>1260</v>
      </c>
      <c r="B28" s="25" t="s">
        <v>97</v>
      </c>
      <c r="C28" s="25" t="s">
        <v>98</v>
      </c>
      <c r="D28" s="25" t="s">
        <v>942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</v>
      </c>
      <c r="K28" s="31">
        <f>11400</f>
        <v>11400</v>
      </c>
      <c r="L28" s="32" t="s">
        <v>1240</v>
      </c>
      <c r="M28" s="31">
        <f>11585</f>
        <v>11585</v>
      </c>
      <c r="N28" s="32" t="s">
        <v>1240</v>
      </c>
      <c r="O28" s="31">
        <f>9604</f>
        <v>9604</v>
      </c>
      <c r="P28" s="32" t="s">
        <v>755</v>
      </c>
      <c r="Q28" s="31">
        <f>9790</f>
        <v>9790</v>
      </c>
      <c r="R28" s="32" t="s">
        <v>755</v>
      </c>
      <c r="S28" s="33">
        <f>10912</f>
        <v>10912</v>
      </c>
      <c r="T28" s="30">
        <f>33385933</f>
        <v>33385933</v>
      </c>
      <c r="U28" s="30">
        <f>478772</f>
        <v>478772</v>
      </c>
      <c r="V28" s="30">
        <f>359636985580</f>
        <v>359636985580</v>
      </c>
      <c r="W28" s="30">
        <f>5126749685</f>
        <v>5126749685</v>
      </c>
      <c r="X28" s="34">
        <f>21</f>
        <v>21</v>
      </c>
    </row>
    <row r="29" spans="1:24">
      <c r="A29" s="25" t="s">
        <v>1260</v>
      </c>
      <c r="B29" s="25" t="s">
        <v>99</v>
      </c>
      <c r="C29" s="25" t="s">
        <v>100</v>
      </c>
      <c r="D29" s="25" t="s">
        <v>101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46130</f>
        <v>46130</v>
      </c>
      <c r="L29" s="32" t="s">
        <v>1240</v>
      </c>
      <c r="M29" s="31">
        <f>54440</f>
        <v>54440</v>
      </c>
      <c r="N29" s="32" t="s">
        <v>755</v>
      </c>
      <c r="O29" s="31">
        <f>45460</f>
        <v>45460</v>
      </c>
      <c r="P29" s="32" t="s">
        <v>1240</v>
      </c>
      <c r="Q29" s="31">
        <f>53500</f>
        <v>53500</v>
      </c>
      <c r="R29" s="32" t="s">
        <v>755</v>
      </c>
      <c r="S29" s="33">
        <f>48192.86</f>
        <v>48192.86</v>
      </c>
      <c r="T29" s="30">
        <f>195666</f>
        <v>195666</v>
      </c>
      <c r="U29" s="30">
        <f>18</f>
        <v>18</v>
      </c>
      <c r="V29" s="30">
        <f>9584761330</f>
        <v>9584761330</v>
      </c>
      <c r="W29" s="30">
        <f>883780</f>
        <v>883780</v>
      </c>
      <c r="X29" s="34">
        <f>21</f>
        <v>21</v>
      </c>
    </row>
    <row r="30" spans="1:24">
      <c r="A30" s="25" t="s">
        <v>1260</v>
      </c>
      <c r="B30" s="25" t="s">
        <v>102</v>
      </c>
      <c r="C30" s="25" t="s">
        <v>103</v>
      </c>
      <c r="D30" s="25" t="s">
        <v>104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10</v>
      </c>
      <c r="K30" s="31">
        <f>280</f>
        <v>280</v>
      </c>
      <c r="L30" s="32" t="s">
        <v>1240</v>
      </c>
      <c r="M30" s="31">
        <f>284.6</f>
        <v>284.60000000000002</v>
      </c>
      <c r="N30" s="32" t="s">
        <v>1240</v>
      </c>
      <c r="O30" s="31">
        <f>235.9</f>
        <v>235.9</v>
      </c>
      <c r="P30" s="32" t="s">
        <v>755</v>
      </c>
      <c r="Q30" s="31">
        <f>241</f>
        <v>241</v>
      </c>
      <c r="R30" s="32" t="s">
        <v>755</v>
      </c>
      <c r="S30" s="33">
        <f>268.05</f>
        <v>268.05</v>
      </c>
      <c r="T30" s="30">
        <f>834811710</f>
        <v>834811710</v>
      </c>
      <c r="U30" s="30">
        <f>6281910</f>
        <v>6281910</v>
      </c>
      <c r="V30" s="30">
        <f>222658018445</f>
        <v>222658018445</v>
      </c>
      <c r="W30" s="30">
        <f>1660549336</f>
        <v>1660549336</v>
      </c>
      <c r="X30" s="34">
        <f>21</f>
        <v>21</v>
      </c>
    </row>
    <row r="31" spans="1:24">
      <c r="A31" s="25" t="s">
        <v>1260</v>
      </c>
      <c r="B31" s="25" t="s">
        <v>105</v>
      </c>
      <c r="C31" s="25" t="s">
        <v>106</v>
      </c>
      <c r="D31" s="25" t="s">
        <v>107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</v>
      </c>
      <c r="K31" s="31">
        <f>2599</f>
        <v>2599</v>
      </c>
      <c r="L31" s="32" t="s">
        <v>1240</v>
      </c>
      <c r="M31" s="31">
        <f>2685</f>
        <v>2685</v>
      </c>
      <c r="N31" s="32" t="s">
        <v>755</v>
      </c>
      <c r="O31" s="31">
        <f>2568</f>
        <v>2568</v>
      </c>
      <c r="P31" s="32" t="s">
        <v>1211</v>
      </c>
      <c r="Q31" s="31">
        <f>2670</f>
        <v>2670</v>
      </c>
      <c r="R31" s="32" t="s">
        <v>755</v>
      </c>
      <c r="S31" s="33">
        <f>2605.67</f>
        <v>2605.67</v>
      </c>
      <c r="T31" s="30">
        <f>208756</f>
        <v>208756</v>
      </c>
      <c r="U31" s="30">
        <f>106689</f>
        <v>106689</v>
      </c>
      <c r="V31" s="30">
        <f>550980098</f>
        <v>550980098</v>
      </c>
      <c r="W31" s="30">
        <f>282904602</f>
        <v>282904602</v>
      </c>
      <c r="X31" s="34">
        <f>21</f>
        <v>21</v>
      </c>
    </row>
    <row r="32" spans="1:24">
      <c r="A32" s="25" t="s">
        <v>1260</v>
      </c>
      <c r="B32" s="25" t="s">
        <v>108</v>
      </c>
      <c r="C32" s="25" t="s">
        <v>876</v>
      </c>
      <c r="D32" s="25" t="s">
        <v>877</v>
      </c>
      <c r="E32" s="26" t="s">
        <v>43</v>
      </c>
      <c r="F32" s="27" t="s">
        <v>43</v>
      </c>
      <c r="G32" s="28" t="s">
        <v>43</v>
      </c>
      <c r="H32" s="29"/>
      <c r="I32" s="29" t="s">
        <v>44</v>
      </c>
      <c r="J32" s="30">
        <v>1</v>
      </c>
      <c r="K32" s="31">
        <f>37490</f>
        <v>37490</v>
      </c>
      <c r="L32" s="32" t="s">
        <v>1240</v>
      </c>
      <c r="M32" s="31">
        <f>44280</f>
        <v>44280</v>
      </c>
      <c r="N32" s="32" t="s">
        <v>755</v>
      </c>
      <c r="O32" s="31">
        <f>36990</f>
        <v>36990</v>
      </c>
      <c r="P32" s="32" t="s">
        <v>1240</v>
      </c>
      <c r="Q32" s="31">
        <f>43400</f>
        <v>43400</v>
      </c>
      <c r="R32" s="32" t="s">
        <v>755</v>
      </c>
      <c r="S32" s="33">
        <f>39232.86</f>
        <v>39232.86</v>
      </c>
      <c r="T32" s="30">
        <f>1044581</f>
        <v>1044581</v>
      </c>
      <c r="U32" s="30">
        <f>24297</f>
        <v>24297</v>
      </c>
      <c r="V32" s="30">
        <f>41375555872</f>
        <v>41375555872</v>
      </c>
      <c r="W32" s="30">
        <f>965043032</f>
        <v>965043032</v>
      </c>
      <c r="X32" s="34">
        <f>21</f>
        <v>21</v>
      </c>
    </row>
    <row r="33" spans="1:24">
      <c r="A33" s="25" t="s">
        <v>1260</v>
      </c>
      <c r="B33" s="25" t="s">
        <v>109</v>
      </c>
      <c r="C33" s="25" t="s">
        <v>878</v>
      </c>
      <c r="D33" s="25" t="s">
        <v>879</v>
      </c>
      <c r="E33" s="26" t="s">
        <v>43</v>
      </c>
      <c r="F33" s="27" t="s">
        <v>43</v>
      </c>
      <c r="G33" s="28" t="s">
        <v>43</v>
      </c>
      <c r="H33" s="29"/>
      <c r="I33" s="29" t="s">
        <v>44</v>
      </c>
      <c r="J33" s="30">
        <v>1</v>
      </c>
      <c r="K33" s="31">
        <f>286</f>
        <v>286</v>
      </c>
      <c r="L33" s="32" t="s">
        <v>1240</v>
      </c>
      <c r="M33" s="31">
        <f>292</f>
        <v>292</v>
      </c>
      <c r="N33" s="32" t="s">
        <v>1240</v>
      </c>
      <c r="O33" s="31">
        <f>241</f>
        <v>241</v>
      </c>
      <c r="P33" s="32" t="s">
        <v>755</v>
      </c>
      <c r="Q33" s="31">
        <f>247</f>
        <v>247</v>
      </c>
      <c r="R33" s="32" t="s">
        <v>755</v>
      </c>
      <c r="S33" s="33">
        <f>274.9</f>
        <v>274.89999999999998</v>
      </c>
      <c r="T33" s="30">
        <f>51678751</f>
        <v>51678751</v>
      </c>
      <c r="U33" s="30">
        <f>545546</f>
        <v>545546</v>
      </c>
      <c r="V33" s="30">
        <f>14080399636</f>
        <v>14080399636</v>
      </c>
      <c r="W33" s="30">
        <f>147682788</f>
        <v>147682788</v>
      </c>
      <c r="X33" s="34">
        <f>21</f>
        <v>21</v>
      </c>
    </row>
    <row r="34" spans="1:24">
      <c r="A34" s="25" t="s">
        <v>1260</v>
      </c>
      <c r="B34" s="25" t="s">
        <v>110</v>
      </c>
      <c r="C34" s="25" t="s">
        <v>880</v>
      </c>
      <c r="D34" s="25" t="s">
        <v>881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36720</f>
        <v>36720</v>
      </c>
      <c r="L34" s="32" t="s">
        <v>1240</v>
      </c>
      <c r="M34" s="31">
        <f>39060</f>
        <v>39060</v>
      </c>
      <c r="N34" s="32" t="s">
        <v>755</v>
      </c>
      <c r="O34" s="31">
        <f>35670</f>
        <v>35670</v>
      </c>
      <c r="P34" s="32" t="s">
        <v>1211</v>
      </c>
      <c r="Q34" s="31">
        <f>38580</f>
        <v>38580</v>
      </c>
      <c r="R34" s="32" t="s">
        <v>755</v>
      </c>
      <c r="S34" s="33">
        <f>36780</f>
        <v>36780</v>
      </c>
      <c r="T34" s="30">
        <f>123764</f>
        <v>123764</v>
      </c>
      <c r="U34" s="30">
        <f>2239</f>
        <v>2239</v>
      </c>
      <c r="V34" s="30">
        <f>4613345812</f>
        <v>4613345812</v>
      </c>
      <c r="W34" s="30">
        <f>82600352</f>
        <v>82600352</v>
      </c>
      <c r="X34" s="34">
        <f>21</f>
        <v>21</v>
      </c>
    </row>
    <row r="35" spans="1:24">
      <c r="A35" s="25" t="s">
        <v>1260</v>
      </c>
      <c r="B35" s="25" t="s">
        <v>111</v>
      </c>
      <c r="C35" s="25" t="s">
        <v>882</v>
      </c>
      <c r="D35" s="25" t="s">
        <v>883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397</f>
        <v>397</v>
      </c>
      <c r="L35" s="32" t="s">
        <v>1240</v>
      </c>
      <c r="M35" s="31">
        <f>408</f>
        <v>408</v>
      </c>
      <c r="N35" s="32" t="s">
        <v>1211</v>
      </c>
      <c r="O35" s="31">
        <f>372</f>
        <v>372</v>
      </c>
      <c r="P35" s="32" t="s">
        <v>755</v>
      </c>
      <c r="Q35" s="31">
        <f>377</f>
        <v>377</v>
      </c>
      <c r="R35" s="32" t="s">
        <v>755</v>
      </c>
      <c r="S35" s="33">
        <f>396.1</f>
        <v>396.1</v>
      </c>
      <c r="T35" s="30">
        <f>2608421</f>
        <v>2608421</v>
      </c>
      <c r="U35" s="30">
        <f>5126</f>
        <v>5126</v>
      </c>
      <c r="V35" s="30">
        <f>1029206281</f>
        <v>1029206281</v>
      </c>
      <c r="W35" s="30">
        <f>2035793</f>
        <v>2035793</v>
      </c>
      <c r="X35" s="34">
        <f>21</f>
        <v>21</v>
      </c>
    </row>
    <row r="36" spans="1:24">
      <c r="A36" s="25" t="s">
        <v>1260</v>
      </c>
      <c r="B36" s="25" t="s">
        <v>112</v>
      </c>
      <c r="C36" s="25" t="s">
        <v>113</v>
      </c>
      <c r="D36" s="25" t="s">
        <v>114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38050</f>
        <v>38050</v>
      </c>
      <c r="L36" s="32" t="s">
        <v>1240</v>
      </c>
      <c r="M36" s="31">
        <f>41330</f>
        <v>41330</v>
      </c>
      <c r="N36" s="32" t="s">
        <v>755</v>
      </c>
      <c r="O36" s="31">
        <f>37740</f>
        <v>37740</v>
      </c>
      <c r="P36" s="32" t="s">
        <v>1240</v>
      </c>
      <c r="Q36" s="31">
        <f>40890</f>
        <v>40890</v>
      </c>
      <c r="R36" s="32" t="s">
        <v>755</v>
      </c>
      <c r="S36" s="33">
        <f>38868.1</f>
        <v>38868.1</v>
      </c>
      <c r="T36" s="30">
        <f>465055</f>
        <v>465055</v>
      </c>
      <c r="U36" s="30">
        <f>330710</f>
        <v>330710</v>
      </c>
      <c r="V36" s="30">
        <f>18741117223</f>
        <v>18741117223</v>
      </c>
      <c r="W36" s="30">
        <f>13516054293</f>
        <v>13516054293</v>
      </c>
      <c r="X36" s="34">
        <f>21</f>
        <v>21</v>
      </c>
    </row>
    <row r="37" spans="1:24">
      <c r="A37" s="25" t="s">
        <v>1260</v>
      </c>
      <c r="B37" s="25" t="s">
        <v>115</v>
      </c>
      <c r="C37" s="25" t="s">
        <v>116</v>
      </c>
      <c r="D37" s="25" t="s">
        <v>117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38000</f>
        <v>38000</v>
      </c>
      <c r="L37" s="32" t="s">
        <v>1240</v>
      </c>
      <c r="M37" s="31">
        <f>41290</f>
        <v>41290</v>
      </c>
      <c r="N37" s="32" t="s">
        <v>755</v>
      </c>
      <c r="O37" s="31">
        <f>37720</f>
        <v>37720</v>
      </c>
      <c r="P37" s="32" t="s">
        <v>1240</v>
      </c>
      <c r="Q37" s="31">
        <f>40780</f>
        <v>40780</v>
      </c>
      <c r="R37" s="32" t="s">
        <v>755</v>
      </c>
      <c r="S37" s="33">
        <f>38924.44</f>
        <v>38924.44</v>
      </c>
      <c r="T37" s="30">
        <f>249285</f>
        <v>249285</v>
      </c>
      <c r="U37" s="30">
        <f>178646</f>
        <v>178646</v>
      </c>
      <c r="V37" s="30">
        <f>9796389164</f>
        <v>9796389164</v>
      </c>
      <c r="W37" s="30">
        <f>7036184044</f>
        <v>7036184044</v>
      </c>
      <c r="X37" s="34">
        <f>18</f>
        <v>18</v>
      </c>
    </row>
    <row r="38" spans="1:24">
      <c r="A38" s="25" t="s">
        <v>1260</v>
      </c>
      <c r="B38" s="25" t="s">
        <v>118</v>
      </c>
      <c r="C38" s="25" t="s">
        <v>119</v>
      </c>
      <c r="D38" s="25" t="s">
        <v>120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10</v>
      </c>
      <c r="K38" s="31">
        <f>1793.5</f>
        <v>1793.5</v>
      </c>
      <c r="L38" s="32" t="s">
        <v>1240</v>
      </c>
      <c r="M38" s="31">
        <f>1843.5</f>
        <v>1843.5</v>
      </c>
      <c r="N38" s="32" t="s">
        <v>1075</v>
      </c>
      <c r="O38" s="31">
        <f>1781.5</f>
        <v>1781.5</v>
      </c>
      <c r="P38" s="32" t="s">
        <v>1209</v>
      </c>
      <c r="Q38" s="31">
        <f>1829</f>
        <v>1829</v>
      </c>
      <c r="R38" s="32" t="s">
        <v>755</v>
      </c>
      <c r="S38" s="33">
        <f>1816.79</f>
        <v>1816.79</v>
      </c>
      <c r="T38" s="30">
        <f>6170340</f>
        <v>6170340</v>
      </c>
      <c r="U38" s="30">
        <f>4192610</f>
        <v>4192610</v>
      </c>
      <c r="V38" s="30">
        <f>11122431166</f>
        <v>11122431166</v>
      </c>
      <c r="W38" s="30">
        <f>7524174036</f>
        <v>7524174036</v>
      </c>
      <c r="X38" s="34">
        <f>21</f>
        <v>21</v>
      </c>
    </row>
    <row r="39" spans="1:24">
      <c r="A39" s="25" t="s">
        <v>1260</v>
      </c>
      <c r="B39" s="25" t="s">
        <v>121</v>
      </c>
      <c r="C39" s="25" t="s">
        <v>122</v>
      </c>
      <c r="D39" s="25" t="s">
        <v>123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</v>
      </c>
      <c r="K39" s="31">
        <f>2230</f>
        <v>2230</v>
      </c>
      <c r="L39" s="32" t="s">
        <v>1240</v>
      </c>
      <c r="M39" s="31">
        <f>2273</f>
        <v>2273</v>
      </c>
      <c r="N39" s="32" t="s">
        <v>755</v>
      </c>
      <c r="O39" s="31">
        <f>2206</f>
        <v>2206</v>
      </c>
      <c r="P39" s="32" t="s">
        <v>1209</v>
      </c>
      <c r="Q39" s="31">
        <f>2264</f>
        <v>2264</v>
      </c>
      <c r="R39" s="32" t="s">
        <v>755</v>
      </c>
      <c r="S39" s="33">
        <f>2227.1</f>
        <v>2227.1</v>
      </c>
      <c r="T39" s="30">
        <f>12234</f>
        <v>12234</v>
      </c>
      <c r="U39" s="30" t="str">
        <f>"－"</f>
        <v>－</v>
      </c>
      <c r="V39" s="30">
        <f>27181780</f>
        <v>27181780</v>
      </c>
      <c r="W39" s="30" t="str">
        <f>"－"</f>
        <v>－</v>
      </c>
      <c r="X39" s="34">
        <f>21</f>
        <v>21</v>
      </c>
    </row>
    <row r="40" spans="1:24">
      <c r="A40" s="25" t="s">
        <v>1260</v>
      </c>
      <c r="B40" s="25" t="s">
        <v>1082</v>
      </c>
      <c r="C40" s="25" t="s">
        <v>1083</v>
      </c>
      <c r="D40" s="25" t="s">
        <v>1084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</v>
      </c>
      <c r="K40" s="31">
        <f>1989</f>
        <v>1989</v>
      </c>
      <c r="L40" s="32" t="s">
        <v>1240</v>
      </c>
      <c r="M40" s="31">
        <f>2022</f>
        <v>2022</v>
      </c>
      <c r="N40" s="32" t="s">
        <v>1212</v>
      </c>
      <c r="O40" s="31">
        <f>1892</f>
        <v>1892</v>
      </c>
      <c r="P40" s="32" t="s">
        <v>1212</v>
      </c>
      <c r="Q40" s="31">
        <f>1975</f>
        <v>1975</v>
      </c>
      <c r="R40" s="32" t="s">
        <v>755</v>
      </c>
      <c r="S40" s="33">
        <f>1986.14</f>
        <v>1986.14</v>
      </c>
      <c r="T40" s="30">
        <f>142521</f>
        <v>142521</v>
      </c>
      <c r="U40" s="30" t="str">
        <f>"－"</f>
        <v>－</v>
      </c>
      <c r="V40" s="30">
        <f>284523949</f>
        <v>284523949</v>
      </c>
      <c r="W40" s="30" t="str">
        <f>"－"</f>
        <v>－</v>
      </c>
      <c r="X40" s="34">
        <f>21</f>
        <v>21</v>
      </c>
    </row>
    <row r="41" spans="1:24">
      <c r="A41" s="25" t="s">
        <v>1260</v>
      </c>
      <c r="B41" s="25" t="s">
        <v>124</v>
      </c>
      <c r="C41" s="25" t="s">
        <v>884</v>
      </c>
      <c r="D41" s="25" t="s">
        <v>885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2454</f>
        <v>2454</v>
      </c>
      <c r="L41" s="32" t="s">
        <v>1240</v>
      </c>
      <c r="M41" s="31">
        <f>2472</f>
        <v>2472</v>
      </c>
      <c r="N41" s="32" t="s">
        <v>1240</v>
      </c>
      <c r="O41" s="31">
        <f>2253</f>
        <v>2253</v>
      </c>
      <c r="P41" s="32" t="s">
        <v>755</v>
      </c>
      <c r="Q41" s="31">
        <f>2277</f>
        <v>2277</v>
      </c>
      <c r="R41" s="32" t="s">
        <v>755</v>
      </c>
      <c r="S41" s="33">
        <f>2398.81</f>
        <v>2398.81</v>
      </c>
      <c r="T41" s="30">
        <f>2279487</f>
        <v>2279487</v>
      </c>
      <c r="U41" s="30">
        <f>1018095</f>
        <v>1018095</v>
      </c>
      <c r="V41" s="30">
        <f>5366031931</f>
        <v>5366031931</v>
      </c>
      <c r="W41" s="30">
        <f>2377416536</f>
        <v>2377416536</v>
      </c>
      <c r="X41" s="34">
        <f>21</f>
        <v>21</v>
      </c>
    </row>
    <row r="42" spans="1:24">
      <c r="A42" s="25" t="s">
        <v>1260</v>
      </c>
      <c r="B42" s="25" t="s">
        <v>125</v>
      </c>
      <c r="C42" s="25" t="s">
        <v>886</v>
      </c>
      <c r="D42" s="25" t="s">
        <v>887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2772</f>
        <v>2772</v>
      </c>
      <c r="L42" s="32" t="s">
        <v>1240</v>
      </c>
      <c r="M42" s="31">
        <f>2810</f>
        <v>2810</v>
      </c>
      <c r="N42" s="32" t="s">
        <v>1211</v>
      </c>
      <c r="O42" s="31">
        <f>2682</f>
        <v>2682</v>
      </c>
      <c r="P42" s="32" t="s">
        <v>755</v>
      </c>
      <c r="Q42" s="31">
        <f>2701</f>
        <v>2701</v>
      </c>
      <c r="R42" s="32" t="s">
        <v>755</v>
      </c>
      <c r="S42" s="33">
        <f>2768.29</f>
        <v>2768.29</v>
      </c>
      <c r="T42" s="30">
        <f>406295</f>
        <v>406295</v>
      </c>
      <c r="U42" s="30">
        <f>324315</f>
        <v>324315</v>
      </c>
      <c r="V42" s="30">
        <f>1131444535</f>
        <v>1131444535</v>
      </c>
      <c r="W42" s="30">
        <f>905446742</f>
        <v>905446742</v>
      </c>
      <c r="X42" s="34">
        <f>21</f>
        <v>21</v>
      </c>
    </row>
    <row r="43" spans="1:24">
      <c r="A43" s="25" t="s">
        <v>1260</v>
      </c>
      <c r="B43" s="25" t="s">
        <v>126</v>
      </c>
      <c r="C43" s="25" t="s">
        <v>127</v>
      </c>
      <c r="D43" s="25" t="s">
        <v>128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28850</f>
        <v>28850</v>
      </c>
      <c r="L43" s="32" t="s">
        <v>1240</v>
      </c>
      <c r="M43" s="31">
        <f>34090</f>
        <v>34090</v>
      </c>
      <c r="N43" s="32" t="s">
        <v>755</v>
      </c>
      <c r="O43" s="31">
        <f>28455</f>
        <v>28455</v>
      </c>
      <c r="P43" s="32" t="s">
        <v>1240</v>
      </c>
      <c r="Q43" s="31">
        <f>33450</f>
        <v>33450</v>
      </c>
      <c r="R43" s="32" t="s">
        <v>755</v>
      </c>
      <c r="S43" s="33">
        <f>30197.14</f>
        <v>30197.14</v>
      </c>
      <c r="T43" s="30">
        <f>6162445</f>
        <v>6162445</v>
      </c>
      <c r="U43" s="30">
        <f>3493</f>
        <v>3493</v>
      </c>
      <c r="V43" s="30">
        <f>186604356680</f>
        <v>186604356680</v>
      </c>
      <c r="W43" s="30">
        <f>106651025</f>
        <v>106651025</v>
      </c>
      <c r="X43" s="34">
        <f>21</f>
        <v>21</v>
      </c>
    </row>
    <row r="44" spans="1:24">
      <c r="A44" s="25" t="s">
        <v>1260</v>
      </c>
      <c r="B44" s="25" t="s">
        <v>129</v>
      </c>
      <c r="C44" s="25" t="s">
        <v>130</v>
      </c>
      <c r="D44" s="25" t="s">
        <v>131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460</f>
        <v>460</v>
      </c>
      <c r="L44" s="32" t="s">
        <v>1240</v>
      </c>
      <c r="M44" s="31">
        <f>467</f>
        <v>467</v>
      </c>
      <c r="N44" s="32" t="s">
        <v>1240</v>
      </c>
      <c r="O44" s="31">
        <f>386</f>
        <v>386</v>
      </c>
      <c r="P44" s="32" t="s">
        <v>755</v>
      </c>
      <c r="Q44" s="31">
        <f>395</f>
        <v>395</v>
      </c>
      <c r="R44" s="32" t="s">
        <v>755</v>
      </c>
      <c r="S44" s="33">
        <f>439.33</f>
        <v>439.33</v>
      </c>
      <c r="T44" s="30">
        <f>224836856</f>
        <v>224836856</v>
      </c>
      <c r="U44" s="30">
        <f>3105569</f>
        <v>3105569</v>
      </c>
      <c r="V44" s="30">
        <f>98290731287</f>
        <v>98290731287</v>
      </c>
      <c r="W44" s="30">
        <f>1333433572</f>
        <v>1333433572</v>
      </c>
      <c r="X44" s="34">
        <f>21</f>
        <v>21</v>
      </c>
    </row>
    <row r="45" spans="1:24">
      <c r="A45" s="25" t="s">
        <v>1260</v>
      </c>
      <c r="B45" s="25" t="s">
        <v>132</v>
      </c>
      <c r="C45" s="25" t="s">
        <v>888</v>
      </c>
      <c r="D45" s="25" t="s">
        <v>889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504</f>
        <v>504</v>
      </c>
      <c r="L45" s="32" t="s">
        <v>1240</v>
      </c>
      <c r="M45" s="31">
        <f>517</f>
        <v>517</v>
      </c>
      <c r="N45" s="32" t="s">
        <v>1209</v>
      </c>
      <c r="O45" s="31">
        <f>479</f>
        <v>479</v>
      </c>
      <c r="P45" s="32" t="s">
        <v>755</v>
      </c>
      <c r="Q45" s="31">
        <f>488</f>
        <v>488</v>
      </c>
      <c r="R45" s="32" t="s">
        <v>755</v>
      </c>
      <c r="S45" s="33">
        <f>508.43</f>
        <v>508.43</v>
      </c>
      <c r="T45" s="30">
        <f>65738</f>
        <v>65738</v>
      </c>
      <c r="U45" s="30" t="str">
        <f>"－"</f>
        <v>－</v>
      </c>
      <c r="V45" s="30">
        <f>33208419</f>
        <v>33208419</v>
      </c>
      <c r="W45" s="30" t="str">
        <f>"－"</f>
        <v>－</v>
      </c>
      <c r="X45" s="34">
        <f>21</f>
        <v>21</v>
      </c>
    </row>
    <row r="46" spans="1:24">
      <c r="A46" s="25" t="s">
        <v>1260</v>
      </c>
      <c r="B46" s="25" t="s">
        <v>133</v>
      </c>
      <c r="C46" s="25" t="s">
        <v>134</v>
      </c>
      <c r="D46" s="25" t="s">
        <v>135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10</v>
      </c>
      <c r="K46" s="31">
        <f>487.6</f>
        <v>487.6</v>
      </c>
      <c r="L46" s="32" t="s">
        <v>1240</v>
      </c>
      <c r="M46" s="31">
        <f>506.7</f>
        <v>506.7</v>
      </c>
      <c r="N46" s="32" t="s">
        <v>756</v>
      </c>
      <c r="O46" s="31">
        <f>461</f>
        <v>461</v>
      </c>
      <c r="P46" s="32" t="s">
        <v>755</v>
      </c>
      <c r="Q46" s="31">
        <f>466.9</f>
        <v>466.9</v>
      </c>
      <c r="R46" s="32" t="s">
        <v>755</v>
      </c>
      <c r="S46" s="33">
        <f>489.98</f>
        <v>489.98</v>
      </c>
      <c r="T46" s="30">
        <f>115970</f>
        <v>115970</v>
      </c>
      <c r="U46" s="30" t="str">
        <f>"－"</f>
        <v>－</v>
      </c>
      <c r="V46" s="30">
        <f>56621014</f>
        <v>56621014</v>
      </c>
      <c r="W46" s="30" t="str">
        <f>"－"</f>
        <v>－</v>
      </c>
      <c r="X46" s="34">
        <f>21</f>
        <v>21</v>
      </c>
    </row>
    <row r="47" spans="1:24">
      <c r="A47" s="25" t="s">
        <v>1260</v>
      </c>
      <c r="B47" s="25" t="s">
        <v>136</v>
      </c>
      <c r="C47" s="25" t="s">
        <v>137</v>
      </c>
      <c r="D47" s="25" t="s">
        <v>138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200</f>
        <v>200</v>
      </c>
      <c r="L47" s="32" t="s">
        <v>1240</v>
      </c>
      <c r="M47" s="31">
        <f>205</f>
        <v>205</v>
      </c>
      <c r="N47" s="32" t="s">
        <v>1209</v>
      </c>
      <c r="O47" s="31">
        <f>188</f>
        <v>188</v>
      </c>
      <c r="P47" s="32" t="s">
        <v>755</v>
      </c>
      <c r="Q47" s="31">
        <f>192</f>
        <v>192</v>
      </c>
      <c r="R47" s="32" t="s">
        <v>755</v>
      </c>
      <c r="S47" s="33">
        <f>199.76</f>
        <v>199.76</v>
      </c>
      <c r="T47" s="30">
        <f>199200</f>
        <v>199200</v>
      </c>
      <c r="U47" s="30" t="str">
        <f>"－"</f>
        <v>－</v>
      </c>
      <c r="V47" s="30">
        <f>39290308</f>
        <v>39290308</v>
      </c>
      <c r="W47" s="30" t="str">
        <f>"－"</f>
        <v>－</v>
      </c>
      <c r="X47" s="34">
        <f>21</f>
        <v>21</v>
      </c>
    </row>
    <row r="48" spans="1:24">
      <c r="A48" s="25" t="s">
        <v>1260</v>
      </c>
      <c r="B48" s="25" t="s">
        <v>139</v>
      </c>
      <c r="C48" s="25" t="s">
        <v>140</v>
      </c>
      <c r="D48" s="25" t="s">
        <v>141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2845.5</f>
        <v>2845.5</v>
      </c>
      <c r="L48" s="32" t="s">
        <v>1240</v>
      </c>
      <c r="M48" s="31">
        <f>2949</f>
        <v>2949</v>
      </c>
      <c r="N48" s="32" t="s">
        <v>755</v>
      </c>
      <c r="O48" s="31">
        <f>2821</f>
        <v>2821</v>
      </c>
      <c r="P48" s="32" t="s">
        <v>1211</v>
      </c>
      <c r="Q48" s="31">
        <f>2932</f>
        <v>2932</v>
      </c>
      <c r="R48" s="32" t="s">
        <v>755</v>
      </c>
      <c r="S48" s="33">
        <f>2860.4</f>
        <v>2860.4</v>
      </c>
      <c r="T48" s="30">
        <f>4491440</f>
        <v>4491440</v>
      </c>
      <c r="U48" s="30">
        <f>4030810</f>
        <v>4030810</v>
      </c>
      <c r="V48" s="30">
        <f>12866573995</f>
        <v>12866573995</v>
      </c>
      <c r="W48" s="30">
        <f>11532746130</f>
        <v>11532746130</v>
      </c>
      <c r="X48" s="34">
        <f>21</f>
        <v>21</v>
      </c>
    </row>
    <row r="49" spans="1:24">
      <c r="A49" s="25" t="s">
        <v>1260</v>
      </c>
      <c r="B49" s="25" t="s">
        <v>142</v>
      </c>
      <c r="C49" s="25" t="s">
        <v>143</v>
      </c>
      <c r="D49" s="25" t="s">
        <v>144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25680</f>
        <v>25680</v>
      </c>
      <c r="L49" s="32" t="s">
        <v>1240</v>
      </c>
      <c r="M49" s="31">
        <f>26575</f>
        <v>26575</v>
      </c>
      <c r="N49" s="32" t="s">
        <v>755</v>
      </c>
      <c r="O49" s="31">
        <f>25430</f>
        <v>25430</v>
      </c>
      <c r="P49" s="32" t="s">
        <v>1211</v>
      </c>
      <c r="Q49" s="31">
        <f>26405</f>
        <v>26405</v>
      </c>
      <c r="R49" s="32" t="s">
        <v>755</v>
      </c>
      <c r="S49" s="33">
        <f>25776.9</f>
        <v>25776.9</v>
      </c>
      <c r="T49" s="30">
        <f>23556</f>
        <v>23556</v>
      </c>
      <c r="U49" s="30" t="str">
        <f>"－"</f>
        <v>－</v>
      </c>
      <c r="V49" s="30">
        <f>607573410</f>
        <v>607573410</v>
      </c>
      <c r="W49" s="30" t="str">
        <f>"－"</f>
        <v>－</v>
      </c>
      <c r="X49" s="34">
        <f>21</f>
        <v>21</v>
      </c>
    </row>
    <row r="50" spans="1:24">
      <c r="A50" s="25" t="s">
        <v>1260</v>
      </c>
      <c r="B50" s="25" t="s">
        <v>145</v>
      </c>
      <c r="C50" s="25" t="s">
        <v>146</v>
      </c>
      <c r="D50" s="25" t="s">
        <v>147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287.9</f>
        <v>287.89999999999998</v>
      </c>
      <c r="L50" s="32" t="s">
        <v>1240</v>
      </c>
      <c r="M50" s="31">
        <f>297.2</f>
        <v>297.2</v>
      </c>
      <c r="N50" s="32" t="s">
        <v>755</v>
      </c>
      <c r="O50" s="31">
        <f>283.7</f>
        <v>283.7</v>
      </c>
      <c r="P50" s="32" t="s">
        <v>1211</v>
      </c>
      <c r="Q50" s="31">
        <f>295</f>
        <v>295</v>
      </c>
      <c r="R50" s="32" t="s">
        <v>755</v>
      </c>
      <c r="S50" s="33">
        <f>288.14</f>
        <v>288.14</v>
      </c>
      <c r="T50" s="30">
        <f>168750870</f>
        <v>168750870</v>
      </c>
      <c r="U50" s="30">
        <f>68109370</f>
        <v>68109370</v>
      </c>
      <c r="V50" s="30">
        <f>48623194722</f>
        <v>48623194722</v>
      </c>
      <c r="W50" s="30">
        <f>19635387725</f>
        <v>19635387725</v>
      </c>
      <c r="X50" s="34">
        <f>21</f>
        <v>21</v>
      </c>
    </row>
    <row r="51" spans="1:24">
      <c r="A51" s="25" t="s">
        <v>1260</v>
      </c>
      <c r="B51" s="25" t="s">
        <v>148</v>
      </c>
      <c r="C51" s="25" t="s">
        <v>149</v>
      </c>
      <c r="D51" s="25" t="s">
        <v>150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1800</f>
        <v>1800</v>
      </c>
      <c r="L51" s="32" t="s">
        <v>1240</v>
      </c>
      <c r="M51" s="31">
        <f>1862</f>
        <v>1862</v>
      </c>
      <c r="N51" s="32" t="s">
        <v>663</v>
      </c>
      <c r="O51" s="31">
        <f>1791</f>
        <v>1791</v>
      </c>
      <c r="P51" s="32" t="s">
        <v>1204</v>
      </c>
      <c r="Q51" s="31">
        <f>1841</f>
        <v>1841</v>
      </c>
      <c r="R51" s="32" t="s">
        <v>755</v>
      </c>
      <c r="S51" s="33">
        <f>1830.29</f>
        <v>1830.29</v>
      </c>
      <c r="T51" s="30">
        <f>8273907</f>
        <v>8273907</v>
      </c>
      <c r="U51" s="30">
        <f>5051601</f>
        <v>5051601</v>
      </c>
      <c r="V51" s="30">
        <f>15195801676</f>
        <v>15195801676</v>
      </c>
      <c r="W51" s="30">
        <f>9299155910</f>
        <v>9299155910</v>
      </c>
      <c r="X51" s="34">
        <f>21</f>
        <v>21</v>
      </c>
    </row>
    <row r="52" spans="1:24">
      <c r="A52" s="25" t="s">
        <v>1260</v>
      </c>
      <c r="B52" s="25" t="s">
        <v>151</v>
      </c>
      <c r="C52" s="25" t="s">
        <v>152</v>
      </c>
      <c r="D52" s="25" t="s">
        <v>153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</v>
      </c>
      <c r="K52" s="31">
        <f>2640</f>
        <v>2640</v>
      </c>
      <c r="L52" s="32" t="s">
        <v>1240</v>
      </c>
      <c r="M52" s="31">
        <f>2670</f>
        <v>2670</v>
      </c>
      <c r="N52" s="32" t="s">
        <v>755</v>
      </c>
      <c r="O52" s="31">
        <f>2593</f>
        <v>2593</v>
      </c>
      <c r="P52" s="32" t="s">
        <v>756</v>
      </c>
      <c r="Q52" s="31">
        <f>2665</f>
        <v>2665</v>
      </c>
      <c r="R52" s="32" t="s">
        <v>755</v>
      </c>
      <c r="S52" s="33">
        <f>2624.9</f>
        <v>2624.9</v>
      </c>
      <c r="T52" s="30">
        <f>20801</f>
        <v>20801</v>
      </c>
      <c r="U52" s="30">
        <f>5077</f>
        <v>5077</v>
      </c>
      <c r="V52" s="30">
        <f>54667490</f>
        <v>54667490</v>
      </c>
      <c r="W52" s="30">
        <f>13524049</f>
        <v>13524049</v>
      </c>
      <c r="X52" s="34">
        <f>21</f>
        <v>21</v>
      </c>
    </row>
    <row r="53" spans="1:24">
      <c r="A53" s="25" t="s">
        <v>1260</v>
      </c>
      <c r="B53" s="25" t="s">
        <v>154</v>
      </c>
      <c r="C53" s="25" t="s">
        <v>155</v>
      </c>
      <c r="D53" s="25" t="s">
        <v>156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3902</f>
        <v>3902</v>
      </c>
      <c r="L53" s="32" t="s">
        <v>1240</v>
      </c>
      <c r="M53" s="31">
        <f>3902</f>
        <v>3902</v>
      </c>
      <c r="N53" s="32" t="s">
        <v>1240</v>
      </c>
      <c r="O53" s="31">
        <f>3735</f>
        <v>3735</v>
      </c>
      <c r="P53" s="32" t="s">
        <v>1210</v>
      </c>
      <c r="Q53" s="31">
        <f>3843</f>
        <v>3843</v>
      </c>
      <c r="R53" s="32" t="s">
        <v>755</v>
      </c>
      <c r="S53" s="33">
        <f>3814</f>
        <v>3814</v>
      </c>
      <c r="T53" s="30">
        <f>1275200</f>
        <v>1275200</v>
      </c>
      <c r="U53" s="30">
        <f>577734</f>
        <v>577734</v>
      </c>
      <c r="V53" s="30">
        <f>4828909878</f>
        <v>4828909878</v>
      </c>
      <c r="W53" s="30">
        <f>2180374077</f>
        <v>2180374077</v>
      </c>
      <c r="X53" s="34">
        <f>21</f>
        <v>21</v>
      </c>
    </row>
    <row r="54" spans="1:24">
      <c r="A54" s="25" t="s">
        <v>1260</v>
      </c>
      <c r="B54" s="25" t="s">
        <v>157</v>
      </c>
      <c r="C54" s="25" t="s">
        <v>890</v>
      </c>
      <c r="D54" s="25" t="s">
        <v>891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35560</f>
        <v>35560</v>
      </c>
      <c r="L54" s="32" t="s">
        <v>1240</v>
      </c>
      <c r="M54" s="31">
        <f>35960</f>
        <v>35960</v>
      </c>
      <c r="N54" s="32" t="s">
        <v>852</v>
      </c>
      <c r="O54" s="31">
        <f>35390</f>
        <v>35390</v>
      </c>
      <c r="P54" s="32" t="s">
        <v>1209</v>
      </c>
      <c r="Q54" s="31">
        <f>35960</f>
        <v>35960</v>
      </c>
      <c r="R54" s="32" t="s">
        <v>852</v>
      </c>
      <c r="S54" s="33">
        <f>35647.5</f>
        <v>35647.5</v>
      </c>
      <c r="T54" s="30">
        <f>28</f>
        <v>28</v>
      </c>
      <c r="U54" s="30" t="str">
        <f>"－"</f>
        <v>－</v>
      </c>
      <c r="V54" s="30">
        <f>996210</f>
        <v>996210</v>
      </c>
      <c r="W54" s="30" t="str">
        <f>"－"</f>
        <v>－</v>
      </c>
      <c r="X54" s="34">
        <f>4</f>
        <v>4</v>
      </c>
    </row>
    <row r="55" spans="1:24">
      <c r="A55" s="25" t="s">
        <v>1260</v>
      </c>
      <c r="B55" s="25" t="s">
        <v>158</v>
      </c>
      <c r="C55" s="25" t="s">
        <v>159</v>
      </c>
      <c r="D55" s="25" t="s">
        <v>160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27255</f>
        <v>27255</v>
      </c>
      <c r="L55" s="32" t="s">
        <v>1240</v>
      </c>
      <c r="M55" s="31">
        <f>27795</f>
        <v>27795</v>
      </c>
      <c r="N55" s="32" t="s">
        <v>1204</v>
      </c>
      <c r="O55" s="31">
        <f>26905</f>
        <v>26905</v>
      </c>
      <c r="P55" s="32" t="s">
        <v>1208</v>
      </c>
      <c r="Q55" s="31">
        <f>27305</f>
        <v>27305</v>
      </c>
      <c r="R55" s="32" t="s">
        <v>1081</v>
      </c>
      <c r="S55" s="33">
        <f>27286.25</f>
        <v>27286.25</v>
      </c>
      <c r="T55" s="30">
        <f>827</f>
        <v>827</v>
      </c>
      <c r="U55" s="30" t="str">
        <f>"－"</f>
        <v>－</v>
      </c>
      <c r="V55" s="30">
        <f>22587755</f>
        <v>22587755</v>
      </c>
      <c r="W55" s="30" t="str">
        <f>"－"</f>
        <v>－</v>
      </c>
      <c r="X55" s="34">
        <f>8</f>
        <v>8</v>
      </c>
    </row>
    <row r="56" spans="1:24">
      <c r="A56" s="25" t="s">
        <v>1260</v>
      </c>
      <c r="B56" s="25" t="s">
        <v>161</v>
      </c>
      <c r="C56" s="25" t="s">
        <v>162</v>
      </c>
      <c r="D56" s="25" t="s">
        <v>163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2925</f>
        <v>2925</v>
      </c>
      <c r="L56" s="32" t="s">
        <v>1240</v>
      </c>
      <c r="M56" s="31">
        <f>2960</f>
        <v>2960</v>
      </c>
      <c r="N56" s="32" t="s">
        <v>755</v>
      </c>
      <c r="O56" s="31">
        <f>2862</f>
        <v>2862</v>
      </c>
      <c r="P56" s="32" t="s">
        <v>1211</v>
      </c>
      <c r="Q56" s="31">
        <f>2919</f>
        <v>2919</v>
      </c>
      <c r="R56" s="32" t="s">
        <v>755</v>
      </c>
      <c r="S56" s="33">
        <f>2898.53</f>
        <v>2898.53</v>
      </c>
      <c r="T56" s="30">
        <f>207</f>
        <v>207</v>
      </c>
      <c r="U56" s="30" t="str">
        <f>"－"</f>
        <v>－</v>
      </c>
      <c r="V56" s="30">
        <f>604129</f>
        <v>604129</v>
      </c>
      <c r="W56" s="30" t="str">
        <f>"－"</f>
        <v>－</v>
      </c>
      <c r="X56" s="34">
        <f>19</f>
        <v>19</v>
      </c>
    </row>
    <row r="57" spans="1:24">
      <c r="A57" s="25" t="s">
        <v>1260</v>
      </c>
      <c r="B57" s="25" t="s">
        <v>164</v>
      </c>
      <c r="C57" s="25" t="s">
        <v>165</v>
      </c>
      <c r="D57" s="25" t="s">
        <v>166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1638</f>
        <v>1638</v>
      </c>
      <c r="L57" s="32" t="s">
        <v>1240</v>
      </c>
      <c r="M57" s="31">
        <f>1659</f>
        <v>1659</v>
      </c>
      <c r="N57" s="32" t="s">
        <v>1075</v>
      </c>
      <c r="O57" s="31">
        <f>1623</f>
        <v>1623</v>
      </c>
      <c r="P57" s="32" t="s">
        <v>852</v>
      </c>
      <c r="Q57" s="31">
        <f>1655</f>
        <v>1655</v>
      </c>
      <c r="R57" s="32" t="s">
        <v>755</v>
      </c>
      <c r="S57" s="33">
        <f>1640</f>
        <v>1640</v>
      </c>
      <c r="T57" s="30">
        <f>13406868</f>
        <v>13406868</v>
      </c>
      <c r="U57" s="30">
        <f>11605663</f>
        <v>11605663</v>
      </c>
      <c r="V57" s="30">
        <f>22013426715</f>
        <v>22013426715</v>
      </c>
      <c r="W57" s="30">
        <f>19057013041</f>
        <v>19057013041</v>
      </c>
      <c r="X57" s="34">
        <f>21</f>
        <v>21</v>
      </c>
    </row>
    <row r="58" spans="1:24">
      <c r="A58" s="25" t="s">
        <v>1260</v>
      </c>
      <c r="B58" s="25" t="s">
        <v>167</v>
      </c>
      <c r="C58" s="25" t="s">
        <v>168</v>
      </c>
      <c r="D58" s="25" t="s">
        <v>169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2893</f>
        <v>2893</v>
      </c>
      <c r="L58" s="32" t="s">
        <v>1240</v>
      </c>
      <c r="M58" s="31">
        <f>2935</f>
        <v>2935</v>
      </c>
      <c r="N58" s="32" t="s">
        <v>755</v>
      </c>
      <c r="O58" s="31">
        <f>2853</f>
        <v>2853</v>
      </c>
      <c r="P58" s="32" t="s">
        <v>1211</v>
      </c>
      <c r="Q58" s="31">
        <f>2931</f>
        <v>2931</v>
      </c>
      <c r="R58" s="32" t="s">
        <v>755</v>
      </c>
      <c r="S58" s="33">
        <f>2886.15</f>
        <v>2886.15</v>
      </c>
      <c r="T58" s="30">
        <f>254</f>
        <v>254</v>
      </c>
      <c r="U58" s="30" t="str">
        <f>"－"</f>
        <v>－</v>
      </c>
      <c r="V58" s="30">
        <f>733790</f>
        <v>733790</v>
      </c>
      <c r="W58" s="30" t="str">
        <f>"－"</f>
        <v>－</v>
      </c>
      <c r="X58" s="34">
        <f>13</f>
        <v>13</v>
      </c>
    </row>
    <row r="59" spans="1:24">
      <c r="A59" s="25" t="s">
        <v>1260</v>
      </c>
      <c r="B59" s="25" t="s">
        <v>170</v>
      </c>
      <c r="C59" s="25" t="s">
        <v>171</v>
      </c>
      <c r="D59" s="25" t="s">
        <v>172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10</v>
      </c>
      <c r="K59" s="31">
        <f>2903.5</f>
        <v>2903.5</v>
      </c>
      <c r="L59" s="32" t="s">
        <v>1240</v>
      </c>
      <c r="M59" s="31">
        <f>2923.5</f>
        <v>2923.5</v>
      </c>
      <c r="N59" s="32" t="s">
        <v>738</v>
      </c>
      <c r="O59" s="31">
        <f>2837</f>
        <v>2837</v>
      </c>
      <c r="P59" s="32" t="s">
        <v>1211</v>
      </c>
      <c r="Q59" s="31">
        <f>2916.5</f>
        <v>2916.5</v>
      </c>
      <c r="R59" s="32" t="s">
        <v>755</v>
      </c>
      <c r="S59" s="33">
        <f>2870</f>
        <v>2870</v>
      </c>
      <c r="T59" s="30">
        <f>1540</f>
        <v>1540</v>
      </c>
      <c r="U59" s="30" t="str">
        <f>"－"</f>
        <v>－</v>
      </c>
      <c r="V59" s="30">
        <f>4424730</f>
        <v>4424730</v>
      </c>
      <c r="W59" s="30" t="str">
        <f>"－"</f>
        <v>－</v>
      </c>
      <c r="X59" s="34">
        <f>20</f>
        <v>20</v>
      </c>
    </row>
    <row r="60" spans="1:24">
      <c r="A60" s="25" t="s">
        <v>1260</v>
      </c>
      <c r="B60" s="25" t="s">
        <v>173</v>
      </c>
      <c r="C60" s="25" t="s">
        <v>174</v>
      </c>
      <c r="D60" s="25" t="s">
        <v>175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>
        <f>40500</f>
        <v>40500</v>
      </c>
      <c r="L60" s="32" t="s">
        <v>1208</v>
      </c>
      <c r="M60" s="31">
        <f>42210</f>
        <v>42210</v>
      </c>
      <c r="N60" s="32" t="s">
        <v>755</v>
      </c>
      <c r="O60" s="31">
        <f>40100</f>
        <v>40100</v>
      </c>
      <c r="P60" s="32" t="s">
        <v>1209</v>
      </c>
      <c r="Q60" s="31">
        <f>42200</f>
        <v>42200</v>
      </c>
      <c r="R60" s="32" t="s">
        <v>755</v>
      </c>
      <c r="S60" s="33">
        <f>40946.67</f>
        <v>40946.67</v>
      </c>
      <c r="T60" s="30">
        <f>960</f>
        <v>960</v>
      </c>
      <c r="U60" s="30" t="str">
        <f>"－"</f>
        <v>－</v>
      </c>
      <c r="V60" s="30">
        <f>38730780</f>
        <v>38730780</v>
      </c>
      <c r="W60" s="30" t="str">
        <f>"－"</f>
        <v>－</v>
      </c>
      <c r="X60" s="34">
        <f>3</f>
        <v>3</v>
      </c>
    </row>
    <row r="61" spans="1:24">
      <c r="A61" s="25" t="s">
        <v>1260</v>
      </c>
      <c r="B61" s="25" t="s">
        <v>176</v>
      </c>
      <c r="C61" s="25" t="s">
        <v>177</v>
      </c>
      <c r="D61" s="25" t="s">
        <v>178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</v>
      </c>
      <c r="K61" s="31">
        <f>22370</f>
        <v>22370</v>
      </c>
      <c r="L61" s="32" t="s">
        <v>1240</v>
      </c>
      <c r="M61" s="31">
        <f>23000</f>
        <v>23000</v>
      </c>
      <c r="N61" s="32" t="s">
        <v>756</v>
      </c>
      <c r="O61" s="31">
        <f>22125</f>
        <v>22125</v>
      </c>
      <c r="P61" s="32" t="s">
        <v>1204</v>
      </c>
      <c r="Q61" s="31">
        <f>22705</f>
        <v>22705</v>
      </c>
      <c r="R61" s="32" t="s">
        <v>755</v>
      </c>
      <c r="S61" s="33">
        <f>22555.24</f>
        <v>22555.24</v>
      </c>
      <c r="T61" s="30">
        <f>200377</f>
        <v>200377</v>
      </c>
      <c r="U61" s="30">
        <f>189000</f>
        <v>189000</v>
      </c>
      <c r="V61" s="30">
        <f>4534576404</f>
        <v>4534576404</v>
      </c>
      <c r="W61" s="30">
        <f>4278225754</f>
        <v>4278225754</v>
      </c>
      <c r="X61" s="34">
        <f>21</f>
        <v>21</v>
      </c>
    </row>
    <row r="62" spans="1:24">
      <c r="A62" s="25" t="s">
        <v>1260</v>
      </c>
      <c r="B62" s="25" t="s">
        <v>179</v>
      </c>
      <c r="C62" s="25" t="s">
        <v>180</v>
      </c>
      <c r="D62" s="25" t="s">
        <v>181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12705</f>
        <v>12705</v>
      </c>
      <c r="L62" s="32" t="s">
        <v>1240</v>
      </c>
      <c r="M62" s="31">
        <f>12880</f>
        <v>12880</v>
      </c>
      <c r="N62" s="32" t="s">
        <v>755</v>
      </c>
      <c r="O62" s="31">
        <f>12610</f>
        <v>12610</v>
      </c>
      <c r="P62" s="32" t="s">
        <v>852</v>
      </c>
      <c r="Q62" s="31">
        <f>12845</f>
        <v>12845</v>
      </c>
      <c r="R62" s="32" t="s">
        <v>755</v>
      </c>
      <c r="S62" s="33">
        <f>12729.52</f>
        <v>12729.52</v>
      </c>
      <c r="T62" s="30">
        <f>1118349</f>
        <v>1118349</v>
      </c>
      <c r="U62" s="30">
        <f>1105002</f>
        <v>1105002</v>
      </c>
      <c r="V62" s="30">
        <f>14286286463</f>
        <v>14286286463</v>
      </c>
      <c r="W62" s="30">
        <f>14116662683</f>
        <v>14116662683</v>
      </c>
      <c r="X62" s="34">
        <f>21</f>
        <v>21</v>
      </c>
    </row>
    <row r="63" spans="1:24">
      <c r="A63" s="25" t="s">
        <v>1260</v>
      </c>
      <c r="B63" s="25" t="s">
        <v>182</v>
      </c>
      <c r="C63" s="25" t="s">
        <v>892</v>
      </c>
      <c r="D63" s="25" t="s">
        <v>893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1806</f>
        <v>1806</v>
      </c>
      <c r="L63" s="32" t="s">
        <v>1240</v>
      </c>
      <c r="M63" s="31">
        <f>1857</f>
        <v>1857</v>
      </c>
      <c r="N63" s="32" t="s">
        <v>1075</v>
      </c>
      <c r="O63" s="31">
        <f>1786</f>
        <v>1786</v>
      </c>
      <c r="P63" s="32" t="s">
        <v>1204</v>
      </c>
      <c r="Q63" s="31">
        <f>1836</f>
        <v>1836</v>
      </c>
      <c r="R63" s="32" t="s">
        <v>755</v>
      </c>
      <c r="S63" s="33">
        <f>1826.71</f>
        <v>1826.71</v>
      </c>
      <c r="T63" s="30">
        <f>3403092</f>
        <v>3403092</v>
      </c>
      <c r="U63" s="30">
        <f>1116883</f>
        <v>1116883</v>
      </c>
      <c r="V63" s="30">
        <f>6213873307</f>
        <v>6213873307</v>
      </c>
      <c r="W63" s="30">
        <f>2031520379</f>
        <v>2031520379</v>
      </c>
      <c r="X63" s="34">
        <f>21</f>
        <v>21</v>
      </c>
    </row>
    <row r="64" spans="1:24">
      <c r="A64" s="25" t="s">
        <v>1260</v>
      </c>
      <c r="B64" s="25" t="s">
        <v>183</v>
      </c>
      <c r="C64" s="25" t="s">
        <v>184</v>
      </c>
      <c r="D64" s="25" t="s">
        <v>185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2287</f>
        <v>2287</v>
      </c>
      <c r="L64" s="32" t="s">
        <v>1240</v>
      </c>
      <c r="M64" s="31">
        <f>2287</f>
        <v>2287</v>
      </c>
      <c r="N64" s="32" t="s">
        <v>1240</v>
      </c>
      <c r="O64" s="31">
        <f>2204</f>
        <v>2204</v>
      </c>
      <c r="P64" s="32" t="s">
        <v>756</v>
      </c>
      <c r="Q64" s="31">
        <f>2258</f>
        <v>2258</v>
      </c>
      <c r="R64" s="32" t="s">
        <v>755</v>
      </c>
      <c r="S64" s="33">
        <f>2245.81</f>
        <v>2245.81</v>
      </c>
      <c r="T64" s="30">
        <f>8921141</f>
        <v>8921141</v>
      </c>
      <c r="U64" s="30">
        <f>1048502</f>
        <v>1048502</v>
      </c>
      <c r="V64" s="30">
        <f>20016756457</f>
        <v>20016756457</v>
      </c>
      <c r="W64" s="30">
        <f>2338326712</f>
        <v>2338326712</v>
      </c>
      <c r="X64" s="34">
        <f>21</f>
        <v>21</v>
      </c>
    </row>
    <row r="65" spans="1:24">
      <c r="A65" s="25" t="s">
        <v>1260</v>
      </c>
      <c r="B65" s="25" t="s">
        <v>186</v>
      </c>
      <c r="C65" s="25" t="s">
        <v>187</v>
      </c>
      <c r="D65" s="25" t="s">
        <v>188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</v>
      </c>
      <c r="K65" s="31">
        <f>7304</f>
        <v>7304</v>
      </c>
      <c r="L65" s="32" t="s">
        <v>1240</v>
      </c>
      <c r="M65" s="31">
        <f>7500</f>
        <v>7500</v>
      </c>
      <c r="N65" s="32" t="s">
        <v>1209</v>
      </c>
      <c r="O65" s="31">
        <f>7300</f>
        <v>7300</v>
      </c>
      <c r="P65" s="32" t="s">
        <v>1240</v>
      </c>
      <c r="Q65" s="31">
        <f>7350</f>
        <v>7350</v>
      </c>
      <c r="R65" s="32" t="s">
        <v>1075</v>
      </c>
      <c r="S65" s="33">
        <f>7386.33</f>
        <v>7386.33</v>
      </c>
      <c r="T65" s="30">
        <f>26241</f>
        <v>26241</v>
      </c>
      <c r="U65" s="30">
        <f>26048</f>
        <v>26048</v>
      </c>
      <c r="V65" s="30">
        <f>193036490</f>
        <v>193036490</v>
      </c>
      <c r="W65" s="30">
        <f>191616618</f>
        <v>191616618</v>
      </c>
      <c r="X65" s="34">
        <f>9</f>
        <v>9</v>
      </c>
    </row>
    <row r="66" spans="1:24">
      <c r="A66" s="25" t="s">
        <v>1260</v>
      </c>
      <c r="B66" s="25" t="s">
        <v>189</v>
      </c>
      <c r="C66" s="25" t="s">
        <v>190</v>
      </c>
      <c r="D66" s="25" t="s">
        <v>191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20035</f>
        <v>20035</v>
      </c>
      <c r="L66" s="32" t="s">
        <v>1240</v>
      </c>
      <c r="M66" s="31">
        <f>20670</f>
        <v>20670</v>
      </c>
      <c r="N66" s="32" t="s">
        <v>755</v>
      </c>
      <c r="O66" s="31">
        <f>19870</f>
        <v>19870</v>
      </c>
      <c r="P66" s="32" t="s">
        <v>1204</v>
      </c>
      <c r="Q66" s="31">
        <f>20610</f>
        <v>20610</v>
      </c>
      <c r="R66" s="32" t="s">
        <v>755</v>
      </c>
      <c r="S66" s="33">
        <f>20169.52</f>
        <v>20169.52</v>
      </c>
      <c r="T66" s="30">
        <f>9469</f>
        <v>9469</v>
      </c>
      <c r="U66" s="30">
        <f>2</f>
        <v>2</v>
      </c>
      <c r="V66" s="30">
        <f>190555340</f>
        <v>190555340</v>
      </c>
      <c r="W66" s="30">
        <f>40680</f>
        <v>40680</v>
      </c>
      <c r="X66" s="34">
        <f>21</f>
        <v>21</v>
      </c>
    </row>
    <row r="67" spans="1:24">
      <c r="A67" s="25" t="s">
        <v>1260</v>
      </c>
      <c r="B67" s="25" t="s">
        <v>192</v>
      </c>
      <c r="C67" s="25" t="s">
        <v>193</v>
      </c>
      <c r="D67" s="25" t="s">
        <v>194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31560</f>
        <v>31560</v>
      </c>
      <c r="L67" s="32" t="s">
        <v>1240</v>
      </c>
      <c r="M67" s="31">
        <f>32380</f>
        <v>32380</v>
      </c>
      <c r="N67" s="32" t="s">
        <v>755</v>
      </c>
      <c r="O67" s="31">
        <f>31460</f>
        <v>31460</v>
      </c>
      <c r="P67" s="32" t="s">
        <v>1204</v>
      </c>
      <c r="Q67" s="31">
        <f>32270</f>
        <v>32270</v>
      </c>
      <c r="R67" s="32" t="s">
        <v>755</v>
      </c>
      <c r="S67" s="33">
        <f>31871.9</f>
        <v>31871.9</v>
      </c>
      <c r="T67" s="30">
        <f>34027</f>
        <v>34027</v>
      </c>
      <c r="U67" s="30">
        <f>21887</f>
        <v>21887</v>
      </c>
      <c r="V67" s="30">
        <f>1090176283</f>
        <v>1090176283</v>
      </c>
      <c r="W67" s="30">
        <f>703964993</f>
        <v>703964993</v>
      </c>
      <c r="X67" s="34">
        <f>21</f>
        <v>21</v>
      </c>
    </row>
    <row r="68" spans="1:24">
      <c r="A68" s="25" t="s">
        <v>1260</v>
      </c>
      <c r="B68" s="25" t="s">
        <v>195</v>
      </c>
      <c r="C68" s="25" t="s">
        <v>196</v>
      </c>
      <c r="D68" s="25" t="s">
        <v>197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</v>
      </c>
      <c r="K68" s="31">
        <f>9926</f>
        <v>9926</v>
      </c>
      <c r="L68" s="32" t="s">
        <v>1240</v>
      </c>
      <c r="M68" s="31">
        <f>10380</f>
        <v>10380</v>
      </c>
      <c r="N68" s="32" t="s">
        <v>755</v>
      </c>
      <c r="O68" s="31">
        <f>9800</f>
        <v>9800</v>
      </c>
      <c r="P68" s="32" t="s">
        <v>1240</v>
      </c>
      <c r="Q68" s="31">
        <f>10330</f>
        <v>10330</v>
      </c>
      <c r="R68" s="32" t="s">
        <v>755</v>
      </c>
      <c r="S68" s="33">
        <f>10070.29</f>
        <v>10070.290000000001</v>
      </c>
      <c r="T68" s="30">
        <f>7778</f>
        <v>7778</v>
      </c>
      <c r="U68" s="30" t="str">
        <f>"－"</f>
        <v>－</v>
      </c>
      <c r="V68" s="30">
        <f>78571654</f>
        <v>78571654</v>
      </c>
      <c r="W68" s="30" t="str">
        <f>"－"</f>
        <v>－</v>
      </c>
      <c r="X68" s="34">
        <f>21</f>
        <v>21</v>
      </c>
    </row>
    <row r="69" spans="1:24">
      <c r="A69" s="25" t="s">
        <v>1260</v>
      </c>
      <c r="B69" s="25" t="s">
        <v>198</v>
      </c>
      <c r="C69" s="25" t="s">
        <v>199</v>
      </c>
      <c r="D69" s="25" t="s">
        <v>200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1730</f>
        <v>1730</v>
      </c>
      <c r="L69" s="32" t="s">
        <v>1240</v>
      </c>
      <c r="M69" s="31">
        <f>1757</f>
        <v>1757</v>
      </c>
      <c r="N69" s="32" t="s">
        <v>1075</v>
      </c>
      <c r="O69" s="31">
        <f>1721</f>
        <v>1721</v>
      </c>
      <c r="P69" s="32" t="s">
        <v>1204</v>
      </c>
      <c r="Q69" s="31">
        <f>1755</f>
        <v>1755</v>
      </c>
      <c r="R69" s="32" t="s">
        <v>755</v>
      </c>
      <c r="S69" s="33">
        <f>1736.62</f>
        <v>1736.62</v>
      </c>
      <c r="T69" s="30">
        <f>2359536</f>
        <v>2359536</v>
      </c>
      <c r="U69" s="30">
        <f>2243800</f>
        <v>2243800</v>
      </c>
      <c r="V69" s="30">
        <f>4115073880</f>
        <v>4115073880</v>
      </c>
      <c r="W69" s="30">
        <f>3914062767</f>
        <v>3914062767</v>
      </c>
      <c r="X69" s="34">
        <f>21</f>
        <v>21</v>
      </c>
    </row>
    <row r="70" spans="1:24">
      <c r="A70" s="25" t="s">
        <v>1260</v>
      </c>
      <c r="B70" s="25" t="s">
        <v>201</v>
      </c>
      <c r="C70" s="25" t="s">
        <v>202</v>
      </c>
      <c r="D70" s="25" t="s">
        <v>203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1817</f>
        <v>1817</v>
      </c>
      <c r="L70" s="32" t="s">
        <v>1240</v>
      </c>
      <c r="M70" s="31">
        <f>1895</f>
        <v>1895</v>
      </c>
      <c r="N70" s="32" t="s">
        <v>1204</v>
      </c>
      <c r="O70" s="31">
        <f>1811</f>
        <v>1811</v>
      </c>
      <c r="P70" s="32" t="s">
        <v>1204</v>
      </c>
      <c r="Q70" s="31">
        <f>1838</f>
        <v>1838</v>
      </c>
      <c r="R70" s="32" t="s">
        <v>755</v>
      </c>
      <c r="S70" s="33">
        <f>1824.1</f>
        <v>1824.1</v>
      </c>
      <c r="T70" s="30">
        <f>381499</f>
        <v>381499</v>
      </c>
      <c r="U70" s="30">
        <f>4647</f>
        <v>4647</v>
      </c>
      <c r="V70" s="30">
        <f>702577890</f>
        <v>702577890</v>
      </c>
      <c r="W70" s="30">
        <f>8544135</f>
        <v>8544135</v>
      </c>
      <c r="X70" s="34">
        <f>21</f>
        <v>21</v>
      </c>
    </row>
    <row r="71" spans="1:24">
      <c r="A71" s="25" t="s">
        <v>1260</v>
      </c>
      <c r="B71" s="25" t="s">
        <v>204</v>
      </c>
      <c r="C71" s="25" t="s">
        <v>205</v>
      </c>
      <c r="D71" s="25" t="s">
        <v>206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22245</f>
        <v>22245</v>
      </c>
      <c r="L71" s="32" t="s">
        <v>1240</v>
      </c>
      <c r="M71" s="31">
        <f>22795</f>
        <v>22795</v>
      </c>
      <c r="N71" s="32" t="s">
        <v>755</v>
      </c>
      <c r="O71" s="31">
        <f>21815</f>
        <v>21815</v>
      </c>
      <c r="P71" s="32" t="s">
        <v>756</v>
      </c>
      <c r="Q71" s="31">
        <f>22620</f>
        <v>22620</v>
      </c>
      <c r="R71" s="32" t="s">
        <v>755</v>
      </c>
      <c r="S71" s="33">
        <f>22148.57</f>
        <v>22148.57</v>
      </c>
      <c r="T71" s="30">
        <f>1683</f>
        <v>1683</v>
      </c>
      <c r="U71" s="30">
        <f>1</f>
        <v>1</v>
      </c>
      <c r="V71" s="30">
        <f>37356605</f>
        <v>37356605</v>
      </c>
      <c r="W71" s="30">
        <f>22210</f>
        <v>22210</v>
      </c>
      <c r="X71" s="34">
        <f>21</f>
        <v>21</v>
      </c>
    </row>
    <row r="72" spans="1:24">
      <c r="A72" s="25" t="s">
        <v>1260</v>
      </c>
      <c r="B72" s="25" t="s">
        <v>207</v>
      </c>
      <c r="C72" s="25" t="s">
        <v>208</v>
      </c>
      <c r="D72" s="25" t="s">
        <v>209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9192</f>
        <v>9192</v>
      </c>
      <c r="L72" s="32" t="s">
        <v>1240</v>
      </c>
      <c r="M72" s="31">
        <f>9238</f>
        <v>9238</v>
      </c>
      <c r="N72" s="32" t="s">
        <v>1208</v>
      </c>
      <c r="O72" s="31">
        <f>8948</f>
        <v>8948</v>
      </c>
      <c r="P72" s="32" t="s">
        <v>755</v>
      </c>
      <c r="Q72" s="31">
        <f>8981</f>
        <v>8981</v>
      </c>
      <c r="R72" s="32" t="s">
        <v>755</v>
      </c>
      <c r="S72" s="33">
        <f>9105.48</f>
        <v>9105.48</v>
      </c>
      <c r="T72" s="30">
        <f>3724</f>
        <v>3724</v>
      </c>
      <c r="U72" s="30">
        <f>21</f>
        <v>21</v>
      </c>
      <c r="V72" s="30">
        <f>33828598</f>
        <v>33828598</v>
      </c>
      <c r="W72" s="30">
        <f>189505</f>
        <v>189505</v>
      </c>
      <c r="X72" s="34">
        <f>21</f>
        <v>21</v>
      </c>
    </row>
    <row r="73" spans="1:24">
      <c r="A73" s="25" t="s">
        <v>1260</v>
      </c>
      <c r="B73" s="25" t="s">
        <v>210</v>
      </c>
      <c r="C73" s="25" t="s">
        <v>211</v>
      </c>
      <c r="D73" s="25" t="s">
        <v>212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14390</f>
        <v>14390</v>
      </c>
      <c r="L73" s="32" t="s">
        <v>1240</v>
      </c>
      <c r="M73" s="31">
        <f>15095</f>
        <v>15095</v>
      </c>
      <c r="N73" s="32" t="s">
        <v>739</v>
      </c>
      <c r="O73" s="31">
        <f>14255</f>
        <v>14255</v>
      </c>
      <c r="P73" s="32" t="s">
        <v>755</v>
      </c>
      <c r="Q73" s="31">
        <f>14335</f>
        <v>14335</v>
      </c>
      <c r="R73" s="32" t="s">
        <v>755</v>
      </c>
      <c r="S73" s="33">
        <f>14654.05</f>
        <v>14654.05</v>
      </c>
      <c r="T73" s="30">
        <f>8548120</f>
        <v>8548120</v>
      </c>
      <c r="U73" s="30">
        <f>1213518</f>
        <v>1213518</v>
      </c>
      <c r="V73" s="30">
        <f>125557739775</f>
        <v>125557739775</v>
      </c>
      <c r="W73" s="30">
        <f>17900835685</f>
        <v>17900835685</v>
      </c>
      <c r="X73" s="34">
        <f>21</f>
        <v>21</v>
      </c>
    </row>
    <row r="74" spans="1:24">
      <c r="A74" s="25" t="s">
        <v>1260</v>
      </c>
      <c r="B74" s="25" t="s">
        <v>213</v>
      </c>
      <c r="C74" s="25" t="s">
        <v>214</v>
      </c>
      <c r="D74" s="25" t="s">
        <v>215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4473</f>
        <v>4473</v>
      </c>
      <c r="L74" s="32" t="s">
        <v>1240</v>
      </c>
      <c r="M74" s="31">
        <f>6170</f>
        <v>6170</v>
      </c>
      <c r="N74" s="32" t="s">
        <v>1075</v>
      </c>
      <c r="O74" s="31">
        <f>4380</f>
        <v>4380</v>
      </c>
      <c r="P74" s="32" t="s">
        <v>1240</v>
      </c>
      <c r="Q74" s="31">
        <f>5880</f>
        <v>5880</v>
      </c>
      <c r="R74" s="32" t="s">
        <v>755</v>
      </c>
      <c r="S74" s="33">
        <f>5306.57</f>
        <v>5306.57</v>
      </c>
      <c r="T74" s="30">
        <f>2007420</f>
        <v>2007420</v>
      </c>
      <c r="U74" s="30">
        <f>12630</f>
        <v>12630</v>
      </c>
      <c r="V74" s="30">
        <f>11023637583</f>
        <v>11023637583</v>
      </c>
      <c r="W74" s="30">
        <f>68410970</f>
        <v>68410970</v>
      </c>
      <c r="X74" s="34">
        <f>21</f>
        <v>21</v>
      </c>
    </row>
    <row r="75" spans="1:24">
      <c r="A75" s="25" t="s">
        <v>1260</v>
      </c>
      <c r="B75" s="25" t="s">
        <v>216</v>
      </c>
      <c r="C75" s="25" t="s">
        <v>217</v>
      </c>
      <c r="D75" s="25" t="s">
        <v>218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14145</f>
        <v>14145</v>
      </c>
      <c r="L75" s="32" t="s">
        <v>1240</v>
      </c>
      <c r="M75" s="31">
        <f>16100</f>
        <v>16100</v>
      </c>
      <c r="N75" s="32" t="s">
        <v>1205</v>
      </c>
      <c r="O75" s="31">
        <f>14005</f>
        <v>14005</v>
      </c>
      <c r="P75" s="32" t="s">
        <v>1240</v>
      </c>
      <c r="Q75" s="31">
        <f>15400</f>
        <v>15400</v>
      </c>
      <c r="R75" s="32" t="s">
        <v>755</v>
      </c>
      <c r="S75" s="33">
        <f>15339.05</f>
        <v>15339.05</v>
      </c>
      <c r="T75" s="30">
        <f>938886</f>
        <v>938886</v>
      </c>
      <c r="U75" s="30">
        <f>26533</f>
        <v>26533</v>
      </c>
      <c r="V75" s="30">
        <f>14451607656</f>
        <v>14451607656</v>
      </c>
      <c r="W75" s="30">
        <f>410418911</f>
        <v>410418911</v>
      </c>
      <c r="X75" s="34">
        <f>21</f>
        <v>21</v>
      </c>
    </row>
    <row r="76" spans="1:24">
      <c r="A76" s="25" t="s">
        <v>1260</v>
      </c>
      <c r="B76" s="25" t="s">
        <v>219</v>
      </c>
      <c r="C76" s="25" t="s">
        <v>220</v>
      </c>
      <c r="D76" s="25" t="s">
        <v>221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40050</f>
        <v>40050</v>
      </c>
      <c r="L76" s="32" t="s">
        <v>1240</v>
      </c>
      <c r="M76" s="31">
        <f>49480</f>
        <v>49480</v>
      </c>
      <c r="N76" s="32" t="s">
        <v>1075</v>
      </c>
      <c r="O76" s="31">
        <f>40000</f>
        <v>40000</v>
      </c>
      <c r="P76" s="32" t="s">
        <v>1240</v>
      </c>
      <c r="Q76" s="31">
        <f>47350</f>
        <v>47350</v>
      </c>
      <c r="R76" s="32" t="s">
        <v>755</v>
      </c>
      <c r="S76" s="33">
        <f>44065.71</f>
        <v>44065.71</v>
      </c>
      <c r="T76" s="30">
        <f>27572</f>
        <v>27572</v>
      </c>
      <c r="U76" s="30">
        <f>235</f>
        <v>235</v>
      </c>
      <c r="V76" s="30">
        <f>1242046245</f>
        <v>1242046245</v>
      </c>
      <c r="W76" s="30">
        <f>10511705</f>
        <v>10511705</v>
      </c>
      <c r="X76" s="34">
        <f>21</f>
        <v>21</v>
      </c>
    </row>
    <row r="77" spans="1:24">
      <c r="A77" s="25" t="s">
        <v>1260</v>
      </c>
      <c r="B77" s="25" t="s">
        <v>222</v>
      </c>
      <c r="C77" s="25" t="s">
        <v>757</v>
      </c>
      <c r="D77" s="25" t="s">
        <v>758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30970</f>
        <v>30970</v>
      </c>
      <c r="L77" s="32" t="s">
        <v>1240</v>
      </c>
      <c r="M77" s="31">
        <f>33150</f>
        <v>33150</v>
      </c>
      <c r="N77" s="32" t="s">
        <v>755</v>
      </c>
      <c r="O77" s="31">
        <f>30700</f>
        <v>30700</v>
      </c>
      <c r="P77" s="32" t="s">
        <v>1240</v>
      </c>
      <c r="Q77" s="31">
        <f>33050</f>
        <v>33050</v>
      </c>
      <c r="R77" s="32" t="s">
        <v>755</v>
      </c>
      <c r="S77" s="33">
        <f>31935.24</f>
        <v>31935.24</v>
      </c>
      <c r="T77" s="30">
        <f>644086</f>
        <v>644086</v>
      </c>
      <c r="U77" s="30">
        <f>10118</f>
        <v>10118</v>
      </c>
      <c r="V77" s="30">
        <f>20555901572</f>
        <v>20555901572</v>
      </c>
      <c r="W77" s="30">
        <f>321690882</f>
        <v>321690882</v>
      </c>
      <c r="X77" s="34">
        <f>21</f>
        <v>21</v>
      </c>
    </row>
    <row r="78" spans="1:24">
      <c r="A78" s="25" t="s">
        <v>1260</v>
      </c>
      <c r="B78" s="25" t="s">
        <v>223</v>
      </c>
      <c r="C78" s="25" t="s">
        <v>759</v>
      </c>
      <c r="D78" s="25" t="s">
        <v>760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59370</f>
        <v>59370</v>
      </c>
      <c r="L78" s="32" t="s">
        <v>1240</v>
      </c>
      <c r="M78" s="31">
        <f>62490</f>
        <v>62490</v>
      </c>
      <c r="N78" s="32" t="s">
        <v>755</v>
      </c>
      <c r="O78" s="31">
        <f>58950</f>
        <v>58950</v>
      </c>
      <c r="P78" s="32" t="s">
        <v>1204</v>
      </c>
      <c r="Q78" s="31">
        <f>62260</f>
        <v>62260</v>
      </c>
      <c r="R78" s="32" t="s">
        <v>755</v>
      </c>
      <c r="S78" s="33">
        <f>60334.76</f>
        <v>60334.76</v>
      </c>
      <c r="T78" s="30">
        <f>54342</f>
        <v>54342</v>
      </c>
      <c r="U78" s="30">
        <f>16809</f>
        <v>16809</v>
      </c>
      <c r="V78" s="30">
        <f>3300902700</f>
        <v>3300902700</v>
      </c>
      <c r="W78" s="30">
        <f>1025677500</f>
        <v>1025677500</v>
      </c>
      <c r="X78" s="34">
        <f>21</f>
        <v>21</v>
      </c>
    </row>
    <row r="79" spans="1:24">
      <c r="A79" s="25" t="s">
        <v>1260</v>
      </c>
      <c r="B79" s="25" t="s">
        <v>224</v>
      </c>
      <c r="C79" s="25" t="s">
        <v>225</v>
      </c>
      <c r="D79" s="25" t="s">
        <v>226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</v>
      </c>
      <c r="K79" s="31">
        <f>9206</f>
        <v>9206</v>
      </c>
      <c r="L79" s="32" t="s">
        <v>1240</v>
      </c>
      <c r="M79" s="31">
        <f>9742</f>
        <v>9742</v>
      </c>
      <c r="N79" s="32" t="s">
        <v>755</v>
      </c>
      <c r="O79" s="31">
        <f>9140</f>
        <v>9140</v>
      </c>
      <c r="P79" s="32" t="s">
        <v>1240</v>
      </c>
      <c r="Q79" s="31">
        <f>9717</f>
        <v>9717</v>
      </c>
      <c r="R79" s="32" t="s">
        <v>755</v>
      </c>
      <c r="S79" s="33">
        <f>9441.14</f>
        <v>9441.14</v>
      </c>
      <c r="T79" s="30">
        <f>929739</f>
        <v>929739</v>
      </c>
      <c r="U79" s="30">
        <f>297637</f>
        <v>297637</v>
      </c>
      <c r="V79" s="30">
        <f>8731871767</f>
        <v>8731871767</v>
      </c>
      <c r="W79" s="30">
        <f>2766721859</f>
        <v>2766721859</v>
      </c>
      <c r="X79" s="34">
        <f>21</f>
        <v>21</v>
      </c>
    </row>
    <row r="80" spans="1:24">
      <c r="A80" s="25" t="s">
        <v>1260</v>
      </c>
      <c r="B80" s="25" t="s">
        <v>227</v>
      </c>
      <c r="C80" s="25" t="s">
        <v>228</v>
      </c>
      <c r="D80" s="25" t="s">
        <v>229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10</v>
      </c>
      <c r="K80" s="31">
        <f>5800</f>
        <v>5800</v>
      </c>
      <c r="L80" s="32" t="s">
        <v>1240</v>
      </c>
      <c r="M80" s="31">
        <f>6035</f>
        <v>6035</v>
      </c>
      <c r="N80" s="32" t="s">
        <v>755</v>
      </c>
      <c r="O80" s="31">
        <f>5747</f>
        <v>5747</v>
      </c>
      <c r="P80" s="32" t="s">
        <v>1240</v>
      </c>
      <c r="Q80" s="31">
        <f>6012</f>
        <v>6012</v>
      </c>
      <c r="R80" s="32" t="s">
        <v>755</v>
      </c>
      <c r="S80" s="33">
        <f>5880.29</f>
        <v>5880.29</v>
      </c>
      <c r="T80" s="30">
        <f>127380</f>
        <v>127380</v>
      </c>
      <c r="U80" s="30">
        <f>7500</f>
        <v>7500</v>
      </c>
      <c r="V80" s="30">
        <f>749296099</f>
        <v>749296099</v>
      </c>
      <c r="W80" s="30">
        <f>43491719</f>
        <v>43491719</v>
      </c>
      <c r="X80" s="34">
        <f>21</f>
        <v>21</v>
      </c>
    </row>
    <row r="81" spans="1:24">
      <c r="A81" s="25" t="s">
        <v>1260</v>
      </c>
      <c r="B81" s="25" t="s">
        <v>230</v>
      </c>
      <c r="C81" s="25" t="s">
        <v>830</v>
      </c>
      <c r="D81" s="25" t="s">
        <v>831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10</v>
      </c>
      <c r="K81" s="31">
        <f>5830</f>
        <v>5830</v>
      </c>
      <c r="L81" s="32" t="s">
        <v>1240</v>
      </c>
      <c r="M81" s="31">
        <f>6000</f>
        <v>6000</v>
      </c>
      <c r="N81" s="32" t="s">
        <v>1212</v>
      </c>
      <c r="O81" s="31">
        <f>5540</f>
        <v>5540</v>
      </c>
      <c r="P81" s="32" t="s">
        <v>1075</v>
      </c>
      <c r="Q81" s="31">
        <f>5805</f>
        <v>5805</v>
      </c>
      <c r="R81" s="32" t="s">
        <v>755</v>
      </c>
      <c r="S81" s="33">
        <f>5889.24</f>
        <v>5889.24</v>
      </c>
      <c r="T81" s="30">
        <f>18980</f>
        <v>18980</v>
      </c>
      <c r="U81" s="30">
        <f>380</f>
        <v>380</v>
      </c>
      <c r="V81" s="30">
        <f>111683720</f>
        <v>111683720</v>
      </c>
      <c r="W81" s="30">
        <f>2244000</f>
        <v>2244000</v>
      </c>
      <c r="X81" s="34">
        <f>21</f>
        <v>21</v>
      </c>
    </row>
    <row r="82" spans="1:24">
      <c r="A82" s="25" t="s">
        <v>1260</v>
      </c>
      <c r="B82" s="25" t="s">
        <v>231</v>
      </c>
      <c r="C82" s="25" t="s">
        <v>232</v>
      </c>
      <c r="D82" s="25" t="s">
        <v>233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</v>
      </c>
      <c r="K82" s="31">
        <f>4735</f>
        <v>4735</v>
      </c>
      <c r="L82" s="32" t="s">
        <v>1240</v>
      </c>
      <c r="M82" s="31">
        <f>4983</f>
        <v>4983</v>
      </c>
      <c r="N82" s="32" t="s">
        <v>755</v>
      </c>
      <c r="O82" s="31">
        <f>4705</f>
        <v>4705</v>
      </c>
      <c r="P82" s="32" t="s">
        <v>1240</v>
      </c>
      <c r="Q82" s="31">
        <f>4961</f>
        <v>4961</v>
      </c>
      <c r="R82" s="32" t="s">
        <v>755</v>
      </c>
      <c r="S82" s="33">
        <f>4852.24</f>
        <v>4852.24</v>
      </c>
      <c r="T82" s="30">
        <f>58516</f>
        <v>58516</v>
      </c>
      <c r="U82" s="30" t="str">
        <f>"－"</f>
        <v>－</v>
      </c>
      <c r="V82" s="30">
        <f>285016758</f>
        <v>285016758</v>
      </c>
      <c r="W82" s="30" t="str">
        <f>"－"</f>
        <v>－</v>
      </c>
      <c r="X82" s="34">
        <f>21</f>
        <v>21</v>
      </c>
    </row>
    <row r="83" spans="1:24">
      <c r="A83" s="25" t="s">
        <v>1260</v>
      </c>
      <c r="B83" s="25" t="s">
        <v>234</v>
      </c>
      <c r="C83" s="25" t="s">
        <v>943</v>
      </c>
      <c r="D83" s="25" t="s">
        <v>235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</v>
      </c>
      <c r="K83" s="31">
        <f>2164</f>
        <v>2164</v>
      </c>
      <c r="L83" s="32" t="s">
        <v>1240</v>
      </c>
      <c r="M83" s="31">
        <f>2304</f>
        <v>2304</v>
      </c>
      <c r="N83" s="32" t="s">
        <v>1220</v>
      </c>
      <c r="O83" s="31">
        <f>2164</f>
        <v>2164</v>
      </c>
      <c r="P83" s="32" t="s">
        <v>1240</v>
      </c>
      <c r="Q83" s="31">
        <f>2258</f>
        <v>2258</v>
      </c>
      <c r="R83" s="32" t="s">
        <v>755</v>
      </c>
      <c r="S83" s="33">
        <f>2251.76</f>
        <v>2251.7600000000002</v>
      </c>
      <c r="T83" s="30">
        <f>36133</f>
        <v>36133</v>
      </c>
      <c r="U83" s="30" t="str">
        <f>"－"</f>
        <v>－</v>
      </c>
      <c r="V83" s="30">
        <f>81507425</f>
        <v>81507425</v>
      </c>
      <c r="W83" s="30" t="str">
        <f>"－"</f>
        <v>－</v>
      </c>
      <c r="X83" s="34">
        <f>21</f>
        <v>21</v>
      </c>
    </row>
    <row r="84" spans="1:24">
      <c r="A84" s="25" t="s">
        <v>1260</v>
      </c>
      <c r="B84" s="25" t="s">
        <v>236</v>
      </c>
      <c r="C84" s="25" t="s">
        <v>237</v>
      </c>
      <c r="D84" s="25" t="s">
        <v>238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84610</f>
        <v>84610</v>
      </c>
      <c r="L84" s="32" t="s">
        <v>1240</v>
      </c>
      <c r="M84" s="31">
        <f>89230</f>
        <v>89230</v>
      </c>
      <c r="N84" s="32" t="s">
        <v>755</v>
      </c>
      <c r="O84" s="31">
        <f>83950</f>
        <v>83950</v>
      </c>
      <c r="P84" s="32" t="s">
        <v>1240</v>
      </c>
      <c r="Q84" s="31">
        <f>88900</f>
        <v>88900</v>
      </c>
      <c r="R84" s="32" t="s">
        <v>755</v>
      </c>
      <c r="S84" s="33">
        <f>86618.57</f>
        <v>86618.57</v>
      </c>
      <c r="T84" s="30">
        <f>66948</f>
        <v>66948</v>
      </c>
      <c r="U84" s="30">
        <f>696</f>
        <v>696</v>
      </c>
      <c r="V84" s="30">
        <f>5803253416</f>
        <v>5803253416</v>
      </c>
      <c r="W84" s="30">
        <f>59952486</f>
        <v>59952486</v>
      </c>
      <c r="X84" s="34">
        <f>21</f>
        <v>21</v>
      </c>
    </row>
    <row r="85" spans="1:24">
      <c r="A85" s="25" t="s">
        <v>1260</v>
      </c>
      <c r="B85" s="25" t="s">
        <v>239</v>
      </c>
      <c r="C85" s="25" t="s">
        <v>240</v>
      </c>
      <c r="D85" s="25" t="s">
        <v>241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3185</f>
        <v>3185</v>
      </c>
      <c r="L85" s="32" t="s">
        <v>1240</v>
      </c>
      <c r="M85" s="31">
        <f>3190</f>
        <v>3190</v>
      </c>
      <c r="N85" s="32" t="s">
        <v>739</v>
      </c>
      <c r="O85" s="31">
        <f>3000</f>
        <v>3000</v>
      </c>
      <c r="P85" s="32" t="s">
        <v>739</v>
      </c>
      <c r="Q85" s="31">
        <f>3137</f>
        <v>3137</v>
      </c>
      <c r="R85" s="32" t="s">
        <v>755</v>
      </c>
      <c r="S85" s="33">
        <f>3085.24</f>
        <v>3085.24</v>
      </c>
      <c r="T85" s="30">
        <f>17150</f>
        <v>17150</v>
      </c>
      <c r="U85" s="30" t="str">
        <f>"－"</f>
        <v>－</v>
      </c>
      <c r="V85" s="30">
        <f>52166834</f>
        <v>52166834</v>
      </c>
      <c r="W85" s="30" t="str">
        <f>"－"</f>
        <v>－</v>
      </c>
      <c r="X85" s="34">
        <f>21</f>
        <v>21</v>
      </c>
    </row>
    <row r="86" spans="1:24">
      <c r="A86" s="25" t="s">
        <v>1260</v>
      </c>
      <c r="B86" s="25" t="s">
        <v>242</v>
      </c>
      <c r="C86" s="25" t="s">
        <v>243</v>
      </c>
      <c r="D86" s="25" t="s">
        <v>244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5000</f>
        <v>5000</v>
      </c>
      <c r="L86" s="32" t="s">
        <v>1240</v>
      </c>
      <c r="M86" s="31">
        <f>5170</f>
        <v>5170</v>
      </c>
      <c r="N86" s="32" t="s">
        <v>852</v>
      </c>
      <c r="O86" s="31">
        <f>4905</f>
        <v>4905</v>
      </c>
      <c r="P86" s="32" t="s">
        <v>1085</v>
      </c>
      <c r="Q86" s="31">
        <f>5060</f>
        <v>5060</v>
      </c>
      <c r="R86" s="32" t="s">
        <v>755</v>
      </c>
      <c r="S86" s="33">
        <f>5019.57</f>
        <v>5019.57</v>
      </c>
      <c r="T86" s="30">
        <f>16012</f>
        <v>16012</v>
      </c>
      <c r="U86" s="30" t="str">
        <f>"－"</f>
        <v>－</v>
      </c>
      <c r="V86" s="30">
        <f>80415258</f>
        <v>80415258</v>
      </c>
      <c r="W86" s="30" t="str">
        <f>"－"</f>
        <v>－</v>
      </c>
      <c r="X86" s="34">
        <f>21</f>
        <v>21</v>
      </c>
    </row>
    <row r="87" spans="1:24">
      <c r="A87" s="25" t="s">
        <v>1260</v>
      </c>
      <c r="B87" s="25" t="s">
        <v>245</v>
      </c>
      <c r="C87" s="25" t="s">
        <v>832</v>
      </c>
      <c r="D87" s="25" t="s">
        <v>833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2555</f>
        <v>2555</v>
      </c>
      <c r="L87" s="32" t="s">
        <v>1240</v>
      </c>
      <c r="M87" s="31">
        <f>2575</f>
        <v>2575</v>
      </c>
      <c r="N87" s="32" t="s">
        <v>1208</v>
      </c>
      <c r="O87" s="31">
        <f>2443</f>
        <v>2443</v>
      </c>
      <c r="P87" s="32" t="s">
        <v>852</v>
      </c>
      <c r="Q87" s="31">
        <f>2524</f>
        <v>2524</v>
      </c>
      <c r="R87" s="32" t="s">
        <v>755</v>
      </c>
      <c r="S87" s="33">
        <f>2508.52</f>
        <v>2508.52</v>
      </c>
      <c r="T87" s="30">
        <f>1450521</f>
        <v>1450521</v>
      </c>
      <c r="U87" s="30">
        <f>2211</f>
        <v>2211</v>
      </c>
      <c r="V87" s="30">
        <f>3637420623</f>
        <v>3637420623</v>
      </c>
      <c r="W87" s="30">
        <f>5529926</f>
        <v>5529926</v>
      </c>
      <c r="X87" s="34">
        <f>21</f>
        <v>21</v>
      </c>
    </row>
    <row r="88" spans="1:24">
      <c r="A88" s="25" t="s">
        <v>1260</v>
      </c>
      <c r="B88" s="25" t="s">
        <v>246</v>
      </c>
      <c r="C88" s="25" t="s">
        <v>247</v>
      </c>
      <c r="D88" s="25" t="s">
        <v>248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48140</f>
        <v>48140</v>
      </c>
      <c r="L88" s="32" t="s">
        <v>1240</v>
      </c>
      <c r="M88" s="31">
        <f>49680</f>
        <v>49680</v>
      </c>
      <c r="N88" s="32" t="s">
        <v>1210</v>
      </c>
      <c r="O88" s="31">
        <f>47900</f>
        <v>47900</v>
      </c>
      <c r="P88" s="32" t="s">
        <v>1204</v>
      </c>
      <c r="Q88" s="31">
        <f>49450</f>
        <v>49450</v>
      </c>
      <c r="R88" s="32" t="s">
        <v>755</v>
      </c>
      <c r="S88" s="33">
        <f>48800</f>
        <v>48800</v>
      </c>
      <c r="T88" s="30">
        <f>9223</f>
        <v>9223</v>
      </c>
      <c r="U88" s="30">
        <f>300</f>
        <v>300</v>
      </c>
      <c r="V88" s="30">
        <f>452413270</f>
        <v>452413270</v>
      </c>
      <c r="W88" s="30">
        <f>14871870</f>
        <v>14871870</v>
      </c>
      <c r="X88" s="34">
        <f>21</f>
        <v>21</v>
      </c>
    </row>
    <row r="89" spans="1:24">
      <c r="A89" s="25" t="s">
        <v>1260</v>
      </c>
      <c r="B89" s="25" t="s">
        <v>249</v>
      </c>
      <c r="C89" s="25" t="s">
        <v>250</v>
      </c>
      <c r="D89" s="25" t="s">
        <v>251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10</v>
      </c>
      <c r="K89" s="31">
        <f>475.2</f>
        <v>475.2</v>
      </c>
      <c r="L89" s="32" t="s">
        <v>1240</v>
      </c>
      <c r="M89" s="31">
        <f>506.2</f>
        <v>506.2</v>
      </c>
      <c r="N89" s="32" t="s">
        <v>755</v>
      </c>
      <c r="O89" s="31">
        <f>461.9</f>
        <v>461.9</v>
      </c>
      <c r="P89" s="32" t="s">
        <v>1211</v>
      </c>
      <c r="Q89" s="31">
        <f>499.9</f>
        <v>499.9</v>
      </c>
      <c r="R89" s="32" t="s">
        <v>755</v>
      </c>
      <c r="S89" s="33">
        <f>476.72</f>
        <v>476.72</v>
      </c>
      <c r="T89" s="30">
        <f>72210370</f>
        <v>72210370</v>
      </c>
      <c r="U89" s="30">
        <f>4230</f>
        <v>4230</v>
      </c>
      <c r="V89" s="30">
        <f>34594520344</f>
        <v>34594520344</v>
      </c>
      <c r="W89" s="30">
        <f>2044932</f>
        <v>2044932</v>
      </c>
      <c r="X89" s="34">
        <f>21</f>
        <v>21</v>
      </c>
    </row>
    <row r="90" spans="1:24">
      <c r="A90" s="25" t="s">
        <v>1260</v>
      </c>
      <c r="B90" s="25" t="s">
        <v>252</v>
      </c>
      <c r="C90" s="25" t="s">
        <v>253</v>
      </c>
      <c r="D90" s="25" t="s">
        <v>254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10</v>
      </c>
      <c r="K90" s="31">
        <f>1161</f>
        <v>1161</v>
      </c>
      <c r="L90" s="32" t="s">
        <v>1240</v>
      </c>
      <c r="M90" s="31">
        <f>1177</f>
        <v>1177</v>
      </c>
      <c r="N90" s="32" t="s">
        <v>1211</v>
      </c>
      <c r="O90" s="31">
        <f>1123.5</f>
        <v>1123.5</v>
      </c>
      <c r="P90" s="32" t="s">
        <v>755</v>
      </c>
      <c r="Q90" s="31">
        <f>1137.5</f>
        <v>1137.5</v>
      </c>
      <c r="R90" s="32" t="s">
        <v>755</v>
      </c>
      <c r="S90" s="33">
        <f>1159.62</f>
        <v>1159.6199999999999</v>
      </c>
      <c r="T90" s="30">
        <f>1405460</f>
        <v>1405460</v>
      </c>
      <c r="U90" s="30">
        <f>859920</f>
        <v>859920</v>
      </c>
      <c r="V90" s="30">
        <f>1631030545</f>
        <v>1631030545</v>
      </c>
      <c r="W90" s="30">
        <f>1001501375</f>
        <v>1001501375</v>
      </c>
      <c r="X90" s="34">
        <f>21</f>
        <v>21</v>
      </c>
    </row>
    <row r="91" spans="1:24">
      <c r="A91" s="25" t="s">
        <v>1260</v>
      </c>
      <c r="B91" s="25" t="s">
        <v>255</v>
      </c>
      <c r="C91" s="25" t="s">
        <v>256</v>
      </c>
      <c r="D91" s="25" t="s">
        <v>257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</v>
      </c>
      <c r="K91" s="31">
        <f>24355</f>
        <v>24355</v>
      </c>
      <c r="L91" s="32" t="s">
        <v>1240</v>
      </c>
      <c r="M91" s="31">
        <f>28770</f>
        <v>28770</v>
      </c>
      <c r="N91" s="32" t="s">
        <v>755</v>
      </c>
      <c r="O91" s="31">
        <f>24030</f>
        <v>24030</v>
      </c>
      <c r="P91" s="32" t="s">
        <v>1240</v>
      </c>
      <c r="Q91" s="31">
        <f>28220</f>
        <v>28220</v>
      </c>
      <c r="R91" s="32" t="s">
        <v>755</v>
      </c>
      <c r="S91" s="33">
        <f>25488.33</f>
        <v>25488.33</v>
      </c>
      <c r="T91" s="30">
        <f>84894813</f>
        <v>84894813</v>
      </c>
      <c r="U91" s="30">
        <f>445237</f>
        <v>445237</v>
      </c>
      <c r="V91" s="30">
        <f>2180615964565</f>
        <v>2180615964565</v>
      </c>
      <c r="W91" s="30">
        <f>11287000170</f>
        <v>11287000170</v>
      </c>
      <c r="X91" s="34">
        <f>21</f>
        <v>21</v>
      </c>
    </row>
    <row r="92" spans="1:24">
      <c r="A92" s="25" t="s">
        <v>1260</v>
      </c>
      <c r="B92" s="25" t="s">
        <v>258</v>
      </c>
      <c r="C92" s="25" t="s">
        <v>259</v>
      </c>
      <c r="D92" s="25" t="s">
        <v>260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</v>
      </c>
      <c r="K92" s="31">
        <f>576</f>
        <v>576</v>
      </c>
      <c r="L92" s="32" t="s">
        <v>1240</v>
      </c>
      <c r="M92" s="31">
        <f>580</f>
        <v>580</v>
      </c>
      <c r="N92" s="32" t="s">
        <v>1240</v>
      </c>
      <c r="O92" s="31">
        <f>528</f>
        <v>528</v>
      </c>
      <c r="P92" s="32" t="s">
        <v>755</v>
      </c>
      <c r="Q92" s="31">
        <f>535</f>
        <v>535</v>
      </c>
      <c r="R92" s="32" t="s">
        <v>755</v>
      </c>
      <c r="S92" s="33">
        <f>563.24</f>
        <v>563.24</v>
      </c>
      <c r="T92" s="30">
        <f>38749533</f>
        <v>38749533</v>
      </c>
      <c r="U92" s="30">
        <f>8498472</f>
        <v>8498472</v>
      </c>
      <c r="V92" s="30">
        <f>21628728576</f>
        <v>21628728576</v>
      </c>
      <c r="W92" s="30">
        <f>4737462568</f>
        <v>4737462568</v>
      </c>
      <c r="X92" s="34">
        <f>21</f>
        <v>21</v>
      </c>
    </row>
    <row r="93" spans="1:24">
      <c r="A93" s="25" t="s">
        <v>1260</v>
      </c>
      <c r="B93" s="25" t="s">
        <v>261</v>
      </c>
      <c r="C93" s="25" t="s">
        <v>262</v>
      </c>
      <c r="D93" s="25" t="s">
        <v>263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10</v>
      </c>
      <c r="K93" s="31">
        <f>6351</f>
        <v>6351</v>
      </c>
      <c r="L93" s="32" t="s">
        <v>1240</v>
      </c>
      <c r="M93" s="31">
        <f>7280</f>
        <v>7280</v>
      </c>
      <c r="N93" s="32" t="s">
        <v>1220</v>
      </c>
      <c r="O93" s="31">
        <f>6055</f>
        <v>6055</v>
      </c>
      <c r="P93" s="32" t="s">
        <v>1240</v>
      </c>
      <c r="Q93" s="31">
        <f>6986</f>
        <v>6986</v>
      </c>
      <c r="R93" s="32" t="s">
        <v>755</v>
      </c>
      <c r="S93" s="33">
        <f>6879.9</f>
        <v>6879.9</v>
      </c>
      <c r="T93" s="30">
        <f>214790</f>
        <v>214790</v>
      </c>
      <c r="U93" s="30" t="str">
        <f>"－"</f>
        <v>－</v>
      </c>
      <c r="V93" s="30">
        <f>1472410680</f>
        <v>1472410680</v>
      </c>
      <c r="W93" s="30" t="str">
        <f>"－"</f>
        <v>－</v>
      </c>
      <c r="X93" s="34">
        <f>21</f>
        <v>21</v>
      </c>
    </row>
    <row r="94" spans="1:24">
      <c r="A94" s="25" t="s">
        <v>1260</v>
      </c>
      <c r="B94" s="25" t="s">
        <v>264</v>
      </c>
      <c r="C94" s="25" t="s">
        <v>265</v>
      </c>
      <c r="D94" s="25" t="s">
        <v>266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10</v>
      </c>
      <c r="K94" s="31">
        <f>7972</f>
        <v>7972</v>
      </c>
      <c r="L94" s="32" t="s">
        <v>1240</v>
      </c>
      <c r="M94" s="31">
        <f>8140</f>
        <v>8140</v>
      </c>
      <c r="N94" s="32" t="s">
        <v>1240</v>
      </c>
      <c r="O94" s="31">
        <f>7460</f>
        <v>7460</v>
      </c>
      <c r="P94" s="32" t="s">
        <v>1075</v>
      </c>
      <c r="Q94" s="31">
        <f>7649</f>
        <v>7649</v>
      </c>
      <c r="R94" s="32" t="s">
        <v>755</v>
      </c>
      <c r="S94" s="33">
        <f>7718.33</f>
        <v>7718.33</v>
      </c>
      <c r="T94" s="30">
        <f>24500</f>
        <v>24500</v>
      </c>
      <c r="U94" s="30">
        <f>10</f>
        <v>10</v>
      </c>
      <c r="V94" s="30">
        <f>189584090</f>
        <v>189584090</v>
      </c>
      <c r="W94" s="30">
        <f>77320</f>
        <v>77320</v>
      </c>
      <c r="X94" s="34">
        <f>21</f>
        <v>21</v>
      </c>
    </row>
    <row r="95" spans="1:24">
      <c r="A95" s="25" t="s">
        <v>1260</v>
      </c>
      <c r="B95" s="25" t="s">
        <v>267</v>
      </c>
      <c r="C95" s="25" t="s">
        <v>268</v>
      </c>
      <c r="D95" s="25" t="s">
        <v>944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</v>
      </c>
      <c r="K95" s="31">
        <f>38420</f>
        <v>38420</v>
      </c>
      <c r="L95" s="32" t="s">
        <v>1240</v>
      </c>
      <c r="M95" s="31">
        <f>38690</f>
        <v>38690</v>
      </c>
      <c r="N95" s="32" t="s">
        <v>755</v>
      </c>
      <c r="O95" s="31">
        <f>37740</f>
        <v>37740</v>
      </c>
      <c r="P95" s="32" t="s">
        <v>1210</v>
      </c>
      <c r="Q95" s="31">
        <f>38530</f>
        <v>38530</v>
      </c>
      <c r="R95" s="32" t="s">
        <v>755</v>
      </c>
      <c r="S95" s="33">
        <f>38138.57</f>
        <v>38138.57</v>
      </c>
      <c r="T95" s="30">
        <f>118388</f>
        <v>118388</v>
      </c>
      <c r="U95" s="30">
        <f>59300</f>
        <v>59300</v>
      </c>
      <c r="V95" s="30">
        <f>4518229864</f>
        <v>4518229864</v>
      </c>
      <c r="W95" s="30">
        <f>2265064894</f>
        <v>2265064894</v>
      </c>
      <c r="X95" s="34">
        <f>21</f>
        <v>21</v>
      </c>
    </row>
    <row r="96" spans="1:24">
      <c r="A96" s="25" t="s">
        <v>1260</v>
      </c>
      <c r="B96" s="25" t="s">
        <v>269</v>
      </c>
      <c r="C96" s="25" t="s">
        <v>270</v>
      </c>
      <c r="D96" s="25" t="s">
        <v>271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</v>
      </c>
      <c r="K96" s="31">
        <f>3029</f>
        <v>3029</v>
      </c>
      <c r="L96" s="32" t="s">
        <v>1240</v>
      </c>
      <c r="M96" s="31">
        <f>3283</f>
        <v>3283</v>
      </c>
      <c r="N96" s="32" t="s">
        <v>755</v>
      </c>
      <c r="O96" s="31">
        <f>2998</f>
        <v>2998</v>
      </c>
      <c r="P96" s="32" t="s">
        <v>1240</v>
      </c>
      <c r="Q96" s="31">
        <f>3260</f>
        <v>3260</v>
      </c>
      <c r="R96" s="32" t="s">
        <v>755</v>
      </c>
      <c r="S96" s="33">
        <f>3086.29</f>
        <v>3086.29</v>
      </c>
      <c r="T96" s="30">
        <f>232990</f>
        <v>232990</v>
      </c>
      <c r="U96" s="30">
        <f>105</f>
        <v>105</v>
      </c>
      <c r="V96" s="30">
        <f>727756387</f>
        <v>727756387</v>
      </c>
      <c r="W96" s="30">
        <f>342425</f>
        <v>342425</v>
      </c>
      <c r="X96" s="34">
        <f>21</f>
        <v>21</v>
      </c>
    </row>
    <row r="97" spans="1:24">
      <c r="A97" s="25" t="s">
        <v>1260</v>
      </c>
      <c r="B97" s="25" t="s">
        <v>272</v>
      </c>
      <c r="C97" s="25" t="s">
        <v>273</v>
      </c>
      <c r="D97" s="25" t="s">
        <v>274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10</v>
      </c>
      <c r="K97" s="31">
        <f>262.7</f>
        <v>262.7</v>
      </c>
      <c r="L97" s="32" t="s">
        <v>1240</v>
      </c>
      <c r="M97" s="31">
        <f>309.7</f>
        <v>309.7</v>
      </c>
      <c r="N97" s="32" t="s">
        <v>755</v>
      </c>
      <c r="O97" s="31">
        <f>258.5</f>
        <v>258.5</v>
      </c>
      <c r="P97" s="32" t="s">
        <v>1240</v>
      </c>
      <c r="Q97" s="31">
        <f>304</f>
        <v>304</v>
      </c>
      <c r="R97" s="32" t="s">
        <v>755</v>
      </c>
      <c r="S97" s="33">
        <f>274.33</f>
        <v>274.33</v>
      </c>
      <c r="T97" s="30">
        <f>621519060</f>
        <v>621519060</v>
      </c>
      <c r="U97" s="30">
        <f>13353880</f>
        <v>13353880</v>
      </c>
      <c r="V97" s="30">
        <f>171209924227</f>
        <v>171209924227</v>
      </c>
      <c r="W97" s="30">
        <f>3700332662</f>
        <v>3700332662</v>
      </c>
      <c r="X97" s="34">
        <f>21</f>
        <v>21</v>
      </c>
    </row>
    <row r="98" spans="1:24">
      <c r="A98" s="25" t="s">
        <v>1260</v>
      </c>
      <c r="B98" s="25" t="s">
        <v>275</v>
      </c>
      <c r="C98" s="25" t="s">
        <v>276</v>
      </c>
      <c r="D98" s="25" t="s">
        <v>277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10</v>
      </c>
      <c r="K98" s="31">
        <f>1530</f>
        <v>1530</v>
      </c>
      <c r="L98" s="32" t="s">
        <v>1240</v>
      </c>
      <c r="M98" s="31">
        <f>1541</f>
        <v>1541</v>
      </c>
      <c r="N98" s="32" t="s">
        <v>1240</v>
      </c>
      <c r="O98" s="31">
        <f>1404</f>
        <v>1404</v>
      </c>
      <c r="P98" s="32" t="s">
        <v>755</v>
      </c>
      <c r="Q98" s="31">
        <f>1420.5</f>
        <v>1420.5</v>
      </c>
      <c r="R98" s="32" t="s">
        <v>755</v>
      </c>
      <c r="S98" s="33">
        <f>1496.24</f>
        <v>1496.24</v>
      </c>
      <c r="T98" s="30">
        <f>6641560</f>
        <v>6641560</v>
      </c>
      <c r="U98" s="30">
        <f>2613370</f>
        <v>2613370</v>
      </c>
      <c r="V98" s="30">
        <f>9905273378</f>
        <v>9905273378</v>
      </c>
      <c r="W98" s="30">
        <f>3897673008</f>
        <v>3897673008</v>
      </c>
      <c r="X98" s="34">
        <f>21</f>
        <v>21</v>
      </c>
    </row>
    <row r="99" spans="1:24">
      <c r="A99" s="25" t="s">
        <v>1260</v>
      </c>
      <c r="B99" s="25" t="s">
        <v>278</v>
      </c>
      <c r="C99" s="25" t="s">
        <v>894</v>
      </c>
      <c r="D99" s="25" t="s">
        <v>895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1903.5</f>
        <v>1903.5</v>
      </c>
      <c r="L99" s="32" t="s">
        <v>1240</v>
      </c>
      <c r="M99" s="31">
        <f>1973.5</f>
        <v>1973.5</v>
      </c>
      <c r="N99" s="32" t="s">
        <v>755</v>
      </c>
      <c r="O99" s="31">
        <f>1845</f>
        <v>1845</v>
      </c>
      <c r="P99" s="32" t="s">
        <v>738</v>
      </c>
      <c r="Q99" s="31">
        <f>1950</f>
        <v>1950</v>
      </c>
      <c r="R99" s="32" t="s">
        <v>755</v>
      </c>
      <c r="S99" s="33">
        <f>1917.5</f>
        <v>1917.5</v>
      </c>
      <c r="T99" s="30">
        <f>64370</f>
        <v>64370</v>
      </c>
      <c r="U99" s="30">
        <f>58750</f>
        <v>58750</v>
      </c>
      <c r="V99" s="30">
        <f>122262985</f>
        <v>122262985</v>
      </c>
      <c r="W99" s="30">
        <f>111489875</f>
        <v>111489875</v>
      </c>
      <c r="X99" s="34">
        <f>9</f>
        <v>9</v>
      </c>
    </row>
    <row r="100" spans="1:24">
      <c r="A100" s="25" t="s">
        <v>1260</v>
      </c>
      <c r="B100" s="25" t="s">
        <v>279</v>
      </c>
      <c r="C100" s="25" t="s">
        <v>280</v>
      </c>
      <c r="D100" s="25" t="s">
        <v>281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</v>
      </c>
      <c r="K100" s="31">
        <f>2227</f>
        <v>2227</v>
      </c>
      <c r="L100" s="32" t="s">
        <v>1240</v>
      </c>
      <c r="M100" s="31">
        <f>2287</f>
        <v>2287</v>
      </c>
      <c r="N100" s="32" t="s">
        <v>755</v>
      </c>
      <c r="O100" s="31">
        <f>2185</f>
        <v>2185</v>
      </c>
      <c r="P100" s="32" t="s">
        <v>1211</v>
      </c>
      <c r="Q100" s="31">
        <f>2286</f>
        <v>2286</v>
      </c>
      <c r="R100" s="32" t="s">
        <v>755</v>
      </c>
      <c r="S100" s="33">
        <f>2219.24</f>
        <v>2219.2399999999998</v>
      </c>
      <c r="T100" s="30">
        <f>2329</f>
        <v>2329</v>
      </c>
      <c r="U100" s="30">
        <f>2</f>
        <v>2</v>
      </c>
      <c r="V100" s="30">
        <f>5180429</f>
        <v>5180429</v>
      </c>
      <c r="W100" s="30">
        <f>4464</f>
        <v>4464</v>
      </c>
      <c r="X100" s="34">
        <f>21</f>
        <v>21</v>
      </c>
    </row>
    <row r="101" spans="1:24">
      <c r="A101" s="25" t="s">
        <v>1260</v>
      </c>
      <c r="B101" s="25" t="s">
        <v>282</v>
      </c>
      <c r="C101" s="25" t="s">
        <v>283</v>
      </c>
      <c r="D101" s="25" t="s">
        <v>284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</v>
      </c>
      <c r="K101" s="31">
        <f>25250</f>
        <v>25250</v>
      </c>
      <c r="L101" s="32" t="s">
        <v>1240</v>
      </c>
      <c r="M101" s="31">
        <f>26095</f>
        <v>26095</v>
      </c>
      <c r="N101" s="32" t="s">
        <v>755</v>
      </c>
      <c r="O101" s="31">
        <f>24950</f>
        <v>24950</v>
      </c>
      <c r="P101" s="32" t="s">
        <v>1211</v>
      </c>
      <c r="Q101" s="31">
        <f>25950</f>
        <v>25950</v>
      </c>
      <c r="R101" s="32" t="s">
        <v>755</v>
      </c>
      <c r="S101" s="33">
        <f>25306.9</f>
        <v>25306.9</v>
      </c>
      <c r="T101" s="30">
        <f>213907</f>
        <v>213907</v>
      </c>
      <c r="U101" s="30">
        <f>135102</f>
        <v>135102</v>
      </c>
      <c r="V101" s="30">
        <f>5501248908</f>
        <v>5501248908</v>
      </c>
      <c r="W101" s="30">
        <f>3489998598</f>
        <v>3489998598</v>
      </c>
      <c r="X101" s="34">
        <f>21</f>
        <v>21</v>
      </c>
    </row>
    <row r="102" spans="1:24">
      <c r="A102" s="25" t="s">
        <v>1260</v>
      </c>
      <c r="B102" s="25" t="s">
        <v>285</v>
      </c>
      <c r="C102" s="25" t="s">
        <v>286</v>
      </c>
      <c r="D102" s="25" t="s">
        <v>287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2339</f>
        <v>2339</v>
      </c>
      <c r="L102" s="32" t="s">
        <v>1240</v>
      </c>
      <c r="M102" s="31">
        <f>2416</f>
        <v>2416</v>
      </c>
      <c r="N102" s="32" t="s">
        <v>755</v>
      </c>
      <c r="O102" s="31">
        <f>2313</f>
        <v>2313</v>
      </c>
      <c r="P102" s="32" t="s">
        <v>1211</v>
      </c>
      <c r="Q102" s="31">
        <f>2401</f>
        <v>2401</v>
      </c>
      <c r="R102" s="32" t="s">
        <v>755</v>
      </c>
      <c r="S102" s="33">
        <f>2342.48</f>
        <v>2342.48</v>
      </c>
      <c r="T102" s="30">
        <f>95365</f>
        <v>95365</v>
      </c>
      <c r="U102" s="30">
        <f>20000</f>
        <v>20000</v>
      </c>
      <c r="V102" s="30">
        <f>223741082</f>
        <v>223741082</v>
      </c>
      <c r="W102" s="30">
        <f>46445000</f>
        <v>46445000</v>
      </c>
      <c r="X102" s="34">
        <f>21</f>
        <v>21</v>
      </c>
    </row>
    <row r="103" spans="1:24">
      <c r="A103" s="25" t="s">
        <v>1260</v>
      </c>
      <c r="B103" s="25" t="s">
        <v>288</v>
      </c>
      <c r="C103" s="25" t="s">
        <v>289</v>
      </c>
      <c r="D103" s="25" t="s">
        <v>290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26145</f>
        <v>26145</v>
      </c>
      <c r="L103" s="32" t="s">
        <v>1240</v>
      </c>
      <c r="M103" s="31">
        <f>27030</f>
        <v>27030</v>
      </c>
      <c r="N103" s="32" t="s">
        <v>755</v>
      </c>
      <c r="O103" s="31">
        <f>25845</f>
        <v>25845</v>
      </c>
      <c r="P103" s="32" t="s">
        <v>1211</v>
      </c>
      <c r="Q103" s="31">
        <f>26895</f>
        <v>26895</v>
      </c>
      <c r="R103" s="32" t="s">
        <v>755</v>
      </c>
      <c r="S103" s="33">
        <f>26206.9</f>
        <v>26206.9</v>
      </c>
      <c r="T103" s="30">
        <f>15054</f>
        <v>15054</v>
      </c>
      <c r="U103" s="30">
        <f>2992</f>
        <v>2992</v>
      </c>
      <c r="V103" s="30">
        <f>396541544</f>
        <v>396541544</v>
      </c>
      <c r="W103" s="30">
        <f>78372604</f>
        <v>78372604</v>
      </c>
      <c r="X103" s="34">
        <f>21</f>
        <v>21</v>
      </c>
    </row>
    <row r="104" spans="1:24">
      <c r="A104" s="25" t="s">
        <v>1260</v>
      </c>
      <c r="B104" s="25" t="s">
        <v>291</v>
      </c>
      <c r="C104" s="25" t="s">
        <v>292</v>
      </c>
      <c r="D104" s="25" t="s">
        <v>293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10</v>
      </c>
      <c r="K104" s="31">
        <f>1777.5</f>
        <v>1777.5</v>
      </c>
      <c r="L104" s="32" t="s">
        <v>1240</v>
      </c>
      <c r="M104" s="31">
        <f>1842</f>
        <v>1842</v>
      </c>
      <c r="N104" s="32" t="s">
        <v>663</v>
      </c>
      <c r="O104" s="31">
        <f>1773.5</f>
        <v>1773.5</v>
      </c>
      <c r="P104" s="32" t="s">
        <v>1204</v>
      </c>
      <c r="Q104" s="31">
        <f>1829</f>
        <v>1829</v>
      </c>
      <c r="R104" s="32" t="s">
        <v>755</v>
      </c>
      <c r="S104" s="33">
        <f>1813.17</f>
        <v>1813.17</v>
      </c>
      <c r="T104" s="30">
        <f>1795750</f>
        <v>1795750</v>
      </c>
      <c r="U104" s="30">
        <f>1493010</f>
        <v>1493010</v>
      </c>
      <c r="V104" s="30">
        <f>3271219085</f>
        <v>3271219085</v>
      </c>
      <c r="W104" s="30">
        <f>2722502240</f>
        <v>2722502240</v>
      </c>
      <c r="X104" s="34">
        <f>21</f>
        <v>21</v>
      </c>
    </row>
    <row r="105" spans="1:24">
      <c r="A105" s="25" t="s">
        <v>1260</v>
      </c>
      <c r="B105" s="25" t="s">
        <v>294</v>
      </c>
      <c r="C105" s="25" t="s">
        <v>295</v>
      </c>
      <c r="D105" s="25" t="s">
        <v>296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10</v>
      </c>
      <c r="K105" s="31">
        <f>2266.5</f>
        <v>2266.5</v>
      </c>
      <c r="L105" s="32" t="s">
        <v>1240</v>
      </c>
      <c r="M105" s="31">
        <f>2360</f>
        <v>2360</v>
      </c>
      <c r="N105" s="32" t="s">
        <v>1240</v>
      </c>
      <c r="O105" s="31">
        <f>2261</f>
        <v>2261</v>
      </c>
      <c r="P105" s="32" t="s">
        <v>1240</v>
      </c>
      <c r="Q105" s="31">
        <f>2293</f>
        <v>2293</v>
      </c>
      <c r="R105" s="32" t="s">
        <v>1207</v>
      </c>
      <c r="S105" s="33">
        <f>2279</f>
        <v>2279</v>
      </c>
      <c r="T105" s="30">
        <f>280</f>
        <v>280</v>
      </c>
      <c r="U105" s="30" t="str">
        <f>"－"</f>
        <v>－</v>
      </c>
      <c r="V105" s="30">
        <f>644935</f>
        <v>644935</v>
      </c>
      <c r="W105" s="30" t="str">
        <f>"－"</f>
        <v>－</v>
      </c>
      <c r="X105" s="34">
        <f>5</f>
        <v>5</v>
      </c>
    </row>
    <row r="106" spans="1:24">
      <c r="A106" s="25" t="s">
        <v>1260</v>
      </c>
      <c r="B106" s="25" t="s">
        <v>297</v>
      </c>
      <c r="C106" s="25" t="s">
        <v>298</v>
      </c>
      <c r="D106" s="25" t="s">
        <v>299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1799</f>
        <v>1799</v>
      </c>
      <c r="L106" s="32" t="s">
        <v>1240</v>
      </c>
      <c r="M106" s="31">
        <f>1845</f>
        <v>1845</v>
      </c>
      <c r="N106" s="32" t="s">
        <v>1210</v>
      </c>
      <c r="O106" s="31">
        <f>1782</f>
        <v>1782</v>
      </c>
      <c r="P106" s="32" t="s">
        <v>1209</v>
      </c>
      <c r="Q106" s="31">
        <f>1831.5</f>
        <v>1831.5</v>
      </c>
      <c r="R106" s="32" t="s">
        <v>755</v>
      </c>
      <c r="S106" s="33">
        <f>1817.98</f>
        <v>1817.98</v>
      </c>
      <c r="T106" s="30">
        <f>6211040</f>
        <v>6211040</v>
      </c>
      <c r="U106" s="30">
        <f>3233330</f>
        <v>3233330</v>
      </c>
      <c r="V106" s="30">
        <f>11302011706</f>
        <v>11302011706</v>
      </c>
      <c r="W106" s="30">
        <f>5863521706</f>
        <v>5863521706</v>
      </c>
      <c r="X106" s="34">
        <f>21</f>
        <v>21</v>
      </c>
    </row>
    <row r="107" spans="1:24">
      <c r="A107" s="25" t="s">
        <v>1260</v>
      </c>
      <c r="B107" s="25" t="s">
        <v>300</v>
      </c>
      <c r="C107" s="25" t="s">
        <v>896</v>
      </c>
      <c r="D107" s="25" t="s">
        <v>897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</v>
      </c>
      <c r="K107" s="31">
        <f>25855</f>
        <v>25855</v>
      </c>
      <c r="L107" s="32" t="s">
        <v>1240</v>
      </c>
      <c r="M107" s="31">
        <f>26900</f>
        <v>26900</v>
      </c>
      <c r="N107" s="32" t="s">
        <v>755</v>
      </c>
      <c r="O107" s="31">
        <f>25600</f>
        <v>25600</v>
      </c>
      <c r="P107" s="32" t="s">
        <v>1211</v>
      </c>
      <c r="Q107" s="31">
        <f>26725</f>
        <v>26725</v>
      </c>
      <c r="R107" s="32" t="s">
        <v>755</v>
      </c>
      <c r="S107" s="33">
        <f>26005.56</f>
        <v>26005.56</v>
      </c>
      <c r="T107" s="30">
        <f>3351</f>
        <v>3351</v>
      </c>
      <c r="U107" s="30" t="str">
        <f>"－"</f>
        <v>－</v>
      </c>
      <c r="V107" s="30">
        <f>87516340</f>
        <v>87516340</v>
      </c>
      <c r="W107" s="30" t="str">
        <f>"－"</f>
        <v>－</v>
      </c>
      <c r="X107" s="34">
        <f>18</f>
        <v>18</v>
      </c>
    </row>
    <row r="108" spans="1:24">
      <c r="A108" s="25" t="s">
        <v>1260</v>
      </c>
      <c r="B108" s="25" t="s">
        <v>1097</v>
      </c>
      <c r="C108" s="25" t="s">
        <v>1096</v>
      </c>
      <c r="D108" s="25" t="s">
        <v>1095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526.3</f>
        <v>526.29999999999995</v>
      </c>
      <c r="L108" s="32" t="s">
        <v>1240</v>
      </c>
      <c r="M108" s="31">
        <f>545.2</f>
        <v>545.20000000000005</v>
      </c>
      <c r="N108" s="32" t="s">
        <v>755</v>
      </c>
      <c r="O108" s="31">
        <f>516.9</f>
        <v>516.9</v>
      </c>
      <c r="P108" s="32" t="s">
        <v>756</v>
      </c>
      <c r="Q108" s="31">
        <f>540.1</f>
        <v>540.1</v>
      </c>
      <c r="R108" s="32" t="s">
        <v>755</v>
      </c>
      <c r="S108" s="33">
        <f>525.54</f>
        <v>525.54</v>
      </c>
      <c r="T108" s="30">
        <f>528230</f>
        <v>528230</v>
      </c>
      <c r="U108" s="30">
        <f>370000</f>
        <v>370000</v>
      </c>
      <c r="V108" s="30">
        <f>285195611</f>
        <v>285195611</v>
      </c>
      <c r="W108" s="30">
        <f>201280000</f>
        <v>201280000</v>
      </c>
      <c r="X108" s="34">
        <f>21</f>
        <v>21</v>
      </c>
    </row>
    <row r="109" spans="1:24">
      <c r="A109" s="25" t="s">
        <v>1260</v>
      </c>
      <c r="B109" s="25" t="s">
        <v>301</v>
      </c>
      <c r="C109" s="25" t="s">
        <v>302</v>
      </c>
      <c r="D109" s="25" t="s">
        <v>303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100</v>
      </c>
      <c r="K109" s="31">
        <f>409.5</f>
        <v>409.5</v>
      </c>
      <c r="L109" s="32" t="s">
        <v>1240</v>
      </c>
      <c r="M109" s="31">
        <f>412.4</f>
        <v>412.4</v>
      </c>
      <c r="N109" s="32" t="s">
        <v>1208</v>
      </c>
      <c r="O109" s="31">
        <f>398.4</f>
        <v>398.4</v>
      </c>
      <c r="P109" s="32" t="s">
        <v>1211</v>
      </c>
      <c r="Q109" s="31">
        <f>408.3</f>
        <v>408.3</v>
      </c>
      <c r="R109" s="32" t="s">
        <v>755</v>
      </c>
      <c r="S109" s="33">
        <f>405.86</f>
        <v>405.86</v>
      </c>
      <c r="T109" s="30">
        <f>79784100</f>
        <v>79784100</v>
      </c>
      <c r="U109" s="30">
        <f>5692900</f>
        <v>5692900</v>
      </c>
      <c r="V109" s="30">
        <f>32326283764</f>
        <v>32326283764</v>
      </c>
      <c r="W109" s="30">
        <f>2308360764</f>
        <v>2308360764</v>
      </c>
      <c r="X109" s="34">
        <f>21</f>
        <v>21</v>
      </c>
    </row>
    <row r="110" spans="1:24">
      <c r="A110" s="25" t="s">
        <v>1260</v>
      </c>
      <c r="B110" s="25" t="s">
        <v>304</v>
      </c>
      <c r="C110" s="25" t="s">
        <v>305</v>
      </c>
      <c r="D110" s="25" t="s">
        <v>306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</v>
      </c>
      <c r="K110" s="31">
        <f>38560</f>
        <v>38560</v>
      </c>
      <c r="L110" s="32" t="s">
        <v>1240</v>
      </c>
      <c r="M110" s="31">
        <f>38940</f>
        <v>38940</v>
      </c>
      <c r="N110" s="32" t="s">
        <v>755</v>
      </c>
      <c r="O110" s="31">
        <f>38140</f>
        <v>38140</v>
      </c>
      <c r="P110" s="32" t="s">
        <v>1205</v>
      </c>
      <c r="Q110" s="31">
        <f>38940</f>
        <v>38940</v>
      </c>
      <c r="R110" s="32" t="s">
        <v>755</v>
      </c>
      <c r="S110" s="33">
        <f>38440</f>
        <v>38440</v>
      </c>
      <c r="T110" s="30">
        <f>3476</f>
        <v>3476</v>
      </c>
      <c r="U110" s="30">
        <f>121</f>
        <v>121</v>
      </c>
      <c r="V110" s="30">
        <f>133688410</f>
        <v>133688410</v>
      </c>
      <c r="W110" s="30">
        <f>4655500</f>
        <v>4655500</v>
      </c>
      <c r="X110" s="34">
        <f>21</f>
        <v>21</v>
      </c>
    </row>
    <row r="111" spans="1:24">
      <c r="A111" s="25" t="s">
        <v>1260</v>
      </c>
      <c r="B111" s="25" t="s">
        <v>307</v>
      </c>
      <c r="C111" s="25" t="s">
        <v>308</v>
      </c>
      <c r="D111" s="25" t="s">
        <v>309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</v>
      </c>
      <c r="K111" s="31">
        <f>19400</f>
        <v>19400</v>
      </c>
      <c r="L111" s="32" t="s">
        <v>1240</v>
      </c>
      <c r="M111" s="31">
        <f>21210</f>
        <v>21210</v>
      </c>
      <c r="N111" s="32" t="s">
        <v>739</v>
      </c>
      <c r="O111" s="31">
        <f>19310</f>
        <v>19310</v>
      </c>
      <c r="P111" s="32" t="s">
        <v>1240</v>
      </c>
      <c r="Q111" s="31">
        <f>20180</f>
        <v>20180</v>
      </c>
      <c r="R111" s="32" t="s">
        <v>755</v>
      </c>
      <c r="S111" s="33">
        <f>20142.62</f>
        <v>20142.62</v>
      </c>
      <c r="T111" s="30">
        <f>11549</f>
        <v>11549</v>
      </c>
      <c r="U111" s="30">
        <f>40</f>
        <v>40</v>
      </c>
      <c r="V111" s="30">
        <f>235223190</f>
        <v>235223190</v>
      </c>
      <c r="W111" s="30">
        <f>827295</f>
        <v>827295</v>
      </c>
      <c r="X111" s="34">
        <f>21</f>
        <v>21</v>
      </c>
    </row>
    <row r="112" spans="1:24">
      <c r="A112" s="25" t="s">
        <v>1260</v>
      </c>
      <c r="B112" s="25" t="s">
        <v>310</v>
      </c>
      <c r="C112" s="25" t="s">
        <v>311</v>
      </c>
      <c r="D112" s="25" t="s">
        <v>312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32520</f>
        <v>32520</v>
      </c>
      <c r="L112" s="32" t="s">
        <v>1240</v>
      </c>
      <c r="M112" s="31">
        <f>33630</f>
        <v>33630</v>
      </c>
      <c r="N112" s="32" t="s">
        <v>755</v>
      </c>
      <c r="O112" s="31">
        <f>32180</f>
        <v>32180</v>
      </c>
      <c r="P112" s="32" t="s">
        <v>1085</v>
      </c>
      <c r="Q112" s="31">
        <f>33410</f>
        <v>33410</v>
      </c>
      <c r="R112" s="32" t="s">
        <v>755</v>
      </c>
      <c r="S112" s="33">
        <f>32759.52</f>
        <v>32759.52</v>
      </c>
      <c r="T112" s="30">
        <f>3562</f>
        <v>3562</v>
      </c>
      <c r="U112" s="30">
        <f>679</f>
        <v>679</v>
      </c>
      <c r="V112" s="30">
        <f>116940618</f>
        <v>116940618</v>
      </c>
      <c r="W112" s="30">
        <f>22484088</f>
        <v>22484088</v>
      </c>
      <c r="X112" s="34">
        <f>21</f>
        <v>21</v>
      </c>
    </row>
    <row r="113" spans="1:24">
      <c r="A113" s="25" t="s">
        <v>1260</v>
      </c>
      <c r="B113" s="25" t="s">
        <v>313</v>
      </c>
      <c r="C113" s="25" t="s">
        <v>314</v>
      </c>
      <c r="D113" s="25" t="s">
        <v>315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28130</f>
        <v>28130</v>
      </c>
      <c r="L113" s="32" t="s">
        <v>1240</v>
      </c>
      <c r="M113" s="31">
        <f>28845</f>
        <v>28845</v>
      </c>
      <c r="N113" s="32" t="s">
        <v>755</v>
      </c>
      <c r="O113" s="31">
        <f>27410</f>
        <v>27410</v>
      </c>
      <c r="P113" s="32" t="s">
        <v>756</v>
      </c>
      <c r="Q113" s="31">
        <f>28690</f>
        <v>28690</v>
      </c>
      <c r="R113" s="32" t="s">
        <v>755</v>
      </c>
      <c r="S113" s="33">
        <f>28028.81</f>
        <v>28028.81</v>
      </c>
      <c r="T113" s="30">
        <f>34154</f>
        <v>34154</v>
      </c>
      <c r="U113" s="30">
        <f>18002</f>
        <v>18002</v>
      </c>
      <c r="V113" s="30">
        <f>965807468</f>
        <v>965807468</v>
      </c>
      <c r="W113" s="30">
        <f>511175468</f>
        <v>511175468</v>
      </c>
      <c r="X113" s="34">
        <f>21</f>
        <v>21</v>
      </c>
    </row>
    <row r="114" spans="1:24">
      <c r="A114" s="25" t="s">
        <v>1260</v>
      </c>
      <c r="B114" s="25" t="s">
        <v>316</v>
      </c>
      <c r="C114" s="25" t="s">
        <v>317</v>
      </c>
      <c r="D114" s="25" t="s">
        <v>318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26280</f>
        <v>26280</v>
      </c>
      <c r="L114" s="32" t="s">
        <v>1240</v>
      </c>
      <c r="M114" s="31">
        <f>26750</f>
        <v>26750</v>
      </c>
      <c r="N114" s="32" t="s">
        <v>1220</v>
      </c>
      <c r="O114" s="31">
        <f>25270</f>
        <v>25270</v>
      </c>
      <c r="P114" s="32" t="s">
        <v>756</v>
      </c>
      <c r="Q114" s="31">
        <f>26135</f>
        <v>26135</v>
      </c>
      <c r="R114" s="32" t="s">
        <v>755</v>
      </c>
      <c r="S114" s="33">
        <f>25998.1</f>
        <v>25998.1</v>
      </c>
      <c r="T114" s="30">
        <f>19843</f>
        <v>19843</v>
      </c>
      <c r="U114" s="30">
        <f>1</f>
        <v>1</v>
      </c>
      <c r="V114" s="30">
        <f>516366494</f>
        <v>516366494</v>
      </c>
      <c r="W114" s="30">
        <f>26079</f>
        <v>26079</v>
      </c>
      <c r="X114" s="34">
        <f>21</f>
        <v>21</v>
      </c>
    </row>
    <row r="115" spans="1:24">
      <c r="A115" s="25" t="s">
        <v>1260</v>
      </c>
      <c r="B115" s="25" t="s">
        <v>319</v>
      </c>
      <c r="C115" s="25" t="s">
        <v>320</v>
      </c>
      <c r="D115" s="25" t="s">
        <v>321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31160</f>
        <v>31160</v>
      </c>
      <c r="L115" s="32" t="s">
        <v>1240</v>
      </c>
      <c r="M115" s="31">
        <f>31160</f>
        <v>31160</v>
      </c>
      <c r="N115" s="32" t="s">
        <v>1240</v>
      </c>
      <c r="O115" s="31">
        <f>28800</f>
        <v>28800</v>
      </c>
      <c r="P115" s="32" t="s">
        <v>1210</v>
      </c>
      <c r="Q115" s="31">
        <f>29445</f>
        <v>29445</v>
      </c>
      <c r="R115" s="32" t="s">
        <v>755</v>
      </c>
      <c r="S115" s="33">
        <f>29743.33</f>
        <v>29743.33</v>
      </c>
      <c r="T115" s="30">
        <f>10793</f>
        <v>10793</v>
      </c>
      <c r="U115" s="30">
        <f>34</f>
        <v>34</v>
      </c>
      <c r="V115" s="30">
        <f>322080178</f>
        <v>322080178</v>
      </c>
      <c r="W115" s="30">
        <f>1029983</f>
        <v>1029983</v>
      </c>
      <c r="X115" s="34">
        <f>21</f>
        <v>21</v>
      </c>
    </row>
    <row r="116" spans="1:24">
      <c r="A116" s="25" t="s">
        <v>1260</v>
      </c>
      <c r="B116" s="25" t="s">
        <v>322</v>
      </c>
      <c r="C116" s="25" t="s">
        <v>323</v>
      </c>
      <c r="D116" s="25" t="s">
        <v>324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27340</f>
        <v>27340</v>
      </c>
      <c r="L116" s="32" t="s">
        <v>1240</v>
      </c>
      <c r="M116" s="31">
        <f>28180</f>
        <v>28180</v>
      </c>
      <c r="N116" s="32" t="s">
        <v>755</v>
      </c>
      <c r="O116" s="31">
        <f>26305</f>
        <v>26305</v>
      </c>
      <c r="P116" s="32" t="s">
        <v>756</v>
      </c>
      <c r="Q116" s="31">
        <f>27730</f>
        <v>27730</v>
      </c>
      <c r="R116" s="32" t="s">
        <v>755</v>
      </c>
      <c r="S116" s="33">
        <f>27204.05</f>
        <v>27204.05</v>
      </c>
      <c r="T116" s="30">
        <f>9072</f>
        <v>9072</v>
      </c>
      <c r="U116" s="30">
        <f>7</f>
        <v>7</v>
      </c>
      <c r="V116" s="30">
        <f>247041095</f>
        <v>247041095</v>
      </c>
      <c r="W116" s="30">
        <f>188405</f>
        <v>188405</v>
      </c>
      <c r="X116" s="34">
        <f>21</f>
        <v>21</v>
      </c>
    </row>
    <row r="117" spans="1:24">
      <c r="A117" s="25" t="s">
        <v>1260</v>
      </c>
      <c r="B117" s="25" t="s">
        <v>325</v>
      </c>
      <c r="C117" s="25" t="s">
        <v>326</v>
      </c>
      <c r="D117" s="25" t="s">
        <v>327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62100</f>
        <v>62100</v>
      </c>
      <c r="L117" s="32" t="s">
        <v>1240</v>
      </c>
      <c r="M117" s="31">
        <f>68510</f>
        <v>68510</v>
      </c>
      <c r="N117" s="32" t="s">
        <v>1212</v>
      </c>
      <c r="O117" s="31">
        <f>61440</f>
        <v>61440</v>
      </c>
      <c r="P117" s="32" t="s">
        <v>1240</v>
      </c>
      <c r="Q117" s="31">
        <f>66450</f>
        <v>66450</v>
      </c>
      <c r="R117" s="32" t="s">
        <v>755</v>
      </c>
      <c r="S117" s="33">
        <f>63457.62</f>
        <v>63457.62</v>
      </c>
      <c r="T117" s="30">
        <f>5960</f>
        <v>5960</v>
      </c>
      <c r="U117" s="30">
        <f>2652</f>
        <v>2652</v>
      </c>
      <c r="V117" s="30">
        <f>382718311</f>
        <v>382718311</v>
      </c>
      <c r="W117" s="30">
        <f>170383241</f>
        <v>170383241</v>
      </c>
      <c r="X117" s="34">
        <f>21</f>
        <v>21</v>
      </c>
    </row>
    <row r="118" spans="1:24">
      <c r="A118" s="25" t="s">
        <v>1260</v>
      </c>
      <c r="B118" s="25" t="s">
        <v>328</v>
      </c>
      <c r="C118" s="25" t="s">
        <v>329</v>
      </c>
      <c r="D118" s="25" t="s">
        <v>330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37720</f>
        <v>37720</v>
      </c>
      <c r="L118" s="32" t="s">
        <v>1240</v>
      </c>
      <c r="M118" s="31">
        <f>40390</f>
        <v>40390</v>
      </c>
      <c r="N118" s="32" t="s">
        <v>755</v>
      </c>
      <c r="O118" s="31">
        <f>37490</f>
        <v>37490</v>
      </c>
      <c r="P118" s="32" t="s">
        <v>756</v>
      </c>
      <c r="Q118" s="31">
        <f>39750</f>
        <v>39750</v>
      </c>
      <c r="R118" s="32" t="s">
        <v>755</v>
      </c>
      <c r="S118" s="33">
        <f>38376.67</f>
        <v>38376.67</v>
      </c>
      <c r="T118" s="30">
        <f>7840</f>
        <v>7840</v>
      </c>
      <c r="U118" s="30">
        <f>31</f>
        <v>31</v>
      </c>
      <c r="V118" s="30">
        <f>299662530</f>
        <v>299662530</v>
      </c>
      <c r="W118" s="30">
        <f>1181300</f>
        <v>1181300</v>
      </c>
      <c r="X118" s="34">
        <f>21</f>
        <v>21</v>
      </c>
    </row>
    <row r="119" spans="1:24">
      <c r="A119" s="25" t="s">
        <v>1260</v>
      </c>
      <c r="B119" s="25" t="s">
        <v>331</v>
      </c>
      <c r="C119" s="25" t="s">
        <v>332</v>
      </c>
      <c r="D119" s="25" t="s">
        <v>333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38840</f>
        <v>38840</v>
      </c>
      <c r="L119" s="32" t="s">
        <v>1240</v>
      </c>
      <c r="M119" s="31">
        <f>41570</f>
        <v>41570</v>
      </c>
      <c r="N119" s="32" t="s">
        <v>755</v>
      </c>
      <c r="O119" s="31">
        <f>38480</f>
        <v>38480</v>
      </c>
      <c r="P119" s="32" t="s">
        <v>1209</v>
      </c>
      <c r="Q119" s="31">
        <f>41330</f>
        <v>41330</v>
      </c>
      <c r="R119" s="32" t="s">
        <v>755</v>
      </c>
      <c r="S119" s="33">
        <f>39433.81</f>
        <v>39433.81</v>
      </c>
      <c r="T119" s="30">
        <f>2928</f>
        <v>2928</v>
      </c>
      <c r="U119" s="30">
        <f>14</f>
        <v>14</v>
      </c>
      <c r="V119" s="30">
        <f>115172720</f>
        <v>115172720</v>
      </c>
      <c r="W119" s="30">
        <f>550480</f>
        <v>550480</v>
      </c>
      <c r="X119" s="34">
        <f>21</f>
        <v>21</v>
      </c>
    </row>
    <row r="120" spans="1:24">
      <c r="A120" s="25" t="s">
        <v>1260</v>
      </c>
      <c r="B120" s="25" t="s">
        <v>334</v>
      </c>
      <c r="C120" s="25" t="s">
        <v>335</v>
      </c>
      <c r="D120" s="25" t="s">
        <v>336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8263</f>
        <v>8263</v>
      </c>
      <c r="L120" s="32" t="s">
        <v>1240</v>
      </c>
      <c r="M120" s="31">
        <f>8550</f>
        <v>8550</v>
      </c>
      <c r="N120" s="32" t="s">
        <v>755</v>
      </c>
      <c r="O120" s="31">
        <f>7975</f>
        <v>7975</v>
      </c>
      <c r="P120" s="32" t="s">
        <v>1206</v>
      </c>
      <c r="Q120" s="31">
        <f>8550</f>
        <v>8550</v>
      </c>
      <c r="R120" s="32" t="s">
        <v>755</v>
      </c>
      <c r="S120" s="33">
        <f>8242.52</f>
        <v>8242.52</v>
      </c>
      <c r="T120" s="30">
        <f>40997</f>
        <v>40997</v>
      </c>
      <c r="U120" s="30">
        <f>12298</f>
        <v>12298</v>
      </c>
      <c r="V120" s="30">
        <f>336946523</f>
        <v>336946523</v>
      </c>
      <c r="W120" s="30">
        <f>100338781</f>
        <v>100338781</v>
      </c>
      <c r="X120" s="34">
        <f>21</f>
        <v>21</v>
      </c>
    </row>
    <row r="121" spans="1:24">
      <c r="A121" s="25" t="s">
        <v>1260</v>
      </c>
      <c r="B121" s="25" t="s">
        <v>337</v>
      </c>
      <c r="C121" s="25" t="s">
        <v>338</v>
      </c>
      <c r="D121" s="25" t="s">
        <v>339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19320</f>
        <v>19320</v>
      </c>
      <c r="L121" s="32" t="s">
        <v>1240</v>
      </c>
      <c r="M121" s="31">
        <f>19670</f>
        <v>19670</v>
      </c>
      <c r="N121" s="32" t="s">
        <v>755</v>
      </c>
      <c r="O121" s="31">
        <f>19110</f>
        <v>19110</v>
      </c>
      <c r="P121" s="32" t="s">
        <v>1211</v>
      </c>
      <c r="Q121" s="31">
        <f>19620</f>
        <v>19620</v>
      </c>
      <c r="R121" s="32" t="s">
        <v>755</v>
      </c>
      <c r="S121" s="33">
        <f>19296.67</f>
        <v>19296.669999999998</v>
      </c>
      <c r="T121" s="30">
        <f>5733</f>
        <v>5733</v>
      </c>
      <c r="U121" s="30">
        <f>38</f>
        <v>38</v>
      </c>
      <c r="V121" s="30">
        <f>110893688</f>
        <v>110893688</v>
      </c>
      <c r="W121" s="30">
        <f>733148</f>
        <v>733148</v>
      </c>
      <c r="X121" s="34">
        <f>21</f>
        <v>21</v>
      </c>
    </row>
    <row r="122" spans="1:24">
      <c r="A122" s="25" t="s">
        <v>1260</v>
      </c>
      <c r="B122" s="25" t="s">
        <v>340</v>
      </c>
      <c r="C122" s="25" t="s">
        <v>341</v>
      </c>
      <c r="D122" s="25" t="s">
        <v>342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87320</f>
        <v>87320</v>
      </c>
      <c r="L122" s="32" t="s">
        <v>1240</v>
      </c>
      <c r="M122" s="31">
        <f>87680</f>
        <v>87680</v>
      </c>
      <c r="N122" s="32" t="s">
        <v>755</v>
      </c>
      <c r="O122" s="31">
        <f>84440</f>
        <v>84440</v>
      </c>
      <c r="P122" s="32" t="s">
        <v>1210</v>
      </c>
      <c r="Q122" s="31">
        <f>87090</f>
        <v>87090</v>
      </c>
      <c r="R122" s="32" t="s">
        <v>755</v>
      </c>
      <c r="S122" s="33">
        <f>86199.05</f>
        <v>86199.05</v>
      </c>
      <c r="T122" s="30">
        <f>12741</f>
        <v>12741</v>
      </c>
      <c r="U122" s="30">
        <f>501</f>
        <v>501</v>
      </c>
      <c r="V122" s="30">
        <f>1097480570</f>
        <v>1097480570</v>
      </c>
      <c r="W122" s="30">
        <f>43300800</f>
        <v>43300800</v>
      </c>
      <c r="X122" s="34">
        <f>21</f>
        <v>21</v>
      </c>
    </row>
    <row r="123" spans="1:24">
      <c r="A123" s="25" t="s">
        <v>1260</v>
      </c>
      <c r="B123" s="25" t="s">
        <v>1094</v>
      </c>
      <c r="C123" s="25" t="s">
        <v>1093</v>
      </c>
      <c r="D123" s="25" t="s">
        <v>1092</v>
      </c>
      <c r="E123" s="26" t="s">
        <v>43</v>
      </c>
      <c r="F123" s="27" t="s">
        <v>43</v>
      </c>
      <c r="G123" s="28" t="s">
        <v>43</v>
      </c>
      <c r="H123" s="29"/>
      <c r="I123" s="29" t="s">
        <v>452</v>
      </c>
      <c r="J123" s="30">
        <v>1</v>
      </c>
      <c r="K123" s="31">
        <f>9853</f>
        <v>9853</v>
      </c>
      <c r="L123" s="32" t="s">
        <v>1240</v>
      </c>
      <c r="M123" s="31">
        <f>10285</f>
        <v>10285</v>
      </c>
      <c r="N123" s="32" t="s">
        <v>755</v>
      </c>
      <c r="O123" s="31">
        <f>9795</f>
        <v>9795</v>
      </c>
      <c r="P123" s="32" t="s">
        <v>739</v>
      </c>
      <c r="Q123" s="31">
        <f>10285</f>
        <v>10285</v>
      </c>
      <c r="R123" s="32" t="s">
        <v>755</v>
      </c>
      <c r="S123" s="33">
        <f>9936.8</f>
        <v>9936.7999999999993</v>
      </c>
      <c r="T123" s="30">
        <f>3053</f>
        <v>3053</v>
      </c>
      <c r="U123" s="30" t="str">
        <f>"－"</f>
        <v>－</v>
      </c>
      <c r="V123" s="30">
        <f>30268290</f>
        <v>30268290</v>
      </c>
      <c r="W123" s="30" t="str">
        <f>"－"</f>
        <v>－</v>
      </c>
      <c r="X123" s="34">
        <f>15</f>
        <v>15</v>
      </c>
    </row>
    <row r="124" spans="1:24">
      <c r="A124" s="25" t="s">
        <v>1260</v>
      </c>
      <c r="B124" s="25" t="s">
        <v>343</v>
      </c>
      <c r="C124" s="25" t="s">
        <v>344</v>
      </c>
      <c r="D124" s="25" t="s">
        <v>345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33260</f>
        <v>33260</v>
      </c>
      <c r="L124" s="32" t="s">
        <v>1240</v>
      </c>
      <c r="M124" s="31">
        <f>34680</f>
        <v>34680</v>
      </c>
      <c r="N124" s="32" t="s">
        <v>755</v>
      </c>
      <c r="O124" s="31">
        <f>33120</f>
        <v>33120</v>
      </c>
      <c r="P124" s="32" t="s">
        <v>1211</v>
      </c>
      <c r="Q124" s="31">
        <f>34510</f>
        <v>34510</v>
      </c>
      <c r="R124" s="32" t="s">
        <v>755</v>
      </c>
      <c r="S124" s="33">
        <f>33652.86</f>
        <v>33652.86</v>
      </c>
      <c r="T124" s="30">
        <f>7675</f>
        <v>7675</v>
      </c>
      <c r="U124" s="30">
        <f>2542</f>
        <v>2542</v>
      </c>
      <c r="V124" s="30">
        <f>258082475</f>
        <v>258082475</v>
      </c>
      <c r="W124" s="30">
        <f>84927535</f>
        <v>84927535</v>
      </c>
      <c r="X124" s="34">
        <f>21</f>
        <v>21</v>
      </c>
    </row>
    <row r="125" spans="1:24">
      <c r="A125" s="25" t="s">
        <v>1260</v>
      </c>
      <c r="B125" s="25" t="s">
        <v>346</v>
      </c>
      <c r="C125" s="25" t="s">
        <v>347</v>
      </c>
      <c r="D125" s="25" t="s">
        <v>348</v>
      </c>
      <c r="E125" s="26" t="s">
        <v>43</v>
      </c>
      <c r="F125" s="27" t="s">
        <v>43</v>
      </c>
      <c r="G125" s="28" t="s">
        <v>43</v>
      </c>
      <c r="H125" s="29"/>
      <c r="I125" s="29" t="s">
        <v>44</v>
      </c>
      <c r="J125" s="30">
        <v>1</v>
      </c>
      <c r="K125" s="31">
        <f>21725</f>
        <v>21725</v>
      </c>
      <c r="L125" s="32" t="s">
        <v>1240</v>
      </c>
      <c r="M125" s="31">
        <f>21915</f>
        <v>21915</v>
      </c>
      <c r="N125" s="32" t="s">
        <v>1208</v>
      </c>
      <c r="O125" s="31">
        <f>21175</f>
        <v>21175</v>
      </c>
      <c r="P125" s="32" t="s">
        <v>1211</v>
      </c>
      <c r="Q125" s="31">
        <f>21680</f>
        <v>21680</v>
      </c>
      <c r="R125" s="32" t="s">
        <v>755</v>
      </c>
      <c r="S125" s="33">
        <f>21549.76</f>
        <v>21549.759999999998</v>
      </c>
      <c r="T125" s="30">
        <f>40535</f>
        <v>40535</v>
      </c>
      <c r="U125" s="30">
        <f>145</f>
        <v>145</v>
      </c>
      <c r="V125" s="30">
        <f>872600005</f>
        <v>872600005</v>
      </c>
      <c r="W125" s="30">
        <f>3108315</f>
        <v>3108315</v>
      </c>
      <c r="X125" s="34">
        <f>21</f>
        <v>21</v>
      </c>
    </row>
    <row r="126" spans="1:24">
      <c r="A126" s="25" t="s">
        <v>1260</v>
      </c>
      <c r="B126" s="25" t="s">
        <v>349</v>
      </c>
      <c r="C126" s="25" t="s">
        <v>350</v>
      </c>
      <c r="D126" s="25" t="s">
        <v>351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29305</f>
        <v>29305</v>
      </c>
      <c r="L126" s="32" t="s">
        <v>1240</v>
      </c>
      <c r="M126" s="31">
        <f>30070</f>
        <v>30070</v>
      </c>
      <c r="N126" s="32" t="s">
        <v>738</v>
      </c>
      <c r="O126" s="31">
        <f>28500</f>
        <v>28500</v>
      </c>
      <c r="P126" s="32" t="s">
        <v>756</v>
      </c>
      <c r="Q126" s="31">
        <f>29565</f>
        <v>29565</v>
      </c>
      <c r="R126" s="32" t="s">
        <v>755</v>
      </c>
      <c r="S126" s="33">
        <f>29287.86</f>
        <v>29287.86</v>
      </c>
      <c r="T126" s="30">
        <f>25465</f>
        <v>25465</v>
      </c>
      <c r="U126" s="30">
        <f>16503</f>
        <v>16503</v>
      </c>
      <c r="V126" s="30">
        <f>752393506</f>
        <v>752393506</v>
      </c>
      <c r="W126" s="30">
        <f>488948546</f>
        <v>488948546</v>
      </c>
      <c r="X126" s="34">
        <f>21</f>
        <v>21</v>
      </c>
    </row>
    <row r="127" spans="1:24">
      <c r="A127" s="25" t="s">
        <v>1260</v>
      </c>
      <c r="B127" s="25" t="s">
        <v>352</v>
      </c>
      <c r="C127" s="25" t="s">
        <v>353</v>
      </c>
      <c r="D127" s="25" t="s">
        <v>354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41840</f>
        <v>41840</v>
      </c>
      <c r="L127" s="32" t="s">
        <v>1240</v>
      </c>
      <c r="M127" s="31">
        <f>43060</f>
        <v>43060</v>
      </c>
      <c r="N127" s="32" t="s">
        <v>756</v>
      </c>
      <c r="O127" s="31">
        <f>41370</f>
        <v>41370</v>
      </c>
      <c r="P127" s="32" t="s">
        <v>1209</v>
      </c>
      <c r="Q127" s="31">
        <f>42110</f>
        <v>42110</v>
      </c>
      <c r="R127" s="32" t="s">
        <v>755</v>
      </c>
      <c r="S127" s="33">
        <f>42027.14</f>
        <v>42027.14</v>
      </c>
      <c r="T127" s="30">
        <f>7925</f>
        <v>7925</v>
      </c>
      <c r="U127" s="30">
        <f>80</f>
        <v>80</v>
      </c>
      <c r="V127" s="30">
        <f>332789585</f>
        <v>332789585</v>
      </c>
      <c r="W127" s="30">
        <f>3379365</f>
        <v>3379365</v>
      </c>
      <c r="X127" s="34">
        <f>21</f>
        <v>21</v>
      </c>
    </row>
    <row r="128" spans="1:24">
      <c r="A128" s="25" t="s">
        <v>1260</v>
      </c>
      <c r="B128" s="25" t="s">
        <v>1091</v>
      </c>
      <c r="C128" s="25" t="s">
        <v>1090</v>
      </c>
      <c r="D128" s="25" t="s">
        <v>1089</v>
      </c>
      <c r="E128" s="26" t="s">
        <v>43</v>
      </c>
      <c r="F128" s="27" t="s">
        <v>43</v>
      </c>
      <c r="G128" s="28" t="s">
        <v>43</v>
      </c>
      <c r="H128" s="29"/>
      <c r="I128" s="29" t="s">
        <v>452</v>
      </c>
      <c r="J128" s="30">
        <v>1</v>
      </c>
      <c r="K128" s="31">
        <f>7860</f>
        <v>7860</v>
      </c>
      <c r="L128" s="32" t="s">
        <v>1240</v>
      </c>
      <c r="M128" s="31">
        <f>9265</f>
        <v>9265</v>
      </c>
      <c r="N128" s="32" t="s">
        <v>755</v>
      </c>
      <c r="O128" s="31">
        <f>7710</f>
        <v>7710</v>
      </c>
      <c r="P128" s="32" t="s">
        <v>1240</v>
      </c>
      <c r="Q128" s="31">
        <f>9033</f>
        <v>9033</v>
      </c>
      <c r="R128" s="32" t="s">
        <v>755</v>
      </c>
      <c r="S128" s="33">
        <f>8334.86</f>
        <v>8334.86</v>
      </c>
      <c r="T128" s="30">
        <f>80731</f>
        <v>80731</v>
      </c>
      <c r="U128" s="30">
        <f>2</f>
        <v>2</v>
      </c>
      <c r="V128" s="30">
        <f>691076522</f>
        <v>691076522</v>
      </c>
      <c r="W128" s="30">
        <f>16386</f>
        <v>16386</v>
      </c>
      <c r="X128" s="34">
        <f>21</f>
        <v>21</v>
      </c>
    </row>
    <row r="129" spans="1:24">
      <c r="A129" s="25" t="s">
        <v>1260</v>
      </c>
      <c r="B129" s="25" t="s">
        <v>355</v>
      </c>
      <c r="C129" s="25" t="s">
        <v>898</v>
      </c>
      <c r="D129" s="25" t="s">
        <v>899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2124</f>
        <v>2124</v>
      </c>
      <c r="L129" s="32" t="s">
        <v>1240</v>
      </c>
      <c r="M129" s="31">
        <f>2129</f>
        <v>2129</v>
      </c>
      <c r="N129" s="32" t="s">
        <v>755</v>
      </c>
      <c r="O129" s="31">
        <f>2057</f>
        <v>2057</v>
      </c>
      <c r="P129" s="32" t="s">
        <v>1211</v>
      </c>
      <c r="Q129" s="31">
        <f>2120</f>
        <v>2120</v>
      </c>
      <c r="R129" s="32" t="s">
        <v>755</v>
      </c>
      <c r="S129" s="33">
        <f>2091.86</f>
        <v>2091.86</v>
      </c>
      <c r="T129" s="30">
        <f>250244</f>
        <v>250244</v>
      </c>
      <c r="U129" s="30">
        <f>54599</f>
        <v>54599</v>
      </c>
      <c r="V129" s="30">
        <f>523488582</f>
        <v>523488582</v>
      </c>
      <c r="W129" s="30">
        <f>113764910</f>
        <v>113764910</v>
      </c>
      <c r="X129" s="34">
        <f>21</f>
        <v>21</v>
      </c>
    </row>
    <row r="130" spans="1:24">
      <c r="A130" s="25" t="s">
        <v>1260</v>
      </c>
      <c r="B130" s="25" t="s">
        <v>356</v>
      </c>
      <c r="C130" s="25" t="s">
        <v>900</v>
      </c>
      <c r="D130" s="25" t="s">
        <v>901</v>
      </c>
      <c r="E130" s="26" t="s">
        <v>43</v>
      </c>
      <c r="F130" s="27" t="s">
        <v>43</v>
      </c>
      <c r="G130" s="28" t="s">
        <v>43</v>
      </c>
      <c r="H130" s="29"/>
      <c r="I130" s="29" t="s">
        <v>44</v>
      </c>
      <c r="J130" s="30">
        <v>10</v>
      </c>
      <c r="K130" s="31">
        <f>3320</f>
        <v>3320</v>
      </c>
      <c r="L130" s="32" t="s">
        <v>738</v>
      </c>
      <c r="M130" s="31">
        <f>3421</f>
        <v>3421</v>
      </c>
      <c r="N130" s="32" t="s">
        <v>755</v>
      </c>
      <c r="O130" s="31">
        <f>3267</f>
        <v>3267</v>
      </c>
      <c r="P130" s="32" t="s">
        <v>1211</v>
      </c>
      <c r="Q130" s="31">
        <f>3409</f>
        <v>3409</v>
      </c>
      <c r="R130" s="32" t="s">
        <v>755</v>
      </c>
      <c r="S130" s="33">
        <f>3318.67</f>
        <v>3318.67</v>
      </c>
      <c r="T130" s="30">
        <f>7270</f>
        <v>7270</v>
      </c>
      <c r="U130" s="30" t="str">
        <f>"－"</f>
        <v>－</v>
      </c>
      <c r="V130" s="30">
        <f>24665400</f>
        <v>24665400</v>
      </c>
      <c r="W130" s="30" t="str">
        <f>"－"</f>
        <v>－</v>
      </c>
      <c r="X130" s="34">
        <f>6</f>
        <v>6</v>
      </c>
    </row>
    <row r="131" spans="1:24">
      <c r="A131" s="25" t="s">
        <v>1260</v>
      </c>
      <c r="B131" s="25" t="s">
        <v>357</v>
      </c>
      <c r="C131" s="25" t="s">
        <v>902</v>
      </c>
      <c r="D131" s="25" t="s">
        <v>903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10</v>
      </c>
      <c r="K131" s="31">
        <f>3582</f>
        <v>3582</v>
      </c>
      <c r="L131" s="32" t="s">
        <v>1240</v>
      </c>
      <c r="M131" s="31">
        <f>3728</f>
        <v>3728</v>
      </c>
      <c r="N131" s="32" t="s">
        <v>755</v>
      </c>
      <c r="O131" s="31">
        <f>3558</f>
        <v>3558</v>
      </c>
      <c r="P131" s="32" t="s">
        <v>756</v>
      </c>
      <c r="Q131" s="31">
        <f>3728</f>
        <v>3728</v>
      </c>
      <c r="R131" s="32" t="s">
        <v>755</v>
      </c>
      <c r="S131" s="33">
        <f>3615.12</f>
        <v>3615.12</v>
      </c>
      <c r="T131" s="30">
        <f>12640</f>
        <v>12640</v>
      </c>
      <c r="U131" s="30" t="str">
        <f>"－"</f>
        <v>－</v>
      </c>
      <c r="V131" s="30">
        <f>45861670</f>
        <v>45861670</v>
      </c>
      <c r="W131" s="30" t="str">
        <f>"－"</f>
        <v>－</v>
      </c>
      <c r="X131" s="34">
        <f>17</f>
        <v>17</v>
      </c>
    </row>
    <row r="132" spans="1:24">
      <c r="A132" s="25" t="s">
        <v>1260</v>
      </c>
      <c r="B132" s="25" t="s">
        <v>358</v>
      </c>
      <c r="C132" s="25" t="s">
        <v>904</v>
      </c>
      <c r="D132" s="25" t="s">
        <v>905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2248</f>
        <v>2248</v>
      </c>
      <c r="L132" s="32" t="s">
        <v>1240</v>
      </c>
      <c r="M132" s="31">
        <f>2260</f>
        <v>2260</v>
      </c>
      <c r="N132" s="32" t="s">
        <v>1204</v>
      </c>
      <c r="O132" s="31">
        <f>2223</f>
        <v>2223</v>
      </c>
      <c r="P132" s="32" t="s">
        <v>1211</v>
      </c>
      <c r="Q132" s="31">
        <f>2225</f>
        <v>2225</v>
      </c>
      <c r="R132" s="32" t="s">
        <v>1211</v>
      </c>
      <c r="S132" s="33">
        <f>2239.88</f>
        <v>2239.88</v>
      </c>
      <c r="T132" s="30">
        <f>310</f>
        <v>310</v>
      </c>
      <c r="U132" s="30" t="str">
        <f>"－"</f>
        <v>－</v>
      </c>
      <c r="V132" s="30">
        <f>691870</f>
        <v>691870</v>
      </c>
      <c r="W132" s="30" t="str">
        <f>"－"</f>
        <v>－</v>
      </c>
      <c r="X132" s="34">
        <f>4</f>
        <v>4</v>
      </c>
    </row>
    <row r="133" spans="1:24">
      <c r="A133" s="25" t="s">
        <v>1260</v>
      </c>
      <c r="B133" s="25" t="s">
        <v>359</v>
      </c>
      <c r="C133" s="25" t="s">
        <v>360</v>
      </c>
      <c r="D133" s="25" t="s">
        <v>361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611.1</f>
        <v>611.1</v>
      </c>
      <c r="L133" s="32" t="s">
        <v>1240</v>
      </c>
      <c r="M133" s="31">
        <f>646.9</f>
        <v>646.9</v>
      </c>
      <c r="N133" s="32" t="s">
        <v>755</v>
      </c>
      <c r="O133" s="31">
        <f>606.9</f>
        <v>606.9</v>
      </c>
      <c r="P133" s="32" t="s">
        <v>1240</v>
      </c>
      <c r="Q133" s="31">
        <f>644.6</f>
        <v>644.6</v>
      </c>
      <c r="R133" s="32" t="s">
        <v>755</v>
      </c>
      <c r="S133" s="33">
        <f>626.88</f>
        <v>626.88</v>
      </c>
      <c r="T133" s="30">
        <f>52823840</f>
        <v>52823840</v>
      </c>
      <c r="U133" s="30">
        <f>2355600</f>
        <v>2355600</v>
      </c>
      <c r="V133" s="30">
        <f>33141949657</f>
        <v>33141949657</v>
      </c>
      <c r="W133" s="30">
        <f>1490381312</f>
        <v>1490381312</v>
      </c>
      <c r="X133" s="34">
        <f>21</f>
        <v>21</v>
      </c>
    </row>
    <row r="134" spans="1:24">
      <c r="A134" s="25" t="s">
        <v>1260</v>
      </c>
      <c r="B134" s="25" t="s">
        <v>362</v>
      </c>
      <c r="C134" s="25" t="s">
        <v>363</v>
      </c>
      <c r="D134" s="25" t="s">
        <v>364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284.6</f>
        <v>284.60000000000002</v>
      </c>
      <c r="L134" s="32" t="s">
        <v>1240</v>
      </c>
      <c r="M134" s="31">
        <f>292.3</f>
        <v>292.3</v>
      </c>
      <c r="N134" s="32" t="s">
        <v>756</v>
      </c>
      <c r="O134" s="31">
        <f>280.7</f>
        <v>280.7</v>
      </c>
      <c r="P134" s="32" t="s">
        <v>1204</v>
      </c>
      <c r="Q134" s="31">
        <f>288.1</f>
        <v>288.10000000000002</v>
      </c>
      <c r="R134" s="32" t="s">
        <v>755</v>
      </c>
      <c r="S134" s="33">
        <f>286.44</f>
        <v>286.44</v>
      </c>
      <c r="T134" s="30">
        <f>13612720</f>
        <v>13612720</v>
      </c>
      <c r="U134" s="30">
        <f>11872230</f>
        <v>11872230</v>
      </c>
      <c r="V134" s="30">
        <f>3928501208</f>
        <v>3928501208</v>
      </c>
      <c r="W134" s="30">
        <f>3430649112</f>
        <v>3430649112</v>
      </c>
      <c r="X134" s="34">
        <f>21</f>
        <v>21</v>
      </c>
    </row>
    <row r="135" spans="1:24">
      <c r="A135" s="25" t="s">
        <v>1260</v>
      </c>
      <c r="B135" s="25" t="s">
        <v>365</v>
      </c>
      <c r="C135" s="25" t="s">
        <v>945</v>
      </c>
      <c r="D135" s="25" t="s">
        <v>366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</v>
      </c>
      <c r="K135" s="31">
        <f>5170</f>
        <v>5170</v>
      </c>
      <c r="L135" s="32" t="s">
        <v>1240</v>
      </c>
      <c r="M135" s="31">
        <f>5430</f>
        <v>5430</v>
      </c>
      <c r="N135" s="32" t="s">
        <v>755</v>
      </c>
      <c r="O135" s="31">
        <f>5141</f>
        <v>5141</v>
      </c>
      <c r="P135" s="32" t="s">
        <v>1240</v>
      </c>
      <c r="Q135" s="31">
        <f>5404</f>
        <v>5404</v>
      </c>
      <c r="R135" s="32" t="s">
        <v>755</v>
      </c>
      <c r="S135" s="33">
        <f>5282.1</f>
        <v>5282.1</v>
      </c>
      <c r="T135" s="30">
        <f>29933</f>
        <v>29933</v>
      </c>
      <c r="U135" s="30" t="str">
        <f>"－"</f>
        <v>－</v>
      </c>
      <c r="V135" s="30">
        <f>158286013</f>
        <v>158286013</v>
      </c>
      <c r="W135" s="30" t="str">
        <f>"－"</f>
        <v>－</v>
      </c>
      <c r="X135" s="34">
        <f>21</f>
        <v>21</v>
      </c>
    </row>
    <row r="136" spans="1:24">
      <c r="A136" s="25" t="s">
        <v>1260</v>
      </c>
      <c r="B136" s="25" t="s">
        <v>367</v>
      </c>
      <c r="C136" s="25" t="s">
        <v>368</v>
      </c>
      <c r="D136" s="25" t="s">
        <v>369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</v>
      </c>
      <c r="K136" s="31">
        <f>2750</f>
        <v>2750</v>
      </c>
      <c r="L136" s="32" t="s">
        <v>1240</v>
      </c>
      <c r="M136" s="31">
        <f>2966</f>
        <v>2966</v>
      </c>
      <c r="N136" s="32" t="s">
        <v>1075</v>
      </c>
      <c r="O136" s="31">
        <f>2720</f>
        <v>2720</v>
      </c>
      <c r="P136" s="32" t="s">
        <v>1240</v>
      </c>
      <c r="Q136" s="31">
        <f>2919</f>
        <v>2919</v>
      </c>
      <c r="R136" s="32" t="s">
        <v>755</v>
      </c>
      <c r="S136" s="33">
        <f>2845.67</f>
        <v>2845.67</v>
      </c>
      <c r="T136" s="30">
        <f>121725</f>
        <v>121725</v>
      </c>
      <c r="U136" s="30">
        <f>26311</f>
        <v>26311</v>
      </c>
      <c r="V136" s="30">
        <f>344008924</f>
        <v>344008924</v>
      </c>
      <c r="W136" s="30">
        <f>73111051</f>
        <v>73111051</v>
      </c>
      <c r="X136" s="34">
        <f>21</f>
        <v>21</v>
      </c>
    </row>
    <row r="137" spans="1:24">
      <c r="A137" s="25" t="s">
        <v>1260</v>
      </c>
      <c r="B137" s="25" t="s">
        <v>370</v>
      </c>
      <c r="C137" s="25" t="s">
        <v>371</v>
      </c>
      <c r="D137" s="25" t="s">
        <v>372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3046</f>
        <v>3046</v>
      </c>
      <c r="L137" s="32" t="s">
        <v>1240</v>
      </c>
      <c r="M137" s="31">
        <f>3134</f>
        <v>3134</v>
      </c>
      <c r="N137" s="32" t="s">
        <v>663</v>
      </c>
      <c r="O137" s="31">
        <f>3001</f>
        <v>3001</v>
      </c>
      <c r="P137" s="32" t="s">
        <v>1211</v>
      </c>
      <c r="Q137" s="31">
        <f>3027</f>
        <v>3027</v>
      </c>
      <c r="R137" s="32" t="s">
        <v>755</v>
      </c>
      <c r="S137" s="33">
        <f>3058.67</f>
        <v>3058.67</v>
      </c>
      <c r="T137" s="30">
        <f>289418</f>
        <v>289418</v>
      </c>
      <c r="U137" s="30">
        <f>8</f>
        <v>8</v>
      </c>
      <c r="V137" s="30">
        <f>882705034</f>
        <v>882705034</v>
      </c>
      <c r="W137" s="30">
        <f>24265</f>
        <v>24265</v>
      </c>
      <c r="X137" s="34">
        <f>21</f>
        <v>21</v>
      </c>
    </row>
    <row r="138" spans="1:24">
      <c r="A138" s="25" t="s">
        <v>1260</v>
      </c>
      <c r="B138" s="25" t="s">
        <v>373</v>
      </c>
      <c r="C138" s="25" t="s">
        <v>374</v>
      </c>
      <c r="D138" s="25" t="s">
        <v>375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10075</f>
        <v>10075</v>
      </c>
      <c r="L138" s="32" t="s">
        <v>1240</v>
      </c>
      <c r="M138" s="31">
        <f>10470</f>
        <v>10470</v>
      </c>
      <c r="N138" s="32" t="s">
        <v>663</v>
      </c>
      <c r="O138" s="31">
        <f>10030</f>
        <v>10030</v>
      </c>
      <c r="P138" s="32" t="s">
        <v>1204</v>
      </c>
      <c r="Q138" s="31">
        <f>10345</f>
        <v>10345</v>
      </c>
      <c r="R138" s="32" t="s">
        <v>755</v>
      </c>
      <c r="S138" s="33">
        <f>10285.95</f>
        <v>10285.950000000001</v>
      </c>
      <c r="T138" s="30">
        <f>219619</f>
        <v>219619</v>
      </c>
      <c r="U138" s="30">
        <f>132674</f>
        <v>132674</v>
      </c>
      <c r="V138" s="30">
        <f>2266481731</f>
        <v>2266481731</v>
      </c>
      <c r="W138" s="30">
        <f>1370627621</f>
        <v>1370627621</v>
      </c>
      <c r="X138" s="34">
        <f>21</f>
        <v>21</v>
      </c>
    </row>
    <row r="139" spans="1:24">
      <c r="A139" s="25" t="s">
        <v>1260</v>
      </c>
      <c r="B139" s="25" t="s">
        <v>376</v>
      </c>
      <c r="C139" s="25" t="s">
        <v>377</v>
      </c>
      <c r="D139" s="25" t="s">
        <v>378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2679</f>
        <v>2679</v>
      </c>
      <c r="L139" s="32" t="s">
        <v>1240</v>
      </c>
      <c r="M139" s="31">
        <f>3435</f>
        <v>3435</v>
      </c>
      <c r="N139" s="32" t="s">
        <v>756</v>
      </c>
      <c r="O139" s="31">
        <f>2673</f>
        <v>2673</v>
      </c>
      <c r="P139" s="32" t="s">
        <v>1240</v>
      </c>
      <c r="Q139" s="31">
        <f>2887</f>
        <v>2887</v>
      </c>
      <c r="R139" s="32" t="s">
        <v>755</v>
      </c>
      <c r="S139" s="33">
        <f>2961</f>
        <v>2961</v>
      </c>
      <c r="T139" s="30">
        <f>14500777</f>
        <v>14500777</v>
      </c>
      <c r="U139" s="30">
        <f>14699</f>
        <v>14699</v>
      </c>
      <c r="V139" s="30">
        <f>44983659098</f>
        <v>44983659098</v>
      </c>
      <c r="W139" s="30">
        <f>44729497</f>
        <v>44729497</v>
      </c>
      <c r="X139" s="34">
        <f>21</f>
        <v>21</v>
      </c>
    </row>
    <row r="140" spans="1:24">
      <c r="A140" s="25" t="s">
        <v>1260</v>
      </c>
      <c r="B140" s="25" t="s">
        <v>379</v>
      </c>
      <c r="C140" s="25" t="s">
        <v>380</v>
      </c>
      <c r="D140" s="25" t="s">
        <v>381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44250</f>
        <v>44250</v>
      </c>
      <c r="L140" s="32" t="s">
        <v>1240</v>
      </c>
      <c r="M140" s="31">
        <f>46450</f>
        <v>46450</v>
      </c>
      <c r="N140" s="32" t="s">
        <v>739</v>
      </c>
      <c r="O140" s="31">
        <f>43950</f>
        <v>43950</v>
      </c>
      <c r="P140" s="32" t="s">
        <v>755</v>
      </c>
      <c r="Q140" s="31">
        <f>44110</f>
        <v>44110</v>
      </c>
      <c r="R140" s="32" t="s">
        <v>755</v>
      </c>
      <c r="S140" s="33">
        <f>45100.95</f>
        <v>45100.95</v>
      </c>
      <c r="T140" s="30">
        <f>14322</f>
        <v>14322</v>
      </c>
      <c r="U140" s="30" t="str">
        <f>"－"</f>
        <v>－</v>
      </c>
      <c r="V140" s="30">
        <f>645313060</f>
        <v>645313060</v>
      </c>
      <c r="W140" s="30" t="str">
        <f>"－"</f>
        <v>－</v>
      </c>
      <c r="X140" s="34">
        <f>21</f>
        <v>21</v>
      </c>
    </row>
    <row r="141" spans="1:24">
      <c r="A141" s="25" t="s">
        <v>1260</v>
      </c>
      <c r="B141" s="25" t="s">
        <v>382</v>
      </c>
      <c r="C141" s="25" t="s">
        <v>383</v>
      </c>
      <c r="D141" s="25" t="s">
        <v>384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10</v>
      </c>
      <c r="K141" s="31">
        <f>4372</f>
        <v>4372</v>
      </c>
      <c r="L141" s="32" t="s">
        <v>1240</v>
      </c>
      <c r="M141" s="31">
        <f>5368</f>
        <v>5368</v>
      </c>
      <c r="N141" s="32" t="s">
        <v>738</v>
      </c>
      <c r="O141" s="31">
        <f>4332</f>
        <v>4332</v>
      </c>
      <c r="P141" s="32" t="s">
        <v>1240</v>
      </c>
      <c r="Q141" s="31">
        <f>4760</f>
        <v>4760</v>
      </c>
      <c r="R141" s="32" t="s">
        <v>755</v>
      </c>
      <c r="S141" s="33">
        <f>4767.86</f>
        <v>4767.8599999999997</v>
      </c>
      <c r="T141" s="30">
        <f>250020</f>
        <v>250020</v>
      </c>
      <c r="U141" s="30" t="str">
        <f>"－"</f>
        <v>－</v>
      </c>
      <c r="V141" s="30">
        <f>1205487370</f>
        <v>1205487370</v>
      </c>
      <c r="W141" s="30" t="str">
        <f>"－"</f>
        <v>－</v>
      </c>
      <c r="X141" s="34">
        <f>21</f>
        <v>21</v>
      </c>
    </row>
    <row r="142" spans="1:24">
      <c r="A142" s="25" t="s">
        <v>1260</v>
      </c>
      <c r="B142" s="25" t="s">
        <v>385</v>
      </c>
      <c r="C142" s="25" t="s">
        <v>386</v>
      </c>
      <c r="D142" s="25" t="s">
        <v>387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14150</f>
        <v>14150</v>
      </c>
      <c r="L142" s="32" t="s">
        <v>1240</v>
      </c>
      <c r="M142" s="31">
        <f>19250</f>
        <v>19250</v>
      </c>
      <c r="N142" s="32" t="s">
        <v>1075</v>
      </c>
      <c r="O142" s="31">
        <f>13755</f>
        <v>13755</v>
      </c>
      <c r="P142" s="32" t="s">
        <v>1240</v>
      </c>
      <c r="Q142" s="31">
        <f>18195</f>
        <v>18195</v>
      </c>
      <c r="R142" s="32" t="s">
        <v>755</v>
      </c>
      <c r="S142" s="33">
        <f>16440.48</f>
        <v>16440.48</v>
      </c>
      <c r="T142" s="30">
        <f>40678</f>
        <v>40678</v>
      </c>
      <c r="U142" s="30" t="str">
        <f>"－"</f>
        <v>－</v>
      </c>
      <c r="V142" s="30">
        <f>694183380</f>
        <v>694183380</v>
      </c>
      <c r="W142" s="30" t="str">
        <f>"－"</f>
        <v>－</v>
      </c>
      <c r="X142" s="34">
        <f>21</f>
        <v>21</v>
      </c>
    </row>
    <row r="143" spans="1:24">
      <c r="A143" s="25" t="s">
        <v>1260</v>
      </c>
      <c r="B143" s="25" t="s">
        <v>388</v>
      </c>
      <c r="C143" s="25" t="s">
        <v>389</v>
      </c>
      <c r="D143" s="25" t="s">
        <v>390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</v>
      </c>
      <c r="K143" s="31">
        <f>12875</f>
        <v>12875</v>
      </c>
      <c r="L143" s="32" t="s">
        <v>1240</v>
      </c>
      <c r="M143" s="31">
        <f>15620</f>
        <v>15620</v>
      </c>
      <c r="N143" s="32" t="s">
        <v>1075</v>
      </c>
      <c r="O143" s="31">
        <f>12700</f>
        <v>12700</v>
      </c>
      <c r="P143" s="32" t="s">
        <v>1240</v>
      </c>
      <c r="Q143" s="31">
        <f>15100</f>
        <v>15100</v>
      </c>
      <c r="R143" s="32" t="s">
        <v>755</v>
      </c>
      <c r="S143" s="33">
        <f>13924.52</f>
        <v>13924.52</v>
      </c>
      <c r="T143" s="30">
        <f>23521</f>
        <v>23521</v>
      </c>
      <c r="U143" s="30" t="str">
        <f>"－"</f>
        <v>－</v>
      </c>
      <c r="V143" s="30">
        <f>336061185</f>
        <v>336061185</v>
      </c>
      <c r="W143" s="30" t="str">
        <f>"－"</f>
        <v>－</v>
      </c>
      <c r="X143" s="34">
        <f>21</f>
        <v>21</v>
      </c>
    </row>
    <row r="144" spans="1:24">
      <c r="A144" s="25" t="s">
        <v>1260</v>
      </c>
      <c r="B144" s="25" t="s">
        <v>391</v>
      </c>
      <c r="C144" s="25" t="s">
        <v>392</v>
      </c>
      <c r="D144" s="25" t="s">
        <v>393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27885</f>
        <v>27885</v>
      </c>
      <c r="L144" s="32" t="s">
        <v>1240</v>
      </c>
      <c r="M144" s="31">
        <f>32000</f>
        <v>32000</v>
      </c>
      <c r="N144" s="32" t="s">
        <v>738</v>
      </c>
      <c r="O144" s="31">
        <f>26100</f>
        <v>26100</v>
      </c>
      <c r="P144" s="32" t="s">
        <v>1240</v>
      </c>
      <c r="Q144" s="31">
        <f>28390</f>
        <v>28390</v>
      </c>
      <c r="R144" s="32" t="s">
        <v>755</v>
      </c>
      <c r="S144" s="33">
        <f>28725.24</f>
        <v>28725.24</v>
      </c>
      <c r="T144" s="30">
        <f>935</f>
        <v>935</v>
      </c>
      <c r="U144" s="30" t="str">
        <f>"－"</f>
        <v>－</v>
      </c>
      <c r="V144" s="30">
        <f>26692550</f>
        <v>26692550</v>
      </c>
      <c r="W144" s="30" t="str">
        <f>"－"</f>
        <v>－</v>
      </c>
      <c r="X144" s="34">
        <f>21</f>
        <v>21</v>
      </c>
    </row>
    <row r="145" spans="1:24">
      <c r="A145" s="25" t="s">
        <v>1260</v>
      </c>
      <c r="B145" s="25" t="s">
        <v>394</v>
      </c>
      <c r="C145" s="25" t="s">
        <v>395</v>
      </c>
      <c r="D145" s="25" t="s">
        <v>396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10</v>
      </c>
      <c r="K145" s="31">
        <f>54290</f>
        <v>54290</v>
      </c>
      <c r="L145" s="32" t="s">
        <v>1240</v>
      </c>
      <c r="M145" s="31">
        <f>55790</f>
        <v>55790</v>
      </c>
      <c r="N145" s="32" t="s">
        <v>756</v>
      </c>
      <c r="O145" s="31">
        <f>53900</f>
        <v>53900</v>
      </c>
      <c r="P145" s="32" t="s">
        <v>1204</v>
      </c>
      <c r="Q145" s="31">
        <f>55070</f>
        <v>55070</v>
      </c>
      <c r="R145" s="32" t="s">
        <v>755</v>
      </c>
      <c r="S145" s="33">
        <f>54784.5</f>
        <v>54784.5</v>
      </c>
      <c r="T145" s="30">
        <f>2980</f>
        <v>2980</v>
      </c>
      <c r="U145" s="30">
        <f>20</f>
        <v>20</v>
      </c>
      <c r="V145" s="30">
        <f>162779400</f>
        <v>162779400</v>
      </c>
      <c r="W145" s="30">
        <f>1089500</f>
        <v>1089500</v>
      </c>
      <c r="X145" s="34">
        <f>20</f>
        <v>20</v>
      </c>
    </row>
    <row r="146" spans="1:24">
      <c r="A146" s="25" t="s">
        <v>1260</v>
      </c>
      <c r="B146" s="25" t="s">
        <v>397</v>
      </c>
      <c r="C146" s="25" t="s">
        <v>946</v>
      </c>
      <c r="D146" s="25" t="s">
        <v>398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10</v>
      </c>
      <c r="K146" s="31">
        <f>345.4</f>
        <v>345.4</v>
      </c>
      <c r="L146" s="32" t="s">
        <v>1240</v>
      </c>
      <c r="M146" s="31">
        <f>359.9</f>
        <v>359.9</v>
      </c>
      <c r="N146" s="32" t="s">
        <v>755</v>
      </c>
      <c r="O146" s="31">
        <f>322.8</f>
        <v>322.8</v>
      </c>
      <c r="P146" s="32" t="s">
        <v>1211</v>
      </c>
      <c r="Q146" s="31">
        <f>355.2</f>
        <v>355.2</v>
      </c>
      <c r="R146" s="32" t="s">
        <v>755</v>
      </c>
      <c r="S146" s="33">
        <f>347.58</f>
        <v>347.58</v>
      </c>
      <c r="T146" s="30">
        <f>28991390</f>
        <v>28991390</v>
      </c>
      <c r="U146" s="30">
        <f>122470</f>
        <v>122470</v>
      </c>
      <c r="V146" s="30">
        <f>10059190007</f>
        <v>10059190007</v>
      </c>
      <c r="W146" s="30">
        <f>42712107</f>
        <v>42712107</v>
      </c>
      <c r="X146" s="34">
        <f>21</f>
        <v>21</v>
      </c>
    </row>
    <row r="147" spans="1:24">
      <c r="A147" s="25" t="s">
        <v>1260</v>
      </c>
      <c r="B147" s="25" t="s">
        <v>399</v>
      </c>
      <c r="C147" s="25" t="s">
        <v>947</v>
      </c>
      <c r="D147" s="25" t="s">
        <v>400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49650</f>
        <v>49650</v>
      </c>
      <c r="L147" s="32" t="s">
        <v>1240</v>
      </c>
      <c r="M147" s="31">
        <f>52050</f>
        <v>52050</v>
      </c>
      <c r="N147" s="32" t="s">
        <v>755</v>
      </c>
      <c r="O147" s="31">
        <f>49360</f>
        <v>49360</v>
      </c>
      <c r="P147" s="32" t="s">
        <v>1204</v>
      </c>
      <c r="Q147" s="31">
        <f>52040</f>
        <v>52040</v>
      </c>
      <c r="R147" s="32" t="s">
        <v>755</v>
      </c>
      <c r="S147" s="33">
        <f>50488.75</f>
        <v>50488.75</v>
      </c>
      <c r="T147" s="30">
        <f>660</f>
        <v>660</v>
      </c>
      <c r="U147" s="30" t="str">
        <f>"－"</f>
        <v>－</v>
      </c>
      <c r="V147" s="30">
        <f>33396100</f>
        <v>33396100</v>
      </c>
      <c r="W147" s="30" t="str">
        <f>"－"</f>
        <v>－</v>
      </c>
      <c r="X147" s="34">
        <f>16</f>
        <v>16</v>
      </c>
    </row>
    <row r="148" spans="1:24">
      <c r="A148" s="25" t="s">
        <v>1260</v>
      </c>
      <c r="B148" s="25" t="s">
        <v>401</v>
      </c>
      <c r="C148" s="25" t="s">
        <v>402</v>
      </c>
      <c r="D148" s="25" t="s">
        <v>948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</v>
      </c>
      <c r="K148" s="31">
        <f>5900</f>
        <v>5900</v>
      </c>
      <c r="L148" s="32" t="s">
        <v>1240</v>
      </c>
      <c r="M148" s="31">
        <f>6216</f>
        <v>6216</v>
      </c>
      <c r="N148" s="32" t="s">
        <v>755</v>
      </c>
      <c r="O148" s="31">
        <f>5870</f>
        <v>5870</v>
      </c>
      <c r="P148" s="32" t="s">
        <v>1240</v>
      </c>
      <c r="Q148" s="31">
        <f>6195</f>
        <v>6195</v>
      </c>
      <c r="R148" s="32" t="s">
        <v>755</v>
      </c>
      <c r="S148" s="33">
        <f>6037.9</f>
        <v>6037.9</v>
      </c>
      <c r="T148" s="30">
        <f>92449</f>
        <v>92449</v>
      </c>
      <c r="U148" s="30" t="str">
        <f>"－"</f>
        <v>－</v>
      </c>
      <c r="V148" s="30">
        <f>561898317</f>
        <v>561898317</v>
      </c>
      <c r="W148" s="30" t="str">
        <f>"－"</f>
        <v>－</v>
      </c>
      <c r="X148" s="34">
        <f>21</f>
        <v>21</v>
      </c>
    </row>
    <row r="149" spans="1:24">
      <c r="A149" s="25" t="s">
        <v>1260</v>
      </c>
      <c r="B149" s="25" t="s">
        <v>403</v>
      </c>
      <c r="C149" s="25" t="s">
        <v>949</v>
      </c>
      <c r="D149" s="25" t="s">
        <v>950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</v>
      </c>
      <c r="K149" s="31">
        <f>2082</f>
        <v>2082</v>
      </c>
      <c r="L149" s="32" t="s">
        <v>1240</v>
      </c>
      <c r="M149" s="31">
        <f>2229</f>
        <v>2229</v>
      </c>
      <c r="N149" s="32" t="s">
        <v>1210</v>
      </c>
      <c r="O149" s="31">
        <f>2046</f>
        <v>2046</v>
      </c>
      <c r="P149" s="32" t="s">
        <v>1240</v>
      </c>
      <c r="Q149" s="31">
        <f>2207</f>
        <v>2207</v>
      </c>
      <c r="R149" s="32" t="s">
        <v>755</v>
      </c>
      <c r="S149" s="33">
        <f>2150.24</f>
        <v>2150.2399999999998</v>
      </c>
      <c r="T149" s="30">
        <f>121069</f>
        <v>121069</v>
      </c>
      <c r="U149" s="30">
        <f>1</f>
        <v>1</v>
      </c>
      <c r="V149" s="30">
        <f>262967906</f>
        <v>262967906</v>
      </c>
      <c r="W149" s="30">
        <f>2198</f>
        <v>2198</v>
      </c>
      <c r="X149" s="34">
        <f>21</f>
        <v>21</v>
      </c>
    </row>
    <row r="150" spans="1:24">
      <c r="A150" s="25" t="s">
        <v>1260</v>
      </c>
      <c r="B150" s="25" t="s">
        <v>404</v>
      </c>
      <c r="C150" s="25" t="s">
        <v>405</v>
      </c>
      <c r="D150" s="25" t="s">
        <v>406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10</v>
      </c>
      <c r="K150" s="31">
        <f>1670</f>
        <v>1670</v>
      </c>
      <c r="L150" s="32" t="s">
        <v>1240</v>
      </c>
      <c r="M150" s="31">
        <f>1828</f>
        <v>1828</v>
      </c>
      <c r="N150" s="32" t="s">
        <v>1206</v>
      </c>
      <c r="O150" s="31">
        <f>1657.5</f>
        <v>1657.5</v>
      </c>
      <c r="P150" s="32" t="s">
        <v>1212</v>
      </c>
      <c r="Q150" s="31">
        <f>1767.5</f>
        <v>1767.5</v>
      </c>
      <c r="R150" s="32" t="s">
        <v>755</v>
      </c>
      <c r="S150" s="33">
        <f>1722.92</f>
        <v>1722.92</v>
      </c>
      <c r="T150" s="30">
        <f>2470</f>
        <v>2470</v>
      </c>
      <c r="U150" s="30" t="str">
        <f t="shared" ref="U150:U163" si="0">"－"</f>
        <v>－</v>
      </c>
      <c r="V150" s="30">
        <f>4248580</f>
        <v>4248580</v>
      </c>
      <c r="W150" s="30" t="str">
        <f t="shared" ref="W150:W163" si="1">"－"</f>
        <v>－</v>
      </c>
      <c r="X150" s="34">
        <f>13</f>
        <v>13</v>
      </c>
    </row>
    <row r="151" spans="1:24">
      <c r="A151" s="25" t="s">
        <v>1260</v>
      </c>
      <c r="B151" s="25" t="s">
        <v>407</v>
      </c>
      <c r="C151" s="25" t="s">
        <v>408</v>
      </c>
      <c r="D151" s="25" t="s">
        <v>409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10</v>
      </c>
      <c r="K151" s="31">
        <f>481</f>
        <v>481</v>
      </c>
      <c r="L151" s="32" t="s">
        <v>1240</v>
      </c>
      <c r="M151" s="31">
        <f>599.9</f>
        <v>599.9</v>
      </c>
      <c r="N151" s="32" t="s">
        <v>756</v>
      </c>
      <c r="O151" s="31">
        <f>481</f>
        <v>481</v>
      </c>
      <c r="P151" s="32" t="s">
        <v>1240</v>
      </c>
      <c r="Q151" s="31">
        <f>507.6</f>
        <v>507.6</v>
      </c>
      <c r="R151" s="32" t="s">
        <v>755</v>
      </c>
      <c r="S151" s="33">
        <f>523.6</f>
        <v>523.6</v>
      </c>
      <c r="T151" s="30">
        <f>55850</f>
        <v>55850</v>
      </c>
      <c r="U151" s="30" t="str">
        <f t="shared" si="0"/>
        <v>－</v>
      </c>
      <c r="V151" s="30">
        <f>30115123</f>
        <v>30115123</v>
      </c>
      <c r="W151" s="30" t="str">
        <f t="shared" si="1"/>
        <v>－</v>
      </c>
      <c r="X151" s="34">
        <f>20</f>
        <v>20</v>
      </c>
    </row>
    <row r="152" spans="1:24">
      <c r="A152" s="25" t="s">
        <v>1260</v>
      </c>
      <c r="B152" s="25" t="s">
        <v>410</v>
      </c>
      <c r="C152" s="25" t="s">
        <v>411</v>
      </c>
      <c r="D152" s="25" t="s">
        <v>412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2200</f>
        <v>2200</v>
      </c>
      <c r="L152" s="32" t="s">
        <v>1240</v>
      </c>
      <c r="M152" s="31">
        <f>2343</f>
        <v>2343</v>
      </c>
      <c r="N152" s="32" t="s">
        <v>1085</v>
      </c>
      <c r="O152" s="31">
        <f>2150</f>
        <v>2150</v>
      </c>
      <c r="P152" s="32" t="s">
        <v>1208</v>
      </c>
      <c r="Q152" s="31">
        <f>2295</f>
        <v>2295</v>
      </c>
      <c r="R152" s="32" t="s">
        <v>755</v>
      </c>
      <c r="S152" s="33">
        <f>2260.63</f>
        <v>2260.63</v>
      </c>
      <c r="T152" s="30">
        <f>1350</f>
        <v>1350</v>
      </c>
      <c r="U152" s="30" t="str">
        <f t="shared" si="0"/>
        <v>－</v>
      </c>
      <c r="V152" s="30">
        <f>3064220</f>
        <v>3064220</v>
      </c>
      <c r="W152" s="30" t="str">
        <f t="shared" si="1"/>
        <v>－</v>
      </c>
      <c r="X152" s="34">
        <f>15</f>
        <v>15</v>
      </c>
    </row>
    <row r="153" spans="1:24">
      <c r="A153" s="25" t="s">
        <v>1260</v>
      </c>
      <c r="B153" s="25" t="s">
        <v>413</v>
      </c>
      <c r="C153" s="25" t="s">
        <v>414</v>
      </c>
      <c r="D153" s="25" t="s">
        <v>415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869</f>
        <v>869</v>
      </c>
      <c r="L153" s="32" t="s">
        <v>1240</v>
      </c>
      <c r="M153" s="31">
        <f>942.5</f>
        <v>942.5</v>
      </c>
      <c r="N153" s="32" t="s">
        <v>1205</v>
      </c>
      <c r="O153" s="31">
        <f>848.5</f>
        <v>848.5</v>
      </c>
      <c r="P153" s="32" t="s">
        <v>1075</v>
      </c>
      <c r="Q153" s="31">
        <f>851.1</f>
        <v>851.1</v>
      </c>
      <c r="R153" s="32" t="s">
        <v>755</v>
      </c>
      <c r="S153" s="33">
        <f>875.89</f>
        <v>875.89</v>
      </c>
      <c r="T153" s="30">
        <f>24780</f>
        <v>24780</v>
      </c>
      <c r="U153" s="30" t="str">
        <f t="shared" si="0"/>
        <v>－</v>
      </c>
      <c r="V153" s="30">
        <f>21733211</f>
        <v>21733211</v>
      </c>
      <c r="W153" s="30" t="str">
        <f t="shared" si="1"/>
        <v>－</v>
      </c>
      <c r="X153" s="34">
        <f>21</f>
        <v>21</v>
      </c>
    </row>
    <row r="154" spans="1:24">
      <c r="A154" s="25" t="s">
        <v>1260</v>
      </c>
      <c r="B154" s="25" t="s">
        <v>416</v>
      </c>
      <c r="C154" s="25" t="s">
        <v>417</v>
      </c>
      <c r="D154" s="25" t="s">
        <v>418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491</f>
        <v>491</v>
      </c>
      <c r="L154" s="32" t="s">
        <v>1240</v>
      </c>
      <c r="M154" s="31">
        <f>520</f>
        <v>520</v>
      </c>
      <c r="N154" s="32" t="s">
        <v>1207</v>
      </c>
      <c r="O154" s="31">
        <f>478.1</f>
        <v>478.1</v>
      </c>
      <c r="P154" s="32" t="s">
        <v>1075</v>
      </c>
      <c r="Q154" s="31">
        <f>480.8</f>
        <v>480.8</v>
      </c>
      <c r="R154" s="32" t="s">
        <v>755</v>
      </c>
      <c r="S154" s="33">
        <f>494.44</f>
        <v>494.44</v>
      </c>
      <c r="T154" s="30">
        <f>147960</f>
        <v>147960</v>
      </c>
      <c r="U154" s="30" t="str">
        <f t="shared" si="0"/>
        <v>－</v>
      </c>
      <c r="V154" s="30">
        <f>73716177</f>
        <v>73716177</v>
      </c>
      <c r="W154" s="30" t="str">
        <f t="shared" si="1"/>
        <v>－</v>
      </c>
      <c r="X154" s="34">
        <f>21</f>
        <v>21</v>
      </c>
    </row>
    <row r="155" spans="1:24">
      <c r="A155" s="25" t="s">
        <v>1260</v>
      </c>
      <c r="B155" s="25" t="s">
        <v>419</v>
      </c>
      <c r="C155" s="25" t="s">
        <v>420</v>
      </c>
      <c r="D155" s="25" t="s">
        <v>421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</v>
      </c>
      <c r="K155" s="31">
        <f>1185</f>
        <v>1185</v>
      </c>
      <c r="L155" s="32" t="s">
        <v>1240</v>
      </c>
      <c r="M155" s="31">
        <f>1384</f>
        <v>1384</v>
      </c>
      <c r="N155" s="32" t="s">
        <v>1081</v>
      </c>
      <c r="O155" s="31">
        <f>1178</f>
        <v>1178</v>
      </c>
      <c r="P155" s="32" t="s">
        <v>1240</v>
      </c>
      <c r="Q155" s="31">
        <f>1212</f>
        <v>1212</v>
      </c>
      <c r="R155" s="32" t="s">
        <v>755</v>
      </c>
      <c r="S155" s="33">
        <f>1249.1</f>
        <v>1249.0999999999999</v>
      </c>
      <c r="T155" s="30">
        <f>790595</f>
        <v>790595</v>
      </c>
      <c r="U155" s="30" t="str">
        <f t="shared" si="0"/>
        <v>－</v>
      </c>
      <c r="V155" s="30">
        <f>995686388</f>
        <v>995686388</v>
      </c>
      <c r="W155" s="30" t="str">
        <f t="shared" si="1"/>
        <v>－</v>
      </c>
      <c r="X155" s="34">
        <f>21</f>
        <v>21</v>
      </c>
    </row>
    <row r="156" spans="1:24">
      <c r="A156" s="25" t="s">
        <v>1260</v>
      </c>
      <c r="B156" s="25" t="s">
        <v>422</v>
      </c>
      <c r="C156" s="25" t="s">
        <v>423</v>
      </c>
      <c r="D156" s="25" t="s">
        <v>424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1261</f>
        <v>1261</v>
      </c>
      <c r="L156" s="32" t="s">
        <v>1240</v>
      </c>
      <c r="M156" s="31">
        <f>1898</f>
        <v>1898</v>
      </c>
      <c r="N156" s="32" t="s">
        <v>756</v>
      </c>
      <c r="O156" s="31">
        <f>1261</f>
        <v>1261</v>
      </c>
      <c r="P156" s="32" t="s">
        <v>1240</v>
      </c>
      <c r="Q156" s="31">
        <f>1343</f>
        <v>1343</v>
      </c>
      <c r="R156" s="32" t="s">
        <v>755</v>
      </c>
      <c r="S156" s="33">
        <f>1387.64</f>
        <v>1387.64</v>
      </c>
      <c r="T156" s="30">
        <f>177730</f>
        <v>177730</v>
      </c>
      <c r="U156" s="30" t="str">
        <f t="shared" si="0"/>
        <v>－</v>
      </c>
      <c r="V156" s="30">
        <f>259582795</f>
        <v>259582795</v>
      </c>
      <c r="W156" s="30" t="str">
        <f t="shared" si="1"/>
        <v>－</v>
      </c>
      <c r="X156" s="34">
        <f>21</f>
        <v>21</v>
      </c>
    </row>
    <row r="157" spans="1:24">
      <c r="A157" s="25" t="s">
        <v>1260</v>
      </c>
      <c r="B157" s="25" t="s">
        <v>425</v>
      </c>
      <c r="C157" s="25" t="s">
        <v>426</v>
      </c>
      <c r="D157" s="25" t="s">
        <v>427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7021</f>
        <v>7021</v>
      </c>
      <c r="L157" s="32" t="s">
        <v>1240</v>
      </c>
      <c r="M157" s="31">
        <f>8669</f>
        <v>8669</v>
      </c>
      <c r="N157" s="32" t="s">
        <v>738</v>
      </c>
      <c r="O157" s="31">
        <f>6950</f>
        <v>6950</v>
      </c>
      <c r="P157" s="32" t="s">
        <v>1209</v>
      </c>
      <c r="Q157" s="31">
        <f>7350</f>
        <v>7350</v>
      </c>
      <c r="R157" s="32" t="s">
        <v>755</v>
      </c>
      <c r="S157" s="33">
        <f>7478.48</f>
        <v>7478.48</v>
      </c>
      <c r="T157" s="30">
        <f>11848</f>
        <v>11848</v>
      </c>
      <c r="U157" s="30" t="str">
        <f t="shared" si="0"/>
        <v>－</v>
      </c>
      <c r="V157" s="30">
        <f>94117981</f>
        <v>94117981</v>
      </c>
      <c r="W157" s="30" t="str">
        <f t="shared" si="1"/>
        <v>－</v>
      </c>
      <c r="X157" s="34">
        <f>21</f>
        <v>21</v>
      </c>
    </row>
    <row r="158" spans="1:24">
      <c r="A158" s="25" t="s">
        <v>1260</v>
      </c>
      <c r="B158" s="25" t="s">
        <v>428</v>
      </c>
      <c r="C158" s="25" t="s">
        <v>429</v>
      </c>
      <c r="D158" s="25" t="s">
        <v>430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100</v>
      </c>
      <c r="K158" s="31">
        <f>464.1</f>
        <v>464.1</v>
      </c>
      <c r="L158" s="32" t="s">
        <v>1240</v>
      </c>
      <c r="M158" s="31">
        <f>499.5</f>
        <v>499.5</v>
      </c>
      <c r="N158" s="32" t="s">
        <v>1075</v>
      </c>
      <c r="O158" s="31">
        <f>451.9</f>
        <v>451.9</v>
      </c>
      <c r="P158" s="32" t="s">
        <v>738</v>
      </c>
      <c r="Q158" s="31">
        <f>480</f>
        <v>480</v>
      </c>
      <c r="R158" s="32" t="s">
        <v>755</v>
      </c>
      <c r="S158" s="33">
        <f>472.01</f>
        <v>472.01</v>
      </c>
      <c r="T158" s="30">
        <f>48200</f>
        <v>48200</v>
      </c>
      <c r="U158" s="30" t="str">
        <f t="shared" si="0"/>
        <v>－</v>
      </c>
      <c r="V158" s="30">
        <f>23095150</f>
        <v>23095150</v>
      </c>
      <c r="W158" s="30" t="str">
        <f t="shared" si="1"/>
        <v>－</v>
      </c>
      <c r="X158" s="34">
        <f>21</f>
        <v>21</v>
      </c>
    </row>
    <row r="159" spans="1:24">
      <c r="A159" s="25" t="s">
        <v>1260</v>
      </c>
      <c r="B159" s="25" t="s">
        <v>431</v>
      </c>
      <c r="C159" s="25" t="s">
        <v>432</v>
      </c>
      <c r="D159" s="25" t="s">
        <v>433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10</v>
      </c>
      <c r="K159" s="31">
        <f>6117</f>
        <v>6117</v>
      </c>
      <c r="L159" s="32" t="s">
        <v>1240</v>
      </c>
      <c r="M159" s="31">
        <f>6573</f>
        <v>6573</v>
      </c>
      <c r="N159" s="32" t="s">
        <v>1075</v>
      </c>
      <c r="O159" s="31">
        <f>6018</f>
        <v>6018</v>
      </c>
      <c r="P159" s="32" t="s">
        <v>1204</v>
      </c>
      <c r="Q159" s="31">
        <f>6526</f>
        <v>6526</v>
      </c>
      <c r="R159" s="32" t="s">
        <v>755</v>
      </c>
      <c r="S159" s="33">
        <f>6277.14</f>
        <v>6277.14</v>
      </c>
      <c r="T159" s="30">
        <f>98050</f>
        <v>98050</v>
      </c>
      <c r="U159" s="30" t="str">
        <f t="shared" si="0"/>
        <v>－</v>
      </c>
      <c r="V159" s="30">
        <f>614641620</f>
        <v>614641620</v>
      </c>
      <c r="W159" s="30" t="str">
        <f t="shared" si="1"/>
        <v>－</v>
      </c>
      <c r="X159" s="34">
        <f>21</f>
        <v>21</v>
      </c>
    </row>
    <row r="160" spans="1:24">
      <c r="A160" s="25" t="s">
        <v>1260</v>
      </c>
      <c r="B160" s="25" t="s">
        <v>434</v>
      </c>
      <c r="C160" s="25" t="s">
        <v>435</v>
      </c>
      <c r="D160" s="25" t="s">
        <v>436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</v>
      </c>
      <c r="K160" s="31">
        <f>1948.5</f>
        <v>1948.5</v>
      </c>
      <c r="L160" s="32" t="s">
        <v>1240</v>
      </c>
      <c r="M160" s="31">
        <f>2019.5</f>
        <v>2019.5</v>
      </c>
      <c r="N160" s="32" t="s">
        <v>756</v>
      </c>
      <c r="O160" s="31">
        <f>1921</f>
        <v>1921</v>
      </c>
      <c r="P160" s="32" t="s">
        <v>1085</v>
      </c>
      <c r="Q160" s="31">
        <f>1959.5</f>
        <v>1959.5</v>
      </c>
      <c r="R160" s="32" t="s">
        <v>755</v>
      </c>
      <c r="S160" s="33">
        <f>1979.24</f>
        <v>1979.24</v>
      </c>
      <c r="T160" s="30">
        <f>5200</f>
        <v>5200</v>
      </c>
      <c r="U160" s="30" t="str">
        <f t="shared" si="0"/>
        <v>－</v>
      </c>
      <c r="V160" s="30">
        <f>10237880</f>
        <v>10237880</v>
      </c>
      <c r="W160" s="30" t="str">
        <f t="shared" si="1"/>
        <v>－</v>
      </c>
      <c r="X160" s="34">
        <f>21</f>
        <v>21</v>
      </c>
    </row>
    <row r="161" spans="1:24">
      <c r="A161" s="25" t="s">
        <v>1260</v>
      </c>
      <c r="B161" s="25" t="s">
        <v>437</v>
      </c>
      <c r="C161" s="25" t="s">
        <v>438</v>
      </c>
      <c r="D161" s="25" t="s">
        <v>439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</v>
      </c>
      <c r="K161" s="31">
        <f>2795</f>
        <v>2795</v>
      </c>
      <c r="L161" s="32" t="s">
        <v>1240</v>
      </c>
      <c r="M161" s="31">
        <f>3044</f>
        <v>3044</v>
      </c>
      <c r="N161" s="32" t="s">
        <v>756</v>
      </c>
      <c r="O161" s="31">
        <f>2721</f>
        <v>2721</v>
      </c>
      <c r="P161" s="32" t="s">
        <v>1211</v>
      </c>
      <c r="Q161" s="31">
        <f>2757</f>
        <v>2757</v>
      </c>
      <c r="R161" s="32" t="s">
        <v>755</v>
      </c>
      <c r="S161" s="33">
        <f>2852.76</f>
        <v>2852.76</v>
      </c>
      <c r="T161" s="30">
        <f>290434</f>
        <v>290434</v>
      </c>
      <c r="U161" s="30" t="str">
        <f t="shared" si="0"/>
        <v>－</v>
      </c>
      <c r="V161" s="30">
        <f>829696682</f>
        <v>829696682</v>
      </c>
      <c r="W161" s="30" t="str">
        <f t="shared" si="1"/>
        <v>－</v>
      </c>
      <c r="X161" s="34">
        <f>21</f>
        <v>21</v>
      </c>
    </row>
    <row r="162" spans="1:24">
      <c r="A162" s="25" t="s">
        <v>1260</v>
      </c>
      <c r="B162" s="25" t="s">
        <v>440</v>
      </c>
      <c r="C162" s="25" t="s">
        <v>441</v>
      </c>
      <c r="D162" s="25" t="s">
        <v>442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</v>
      </c>
      <c r="K162" s="31">
        <f>2871</f>
        <v>2871</v>
      </c>
      <c r="L162" s="32" t="s">
        <v>1240</v>
      </c>
      <c r="M162" s="31">
        <f>2927</f>
        <v>2927</v>
      </c>
      <c r="N162" s="32" t="s">
        <v>1085</v>
      </c>
      <c r="O162" s="31">
        <f>2706</f>
        <v>2706</v>
      </c>
      <c r="P162" s="32" t="s">
        <v>1075</v>
      </c>
      <c r="Q162" s="31">
        <f>2730</f>
        <v>2730</v>
      </c>
      <c r="R162" s="32" t="s">
        <v>755</v>
      </c>
      <c r="S162" s="33">
        <f>2824.24</f>
        <v>2824.24</v>
      </c>
      <c r="T162" s="30">
        <f>59345</f>
        <v>59345</v>
      </c>
      <c r="U162" s="30" t="str">
        <f t="shared" si="0"/>
        <v>－</v>
      </c>
      <c r="V162" s="30">
        <f>165966715</f>
        <v>165966715</v>
      </c>
      <c r="W162" s="30" t="str">
        <f t="shared" si="1"/>
        <v>－</v>
      </c>
      <c r="X162" s="34">
        <f>21</f>
        <v>21</v>
      </c>
    </row>
    <row r="163" spans="1:24">
      <c r="A163" s="25" t="s">
        <v>1260</v>
      </c>
      <c r="B163" s="25" t="s">
        <v>443</v>
      </c>
      <c r="C163" s="25" t="s">
        <v>444</v>
      </c>
      <c r="D163" s="25" t="s">
        <v>445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10</v>
      </c>
      <c r="K163" s="31">
        <f>3640</f>
        <v>3640</v>
      </c>
      <c r="L163" s="32" t="s">
        <v>1240</v>
      </c>
      <c r="M163" s="31">
        <f>3865</f>
        <v>3865</v>
      </c>
      <c r="N163" s="32" t="s">
        <v>756</v>
      </c>
      <c r="O163" s="31">
        <f>3565</f>
        <v>3565</v>
      </c>
      <c r="P163" s="32" t="s">
        <v>1204</v>
      </c>
      <c r="Q163" s="31">
        <f>3660</f>
        <v>3660</v>
      </c>
      <c r="R163" s="32" t="s">
        <v>755</v>
      </c>
      <c r="S163" s="33">
        <f>3702.52</f>
        <v>3702.52</v>
      </c>
      <c r="T163" s="30">
        <f>12720</f>
        <v>12720</v>
      </c>
      <c r="U163" s="30" t="str">
        <f t="shared" si="0"/>
        <v>－</v>
      </c>
      <c r="V163" s="30">
        <f>47179720</f>
        <v>47179720</v>
      </c>
      <c r="W163" s="30" t="str">
        <f t="shared" si="1"/>
        <v>－</v>
      </c>
      <c r="X163" s="34">
        <f>21</f>
        <v>21</v>
      </c>
    </row>
    <row r="164" spans="1:24">
      <c r="A164" s="25" t="s">
        <v>1260</v>
      </c>
      <c r="B164" s="25" t="s">
        <v>446</v>
      </c>
      <c r="C164" s="25" t="s">
        <v>447</v>
      </c>
      <c r="D164" s="25" t="s">
        <v>951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</v>
      </c>
      <c r="K164" s="31">
        <f>3062</f>
        <v>3062</v>
      </c>
      <c r="L164" s="32" t="s">
        <v>1240</v>
      </c>
      <c r="M164" s="31">
        <f>3076</f>
        <v>3076</v>
      </c>
      <c r="N164" s="32" t="s">
        <v>755</v>
      </c>
      <c r="O164" s="31">
        <f>3000</f>
        <v>3000</v>
      </c>
      <c r="P164" s="32" t="s">
        <v>1212</v>
      </c>
      <c r="Q164" s="31">
        <f>3066</f>
        <v>3066</v>
      </c>
      <c r="R164" s="32" t="s">
        <v>755</v>
      </c>
      <c r="S164" s="33">
        <f>3036.1</f>
        <v>3036.1</v>
      </c>
      <c r="T164" s="30">
        <f>320412</f>
        <v>320412</v>
      </c>
      <c r="U164" s="30">
        <f>136355</f>
        <v>136355</v>
      </c>
      <c r="V164" s="30">
        <f>970992361</f>
        <v>970992361</v>
      </c>
      <c r="W164" s="30">
        <f>412390297</f>
        <v>412390297</v>
      </c>
      <c r="X164" s="34">
        <f>21</f>
        <v>21</v>
      </c>
    </row>
    <row r="165" spans="1:24">
      <c r="A165" s="25" t="s">
        <v>1260</v>
      </c>
      <c r="B165" s="25" t="s">
        <v>448</v>
      </c>
      <c r="C165" s="25" t="s">
        <v>952</v>
      </c>
      <c r="D165" s="25" t="s">
        <v>953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348.2</f>
        <v>348.2</v>
      </c>
      <c r="L165" s="32" t="s">
        <v>1240</v>
      </c>
      <c r="M165" s="31">
        <f>432.4</f>
        <v>432.4</v>
      </c>
      <c r="N165" s="32" t="s">
        <v>756</v>
      </c>
      <c r="O165" s="31">
        <f>347.4</f>
        <v>347.4</v>
      </c>
      <c r="P165" s="32" t="s">
        <v>1240</v>
      </c>
      <c r="Q165" s="31">
        <f>368.4</f>
        <v>368.4</v>
      </c>
      <c r="R165" s="32" t="s">
        <v>755</v>
      </c>
      <c r="S165" s="33">
        <f>380.1</f>
        <v>380.1</v>
      </c>
      <c r="T165" s="30">
        <f>38159690</f>
        <v>38159690</v>
      </c>
      <c r="U165" s="30">
        <f>408430</f>
        <v>408430</v>
      </c>
      <c r="V165" s="30">
        <f>15165297193</f>
        <v>15165297193</v>
      </c>
      <c r="W165" s="30">
        <f>165109676</f>
        <v>165109676</v>
      </c>
      <c r="X165" s="34">
        <f>21</f>
        <v>21</v>
      </c>
    </row>
    <row r="166" spans="1:24">
      <c r="A166" s="25" t="s">
        <v>1260</v>
      </c>
      <c r="B166" s="25" t="s">
        <v>1088</v>
      </c>
      <c r="C166" s="25" t="s">
        <v>1087</v>
      </c>
      <c r="D166" s="25" t="s">
        <v>1086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2010</f>
        <v>2010</v>
      </c>
      <c r="L166" s="32" t="s">
        <v>1240</v>
      </c>
      <c r="M166" s="31">
        <f>2074</f>
        <v>2074</v>
      </c>
      <c r="N166" s="32" t="s">
        <v>755</v>
      </c>
      <c r="O166" s="31">
        <f>1990</f>
        <v>1990</v>
      </c>
      <c r="P166" s="32" t="s">
        <v>1211</v>
      </c>
      <c r="Q166" s="31">
        <f>2070</f>
        <v>2070</v>
      </c>
      <c r="R166" s="32" t="s">
        <v>755</v>
      </c>
      <c r="S166" s="33">
        <f>2016.43</f>
        <v>2016.43</v>
      </c>
      <c r="T166" s="30">
        <f>8136</f>
        <v>8136</v>
      </c>
      <c r="U166" s="30" t="str">
        <f>"－"</f>
        <v>－</v>
      </c>
      <c r="V166" s="30">
        <f>16418536</f>
        <v>16418536</v>
      </c>
      <c r="W166" s="30" t="str">
        <f>"－"</f>
        <v>－</v>
      </c>
      <c r="X166" s="34">
        <f>21</f>
        <v>21</v>
      </c>
    </row>
    <row r="167" spans="1:24">
      <c r="A167" s="25" t="s">
        <v>1260</v>
      </c>
      <c r="B167" s="25" t="s">
        <v>1098</v>
      </c>
      <c r="C167" s="25" t="s">
        <v>1099</v>
      </c>
      <c r="D167" s="25" t="s">
        <v>1100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</v>
      </c>
      <c r="K167" s="31">
        <f>1093</f>
        <v>1093</v>
      </c>
      <c r="L167" s="32" t="s">
        <v>1240</v>
      </c>
      <c r="M167" s="31">
        <f>1191</f>
        <v>1191</v>
      </c>
      <c r="N167" s="32" t="s">
        <v>755</v>
      </c>
      <c r="O167" s="31">
        <f>1078</f>
        <v>1078</v>
      </c>
      <c r="P167" s="32" t="s">
        <v>1240</v>
      </c>
      <c r="Q167" s="31">
        <f>1185</f>
        <v>1185</v>
      </c>
      <c r="R167" s="32" t="s">
        <v>755</v>
      </c>
      <c r="S167" s="33">
        <f>1144.71</f>
        <v>1144.71</v>
      </c>
      <c r="T167" s="30">
        <f>1028530</f>
        <v>1028530</v>
      </c>
      <c r="U167" s="30">
        <f>221</f>
        <v>221</v>
      </c>
      <c r="V167" s="30">
        <f>1177372787</f>
        <v>1177372787</v>
      </c>
      <c r="W167" s="30">
        <f>256791</f>
        <v>256791</v>
      </c>
      <c r="X167" s="34">
        <f>21</f>
        <v>21</v>
      </c>
    </row>
    <row r="168" spans="1:24">
      <c r="A168" s="25" t="s">
        <v>1260</v>
      </c>
      <c r="B168" s="25" t="s">
        <v>1101</v>
      </c>
      <c r="C168" s="25" t="s">
        <v>1102</v>
      </c>
      <c r="D168" s="25" t="s">
        <v>1103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10</v>
      </c>
      <c r="K168" s="31">
        <f>263.5</f>
        <v>263.5</v>
      </c>
      <c r="L168" s="32" t="s">
        <v>1240</v>
      </c>
      <c r="M168" s="31">
        <f>269.2</f>
        <v>269.2</v>
      </c>
      <c r="N168" s="32" t="s">
        <v>1075</v>
      </c>
      <c r="O168" s="31">
        <f>260.4</f>
        <v>260.39999999999998</v>
      </c>
      <c r="P168" s="32" t="s">
        <v>852</v>
      </c>
      <c r="Q168" s="31">
        <f>267</f>
        <v>267</v>
      </c>
      <c r="R168" s="32" t="s">
        <v>755</v>
      </c>
      <c r="S168" s="33">
        <f>264.41</f>
        <v>264.41000000000003</v>
      </c>
      <c r="T168" s="30">
        <f>1219250</f>
        <v>1219250</v>
      </c>
      <c r="U168" s="30">
        <f>100</f>
        <v>100</v>
      </c>
      <c r="V168" s="30">
        <f>322796860</f>
        <v>322796860</v>
      </c>
      <c r="W168" s="30">
        <f>26360</f>
        <v>26360</v>
      </c>
      <c r="X168" s="34">
        <f>21</f>
        <v>21</v>
      </c>
    </row>
    <row r="169" spans="1:24">
      <c r="A169" s="25" t="s">
        <v>1260</v>
      </c>
      <c r="B169" s="25" t="s">
        <v>1104</v>
      </c>
      <c r="C169" s="25" t="s">
        <v>1105</v>
      </c>
      <c r="D169" s="25" t="s">
        <v>1106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10</v>
      </c>
      <c r="K169" s="31">
        <f>266.2</f>
        <v>266.2</v>
      </c>
      <c r="L169" s="32" t="s">
        <v>1240</v>
      </c>
      <c r="M169" s="31">
        <f>274.9</f>
        <v>274.89999999999998</v>
      </c>
      <c r="N169" s="32" t="s">
        <v>1075</v>
      </c>
      <c r="O169" s="31">
        <f>260.6</f>
        <v>260.60000000000002</v>
      </c>
      <c r="P169" s="32" t="s">
        <v>1204</v>
      </c>
      <c r="Q169" s="31">
        <f>270.8</f>
        <v>270.8</v>
      </c>
      <c r="R169" s="32" t="s">
        <v>755</v>
      </c>
      <c r="S169" s="33">
        <f>268.69</f>
        <v>268.69</v>
      </c>
      <c r="T169" s="30">
        <f>520470</f>
        <v>520470</v>
      </c>
      <c r="U169" s="30" t="str">
        <f>"－"</f>
        <v>－</v>
      </c>
      <c r="V169" s="30">
        <f>139896807</f>
        <v>139896807</v>
      </c>
      <c r="W169" s="30" t="str">
        <f>"－"</f>
        <v>－</v>
      </c>
      <c r="X169" s="34">
        <f>21</f>
        <v>21</v>
      </c>
    </row>
    <row r="170" spans="1:24">
      <c r="A170" s="25" t="s">
        <v>1260</v>
      </c>
      <c r="B170" s="25" t="s">
        <v>1107</v>
      </c>
      <c r="C170" s="25" t="s">
        <v>1108</v>
      </c>
      <c r="D170" s="25" t="s">
        <v>1109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486.9</f>
        <v>486.9</v>
      </c>
      <c r="L170" s="32" t="s">
        <v>1240</v>
      </c>
      <c r="M170" s="31">
        <f>490.8</f>
        <v>490.8</v>
      </c>
      <c r="N170" s="32" t="s">
        <v>756</v>
      </c>
      <c r="O170" s="31">
        <f>474.5</f>
        <v>474.5</v>
      </c>
      <c r="P170" s="32" t="s">
        <v>1220</v>
      </c>
      <c r="Q170" s="31">
        <f>481.7</f>
        <v>481.7</v>
      </c>
      <c r="R170" s="32" t="s">
        <v>755</v>
      </c>
      <c r="S170" s="33">
        <f>480.54</f>
        <v>480.54</v>
      </c>
      <c r="T170" s="30">
        <f>228620</f>
        <v>228620</v>
      </c>
      <c r="U170" s="30" t="str">
        <f>"－"</f>
        <v>－</v>
      </c>
      <c r="V170" s="30">
        <f>108888302</f>
        <v>108888302</v>
      </c>
      <c r="W170" s="30" t="str">
        <f>"－"</f>
        <v>－</v>
      </c>
      <c r="X170" s="34">
        <f>13</f>
        <v>13</v>
      </c>
    </row>
    <row r="171" spans="1:24">
      <c r="A171" s="25" t="s">
        <v>1260</v>
      </c>
      <c r="B171" s="25" t="s">
        <v>1110</v>
      </c>
      <c r="C171" s="25" t="s">
        <v>1111</v>
      </c>
      <c r="D171" s="25" t="s">
        <v>1112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459.9</f>
        <v>459.9</v>
      </c>
      <c r="L171" s="32" t="s">
        <v>1240</v>
      </c>
      <c r="M171" s="31">
        <f>493.3</f>
        <v>493.3</v>
      </c>
      <c r="N171" s="32" t="s">
        <v>755</v>
      </c>
      <c r="O171" s="31">
        <f>448</f>
        <v>448</v>
      </c>
      <c r="P171" s="32" t="s">
        <v>1204</v>
      </c>
      <c r="Q171" s="31">
        <f>465.7</f>
        <v>465.7</v>
      </c>
      <c r="R171" s="32" t="s">
        <v>755</v>
      </c>
      <c r="S171" s="33">
        <f>462.12</f>
        <v>462.12</v>
      </c>
      <c r="T171" s="30">
        <f>263710</f>
        <v>263710</v>
      </c>
      <c r="U171" s="30" t="str">
        <f>"－"</f>
        <v>－</v>
      </c>
      <c r="V171" s="30">
        <f>119501009</f>
        <v>119501009</v>
      </c>
      <c r="W171" s="30" t="str">
        <f>"－"</f>
        <v>－</v>
      </c>
      <c r="X171" s="34">
        <f>21</f>
        <v>21</v>
      </c>
    </row>
    <row r="172" spans="1:24">
      <c r="A172" s="25" t="s">
        <v>1260</v>
      </c>
      <c r="B172" s="25" t="s">
        <v>1113</v>
      </c>
      <c r="C172" s="25" t="s">
        <v>1114</v>
      </c>
      <c r="D172" s="25" t="s">
        <v>1115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469</f>
        <v>469</v>
      </c>
      <c r="L172" s="32" t="s">
        <v>1204</v>
      </c>
      <c r="M172" s="31">
        <f>478</f>
        <v>478</v>
      </c>
      <c r="N172" s="32" t="s">
        <v>852</v>
      </c>
      <c r="O172" s="31">
        <f>461</f>
        <v>461</v>
      </c>
      <c r="P172" s="32" t="s">
        <v>852</v>
      </c>
      <c r="Q172" s="31">
        <f>472</f>
        <v>472</v>
      </c>
      <c r="R172" s="32" t="s">
        <v>755</v>
      </c>
      <c r="S172" s="33">
        <f>467.62</f>
        <v>467.62</v>
      </c>
      <c r="T172" s="30">
        <f>12490</f>
        <v>12490</v>
      </c>
      <c r="U172" s="30" t="str">
        <f>"－"</f>
        <v>－</v>
      </c>
      <c r="V172" s="30">
        <f>5837786</f>
        <v>5837786</v>
      </c>
      <c r="W172" s="30" t="str">
        <f>"－"</f>
        <v>－</v>
      </c>
      <c r="X172" s="34">
        <f>16</f>
        <v>16</v>
      </c>
    </row>
    <row r="173" spans="1:24">
      <c r="A173" s="25" t="s">
        <v>1260</v>
      </c>
      <c r="B173" s="25" t="s">
        <v>1116</v>
      </c>
      <c r="C173" s="25" t="s">
        <v>1117</v>
      </c>
      <c r="D173" s="25" t="s">
        <v>1118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</v>
      </c>
      <c r="K173" s="31">
        <f>924</f>
        <v>924</v>
      </c>
      <c r="L173" s="32" t="s">
        <v>1240</v>
      </c>
      <c r="M173" s="31">
        <f>959</f>
        <v>959</v>
      </c>
      <c r="N173" s="32" t="s">
        <v>755</v>
      </c>
      <c r="O173" s="31">
        <f>897</f>
        <v>897</v>
      </c>
      <c r="P173" s="32" t="s">
        <v>739</v>
      </c>
      <c r="Q173" s="31">
        <f>944</f>
        <v>944</v>
      </c>
      <c r="R173" s="32" t="s">
        <v>755</v>
      </c>
      <c r="S173" s="33">
        <f>931.14</f>
        <v>931.14</v>
      </c>
      <c r="T173" s="30">
        <f>243144</f>
        <v>243144</v>
      </c>
      <c r="U173" s="30">
        <f>309</f>
        <v>309</v>
      </c>
      <c r="V173" s="30">
        <f>225491985</f>
        <v>225491985</v>
      </c>
      <c r="W173" s="30">
        <f>289054</f>
        <v>289054</v>
      </c>
      <c r="X173" s="34">
        <f>21</f>
        <v>21</v>
      </c>
    </row>
    <row r="174" spans="1:24">
      <c r="A174" s="25" t="s">
        <v>1260</v>
      </c>
      <c r="B174" s="25" t="s">
        <v>1119</v>
      </c>
      <c r="C174" s="25" t="s">
        <v>1120</v>
      </c>
      <c r="D174" s="25" t="s">
        <v>1121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</v>
      </c>
      <c r="K174" s="31">
        <f>1472</f>
        <v>1472</v>
      </c>
      <c r="L174" s="32" t="s">
        <v>1240</v>
      </c>
      <c r="M174" s="31">
        <f>1783</f>
        <v>1783</v>
      </c>
      <c r="N174" s="32" t="s">
        <v>755</v>
      </c>
      <c r="O174" s="31">
        <f>1454</f>
        <v>1454</v>
      </c>
      <c r="P174" s="32" t="s">
        <v>1240</v>
      </c>
      <c r="Q174" s="31">
        <f>1750</f>
        <v>1750</v>
      </c>
      <c r="R174" s="32" t="s">
        <v>755</v>
      </c>
      <c r="S174" s="33">
        <f>1585.38</f>
        <v>1585.38</v>
      </c>
      <c r="T174" s="30">
        <f>4132753</f>
        <v>4132753</v>
      </c>
      <c r="U174" s="30">
        <f>1437694</f>
        <v>1437694</v>
      </c>
      <c r="V174" s="30">
        <f>6705622400</f>
        <v>6705622400</v>
      </c>
      <c r="W174" s="30">
        <f>2338246048</f>
        <v>2338246048</v>
      </c>
      <c r="X174" s="34">
        <f>21</f>
        <v>21</v>
      </c>
    </row>
    <row r="175" spans="1:24">
      <c r="A175" s="25" t="s">
        <v>1260</v>
      </c>
      <c r="B175" s="25" t="s">
        <v>1026</v>
      </c>
      <c r="C175" s="25" t="s">
        <v>1027</v>
      </c>
      <c r="D175" s="25" t="s">
        <v>1028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10</v>
      </c>
      <c r="K175" s="31">
        <f>600</f>
        <v>600</v>
      </c>
      <c r="L175" s="32" t="s">
        <v>1240</v>
      </c>
      <c r="M175" s="31">
        <f>605.9</f>
        <v>605.9</v>
      </c>
      <c r="N175" s="32" t="s">
        <v>755</v>
      </c>
      <c r="O175" s="31">
        <f>590</f>
        <v>590</v>
      </c>
      <c r="P175" s="32" t="s">
        <v>1211</v>
      </c>
      <c r="Q175" s="31">
        <f>603.2</f>
        <v>603.20000000000005</v>
      </c>
      <c r="R175" s="32" t="s">
        <v>755</v>
      </c>
      <c r="S175" s="33">
        <f>595.32</f>
        <v>595.32000000000005</v>
      </c>
      <c r="T175" s="30">
        <f>572410</f>
        <v>572410</v>
      </c>
      <c r="U175" s="30" t="str">
        <f>"－"</f>
        <v>－</v>
      </c>
      <c r="V175" s="30">
        <f>342183829</f>
        <v>342183829</v>
      </c>
      <c r="W175" s="30" t="str">
        <f>"－"</f>
        <v>－</v>
      </c>
      <c r="X175" s="34">
        <f>21</f>
        <v>21</v>
      </c>
    </row>
    <row r="176" spans="1:24">
      <c r="A176" s="25" t="s">
        <v>1260</v>
      </c>
      <c r="B176" s="25" t="s">
        <v>1051</v>
      </c>
      <c r="C176" s="25" t="s">
        <v>1052</v>
      </c>
      <c r="D176" s="25" t="s">
        <v>1053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10</v>
      </c>
      <c r="K176" s="31">
        <f>209.3</f>
        <v>209.3</v>
      </c>
      <c r="L176" s="32" t="s">
        <v>1240</v>
      </c>
      <c r="M176" s="31">
        <f>214.4</f>
        <v>214.4</v>
      </c>
      <c r="N176" s="32" t="s">
        <v>756</v>
      </c>
      <c r="O176" s="31">
        <f>207.1</f>
        <v>207.1</v>
      </c>
      <c r="P176" s="32" t="s">
        <v>1204</v>
      </c>
      <c r="Q176" s="31">
        <f>209.9</f>
        <v>209.9</v>
      </c>
      <c r="R176" s="32" t="s">
        <v>755</v>
      </c>
      <c r="S176" s="33">
        <f>210.25</f>
        <v>210.25</v>
      </c>
      <c r="T176" s="30">
        <f>784700</f>
        <v>784700</v>
      </c>
      <c r="U176" s="30" t="str">
        <f>"－"</f>
        <v>－</v>
      </c>
      <c r="V176" s="30">
        <f>165275800</f>
        <v>165275800</v>
      </c>
      <c r="W176" s="30" t="str">
        <f>"－"</f>
        <v>－</v>
      </c>
      <c r="X176" s="34">
        <f>21</f>
        <v>21</v>
      </c>
    </row>
    <row r="177" spans="1:24">
      <c r="A177" s="25" t="s">
        <v>1260</v>
      </c>
      <c r="B177" s="25" t="s">
        <v>1054</v>
      </c>
      <c r="C177" s="25" t="s">
        <v>1055</v>
      </c>
      <c r="D177" s="25" t="s">
        <v>1056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223.7</f>
        <v>223.7</v>
      </c>
      <c r="L177" s="32" t="s">
        <v>1240</v>
      </c>
      <c r="M177" s="31">
        <f>231.8</f>
        <v>231.8</v>
      </c>
      <c r="N177" s="32" t="s">
        <v>756</v>
      </c>
      <c r="O177" s="31">
        <f>221.5</f>
        <v>221.5</v>
      </c>
      <c r="P177" s="32" t="s">
        <v>1209</v>
      </c>
      <c r="Q177" s="31">
        <f>227.3</f>
        <v>227.3</v>
      </c>
      <c r="R177" s="32" t="s">
        <v>755</v>
      </c>
      <c r="S177" s="33">
        <f>226.65</f>
        <v>226.65</v>
      </c>
      <c r="T177" s="30">
        <f>14056020</f>
        <v>14056020</v>
      </c>
      <c r="U177" s="30" t="str">
        <f>"－"</f>
        <v>－</v>
      </c>
      <c r="V177" s="30">
        <f>3193164805</f>
        <v>3193164805</v>
      </c>
      <c r="W177" s="30" t="str">
        <f>"－"</f>
        <v>－</v>
      </c>
      <c r="X177" s="34">
        <f>21</f>
        <v>21</v>
      </c>
    </row>
    <row r="178" spans="1:24">
      <c r="A178" s="25" t="s">
        <v>1260</v>
      </c>
      <c r="B178" s="25" t="s">
        <v>1057</v>
      </c>
      <c r="C178" s="25" t="s">
        <v>1058</v>
      </c>
      <c r="D178" s="25" t="s">
        <v>1059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227.3</f>
        <v>227.3</v>
      </c>
      <c r="L178" s="32" t="s">
        <v>1240</v>
      </c>
      <c r="M178" s="31">
        <f>236.2</f>
        <v>236.2</v>
      </c>
      <c r="N178" s="32" t="s">
        <v>755</v>
      </c>
      <c r="O178" s="31">
        <f>225.6</f>
        <v>225.6</v>
      </c>
      <c r="P178" s="32" t="s">
        <v>1204</v>
      </c>
      <c r="Q178" s="31">
        <f>235.5</f>
        <v>235.5</v>
      </c>
      <c r="R178" s="32" t="s">
        <v>755</v>
      </c>
      <c r="S178" s="33">
        <f>231.54</f>
        <v>231.54</v>
      </c>
      <c r="T178" s="30">
        <f>2653890</f>
        <v>2653890</v>
      </c>
      <c r="U178" s="30">
        <f>45200</f>
        <v>45200</v>
      </c>
      <c r="V178" s="30">
        <f>615842793</f>
        <v>615842793</v>
      </c>
      <c r="W178" s="30">
        <f>10340084</f>
        <v>10340084</v>
      </c>
      <c r="X178" s="34">
        <f>21</f>
        <v>21</v>
      </c>
    </row>
    <row r="179" spans="1:24">
      <c r="A179" s="25" t="s">
        <v>1260</v>
      </c>
      <c r="B179" s="25" t="s">
        <v>1060</v>
      </c>
      <c r="C179" s="25" t="s">
        <v>1061</v>
      </c>
      <c r="D179" s="25" t="s">
        <v>1062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</v>
      </c>
      <c r="K179" s="31">
        <f>1945</f>
        <v>1945</v>
      </c>
      <c r="L179" s="32" t="s">
        <v>1240</v>
      </c>
      <c r="M179" s="31">
        <f>2000</f>
        <v>2000</v>
      </c>
      <c r="N179" s="32" t="s">
        <v>756</v>
      </c>
      <c r="O179" s="31">
        <f>1927</f>
        <v>1927</v>
      </c>
      <c r="P179" s="32" t="s">
        <v>1204</v>
      </c>
      <c r="Q179" s="31">
        <f>1974</f>
        <v>1974</v>
      </c>
      <c r="R179" s="32" t="s">
        <v>755</v>
      </c>
      <c r="S179" s="33">
        <f>1963.29</f>
        <v>1963.29</v>
      </c>
      <c r="T179" s="30">
        <f>729252</f>
        <v>729252</v>
      </c>
      <c r="U179" s="30">
        <f>500000</f>
        <v>500000</v>
      </c>
      <c r="V179" s="30">
        <f>1443868478</f>
        <v>1443868478</v>
      </c>
      <c r="W179" s="30">
        <f>993916250</f>
        <v>993916250</v>
      </c>
      <c r="X179" s="34">
        <f>21</f>
        <v>21</v>
      </c>
    </row>
    <row r="180" spans="1:24">
      <c r="A180" s="25" t="s">
        <v>1260</v>
      </c>
      <c r="B180" s="25" t="s">
        <v>1063</v>
      </c>
      <c r="C180" s="25" t="s">
        <v>1064</v>
      </c>
      <c r="D180" s="25" t="s">
        <v>1065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</v>
      </c>
      <c r="K180" s="31">
        <f>1855</f>
        <v>1855</v>
      </c>
      <c r="L180" s="32" t="s">
        <v>1240</v>
      </c>
      <c r="M180" s="31">
        <f>1920</f>
        <v>1920</v>
      </c>
      <c r="N180" s="32" t="s">
        <v>755</v>
      </c>
      <c r="O180" s="31">
        <f>1833</f>
        <v>1833</v>
      </c>
      <c r="P180" s="32" t="s">
        <v>1206</v>
      </c>
      <c r="Q180" s="31">
        <f>1876</f>
        <v>1876</v>
      </c>
      <c r="R180" s="32" t="s">
        <v>755</v>
      </c>
      <c r="S180" s="33">
        <f>1860.43</f>
        <v>1860.43</v>
      </c>
      <c r="T180" s="30">
        <f>188344</f>
        <v>188344</v>
      </c>
      <c r="U180" s="30">
        <f>2</f>
        <v>2</v>
      </c>
      <c r="V180" s="30">
        <f>349168520</f>
        <v>349168520</v>
      </c>
      <c r="W180" s="30">
        <f>3708</f>
        <v>3708</v>
      </c>
      <c r="X180" s="34">
        <f>21</f>
        <v>21</v>
      </c>
    </row>
    <row r="181" spans="1:24">
      <c r="A181" s="25" t="s">
        <v>1260</v>
      </c>
      <c r="B181" s="25" t="s">
        <v>1066</v>
      </c>
      <c r="C181" s="25" t="s">
        <v>1067</v>
      </c>
      <c r="D181" s="25" t="s">
        <v>1068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1085</f>
        <v>1085</v>
      </c>
      <c r="L181" s="32" t="s">
        <v>1240</v>
      </c>
      <c r="M181" s="31">
        <f>1125</f>
        <v>1125</v>
      </c>
      <c r="N181" s="32" t="s">
        <v>755</v>
      </c>
      <c r="O181" s="31">
        <f>1057</f>
        <v>1057</v>
      </c>
      <c r="P181" s="32" t="s">
        <v>1211</v>
      </c>
      <c r="Q181" s="31">
        <f>1114</f>
        <v>1114</v>
      </c>
      <c r="R181" s="32" t="s">
        <v>755</v>
      </c>
      <c r="S181" s="33">
        <f>1084.67</f>
        <v>1084.67</v>
      </c>
      <c r="T181" s="30">
        <f>945517</f>
        <v>945517</v>
      </c>
      <c r="U181" s="30">
        <f>301250</f>
        <v>301250</v>
      </c>
      <c r="V181" s="30">
        <f>1036239402</f>
        <v>1036239402</v>
      </c>
      <c r="W181" s="30">
        <f>334936410</f>
        <v>334936410</v>
      </c>
      <c r="X181" s="34">
        <f>21</f>
        <v>21</v>
      </c>
    </row>
    <row r="182" spans="1:24">
      <c r="A182" s="25" t="s">
        <v>1260</v>
      </c>
      <c r="B182" s="25" t="s">
        <v>1069</v>
      </c>
      <c r="C182" s="25" t="s">
        <v>1070</v>
      </c>
      <c r="D182" s="25" t="s">
        <v>1071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1063</f>
        <v>1063</v>
      </c>
      <c r="L182" s="32" t="s">
        <v>1240</v>
      </c>
      <c r="M182" s="31">
        <f>1098</f>
        <v>1098</v>
      </c>
      <c r="N182" s="32" t="s">
        <v>663</v>
      </c>
      <c r="O182" s="31">
        <f>1046</f>
        <v>1046</v>
      </c>
      <c r="P182" s="32" t="s">
        <v>1075</v>
      </c>
      <c r="Q182" s="31">
        <f>1050</f>
        <v>1050</v>
      </c>
      <c r="R182" s="32" t="s">
        <v>755</v>
      </c>
      <c r="S182" s="33">
        <f>1069.52</f>
        <v>1069.52</v>
      </c>
      <c r="T182" s="30">
        <f>219038</f>
        <v>219038</v>
      </c>
      <c r="U182" s="30" t="str">
        <f>"－"</f>
        <v>－</v>
      </c>
      <c r="V182" s="30">
        <f>233287547</f>
        <v>233287547</v>
      </c>
      <c r="W182" s="30" t="str">
        <f>"－"</f>
        <v>－</v>
      </c>
      <c r="X182" s="34">
        <f>21</f>
        <v>21</v>
      </c>
    </row>
    <row r="183" spans="1:24">
      <c r="A183" s="25" t="s">
        <v>1260</v>
      </c>
      <c r="B183" s="25" t="s">
        <v>1072</v>
      </c>
      <c r="C183" s="25" t="s">
        <v>1073</v>
      </c>
      <c r="D183" s="25" t="s">
        <v>1074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938</f>
        <v>938</v>
      </c>
      <c r="L183" s="32" t="s">
        <v>1240</v>
      </c>
      <c r="M183" s="31">
        <f>945</f>
        <v>945</v>
      </c>
      <c r="N183" s="32" t="s">
        <v>1075</v>
      </c>
      <c r="O183" s="31">
        <f>917</f>
        <v>917</v>
      </c>
      <c r="P183" s="32" t="s">
        <v>1204</v>
      </c>
      <c r="Q183" s="31">
        <f>944</f>
        <v>944</v>
      </c>
      <c r="R183" s="32" t="s">
        <v>755</v>
      </c>
      <c r="S183" s="33">
        <f>932.24</f>
        <v>932.24</v>
      </c>
      <c r="T183" s="30">
        <f>77585</f>
        <v>77585</v>
      </c>
      <c r="U183" s="30" t="str">
        <f>"－"</f>
        <v>－</v>
      </c>
      <c r="V183" s="30">
        <f>72087354</f>
        <v>72087354</v>
      </c>
      <c r="W183" s="30" t="str">
        <f>"－"</f>
        <v>－</v>
      </c>
      <c r="X183" s="34">
        <f>21</f>
        <v>21</v>
      </c>
    </row>
    <row r="184" spans="1:24">
      <c r="A184" s="25" t="s">
        <v>1260</v>
      </c>
      <c r="B184" s="25" t="s">
        <v>1122</v>
      </c>
      <c r="C184" s="25" t="s">
        <v>1123</v>
      </c>
      <c r="D184" s="25" t="s">
        <v>1124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10</v>
      </c>
      <c r="K184" s="31">
        <f>189.8</f>
        <v>189.8</v>
      </c>
      <c r="L184" s="32" t="s">
        <v>1240</v>
      </c>
      <c r="M184" s="31">
        <f>196</f>
        <v>196</v>
      </c>
      <c r="N184" s="32" t="s">
        <v>755</v>
      </c>
      <c r="O184" s="31">
        <f>185</f>
        <v>185</v>
      </c>
      <c r="P184" s="32" t="s">
        <v>739</v>
      </c>
      <c r="Q184" s="31">
        <f>194</f>
        <v>194</v>
      </c>
      <c r="R184" s="32" t="s">
        <v>755</v>
      </c>
      <c r="S184" s="33">
        <f>189.9</f>
        <v>189.9</v>
      </c>
      <c r="T184" s="30">
        <f>3684840</f>
        <v>3684840</v>
      </c>
      <c r="U184" s="30">
        <f>53970</f>
        <v>53970</v>
      </c>
      <c r="V184" s="30">
        <f>698476237</f>
        <v>698476237</v>
      </c>
      <c r="W184" s="30">
        <f>10337046</f>
        <v>10337046</v>
      </c>
      <c r="X184" s="34">
        <f>21</f>
        <v>21</v>
      </c>
    </row>
    <row r="185" spans="1:24">
      <c r="A185" s="25" t="s">
        <v>1260</v>
      </c>
      <c r="B185" s="25" t="s">
        <v>449</v>
      </c>
      <c r="C185" s="25" t="s">
        <v>450</v>
      </c>
      <c r="D185" s="25" t="s">
        <v>451</v>
      </c>
      <c r="E185" s="26" t="s">
        <v>43</v>
      </c>
      <c r="F185" s="27" t="s">
        <v>43</v>
      </c>
      <c r="G185" s="28" t="s">
        <v>43</v>
      </c>
      <c r="H185" s="29"/>
      <c r="I185" s="29" t="s">
        <v>452</v>
      </c>
      <c r="J185" s="30">
        <v>1</v>
      </c>
      <c r="K185" s="31">
        <f>6373</f>
        <v>6373</v>
      </c>
      <c r="L185" s="32" t="s">
        <v>1240</v>
      </c>
      <c r="M185" s="31">
        <f>7299</f>
        <v>7299</v>
      </c>
      <c r="N185" s="32" t="s">
        <v>1220</v>
      </c>
      <c r="O185" s="31">
        <f>6153</f>
        <v>6153</v>
      </c>
      <c r="P185" s="32" t="s">
        <v>1240</v>
      </c>
      <c r="Q185" s="31">
        <f>7064</f>
        <v>7064</v>
      </c>
      <c r="R185" s="32" t="s">
        <v>755</v>
      </c>
      <c r="S185" s="33">
        <f>6892.86</f>
        <v>6892.86</v>
      </c>
      <c r="T185" s="30">
        <f>40400</f>
        <v>40400</v>
      </c>
      <c r="U185" s="30" t="str">
        <f>"－"</f>
        <v>－</v>
      </c>
      <c r="V185" s="30">
        <f>278273579</f>
        <v>278273579</v>
      </c>
      <c r="W185" s="30" t="str">
        <f>"－"</f>
        <v>－</v>
      </c>
      <c r="X185" s="34">
        <f>21</f>
        <v>21</v>
      </c>
    </row>
    <row r="186" spans="1:24">
      <c r="A186" s="25" t="s">
        <v>1260</v>
      </c>
      <c r="B186" s="25" t="s">
        <v>453</v>
      </c>
      <c r="C186" s="25" t="s">
        <v>454</v>
      </c>
      <c r="D186" s="25" t="s">
        <v>455</v>
      </c>
      <c r="E186" s="26" t="s">
        <v>43</v>
      </c>
      <c r="F186" s="27" t="s">
        <v>43</v>
      </c>
      <c r="G186" s="28" t="s">
        <v>43</v>
      </c>
      <c r="H186" s="29"/>
      <c r="I186" s="29" t="s">
        <v>452</v>
      </c>
      <c r="J186" s="30">
        <v>1</v>
      </c>
      <c r="K186" s="31">
        <f>6299</f>
        <v>6299</v>
      </c>
      <c r="L186" s="32" t="s">
        <v>1240</v>
      </c>
      <c r="M186" s="31">
        <f>6400</f>
        <v>6400</v>
      </c>
      <c r="N186" s="32" t="s">
        <v>1240</v>
      </c>
      <c r="O186" s="31">
        <f>5900</f>
        <v>5900</v>
      </c>
      <c r="P186" s="32" t="s">
        <v>1210</v>
      </c>
      <c r="Q186" s="31">
        <f>5950</f>
        <v>5950</v>
      </c>
      <c r="R186" s="32" t="s">
        <v>755</v>
      </c>
      <c r="S186" s="33">
        <f>6070.86</f>
        <v>6070.86</v>
      </c>
      <c r="T186" s="30">
        <f>3420</f>
        <v>3420</v>
      </c>
      <c r="U186" s="30" t="str">
        <f>"－"</f>
        <v>－</v>
      </c>
      <c r="V186" s="30">
        <f>20894703</f>
        <v>20894703</v>
      </c>
      <c r="W186" s="30" t="str">
        <f>"－"</f>
        <v>－</v>
      </c>
      <c r="X186" s="34">
        <f>21</f>
        <v>21</v>
      </c>
    </row>
    <row r="187" spans="1:24">
      <c r="A187" s="25" t="s">
        <v>1260</v>
      </c>
      <c r="B187" s="25" t="s">
        <v>456</v>
      </c>
      <c r="C187" s="25" t="s">
        <v>457</v>
      </c>
      <c r="D187" s="25" t="s">
        <v>458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11455</f>
        <v>11455</v>
      </c>
      <c r="L187" s="32" t="s">
        <v>1240</v>
      </c>
      <c r="M187" s="31">
        <f>15850</f>
        <v>15850</v>
      </c>
      <c r="N187" s="32" t="s">
        <v>663</v>
      </c>
      <c r="O187" s="31">
        <f>11070</f>
        <v>11070</v>
      </c>
      <c r="P187" s="32" t="s">
        <v>1240</v>
      </c>
      <c r="Q187" s="31">
        <f>15510</f>
        <v>15510</v>
      </c>
      <c r="R187" s="32" t="s">
        <v>755</v>
      </c>
      <c r="S187" s="33">
        <f>13753.1</f>
        <v>13753.1</v>
      </c>
      <c r="T187" s="30">
        <f>9607</f>
        <v>9607</v>
      </c>
      <c r="U187" s="30" t="str">
        <f>"－"</f>
        <v>－</v>
      </c>
      <c r="V187" s="30">
        <f>129374205</f>
        <v>129374205</v>
      </c>
      <c r="W187" s="30" t="str">
        <f>"－"</f>
        <v>－</v>
      </c>
      <c r="X187" s="34">
        <f>21</f>
        <v>21</v>
      </c>
    </row>
    <row r="188" spans="1:24">
      <c r="A188" s="25" t="s">
        <v>1260</v>
      </c>
      <c r="B188" s="25" t="s">
        <v>459</v>
      </c>
      <c r="C188" s="25" t="s">
        <v>460</v>
      </c>
      <c r="D188" s="25" t="s">
        <v>461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7125</f>
        <v>7125</v>
      </c>
      <c r="L188" s="32" t="s">
        <v>1240</v>
      </c>
      <c r="M188" s="31">
        <f>7125</f>
        <v>7125</v>
      </c>
      <c r="N188" s="32" t="s">
        <v>1240</v>
      </c>
      <c r="O188" s="31">
        <f>6182</f>
        <v>6182</v>
      </c>
      <c r="P188" s="32" t="s">
        <v>1210</v>
      </c>
      <c r="Q188" s="31">
        <f>6250</f>
        <v>6250</v>
      </c>
      <c r="R188" s="32" t="s">
        <v>755</v>
      </c>
      <c r="S188" s="33">
        <f>6601.52</f>
        <v>6601.52</v>
      </c>
      <c r="T188" s="30">
        <f>4508</f>
        <v>4508</v>
      </c>
      <c r="U188" s="30" t="str">
        <f>"－"</f>
        <v>－</v>
      </c>
      <c r="V188" s="30">
        <f>29860782</f>
        <v>29860782</v>
      </c>
      <c r="W188" s="30" t="str">
        <f>"－"</f>
        <v>－</v>
      </c>
      <c r="X188" s="34">
        <f>21</f>
        <v>21</v>
      </c>
    </row>
    <row r="189" spans="1:24">
      <c r="A189" s="25" t="s">
        <v>1260</v>
      </c>
      <c r="B189" s="25" t="s">
        <v>462</v>
      </c>
      <c r="C189" s="25" t="s">
        <v>463</v>
      </c>
      <c r="D189" s="25" t="s">
        <v>464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91910</f>
        <v>91910</v>
      </c>
      <c r="L189" s="32" t="s">
        <v>1240</v>
      </c>
      <c r="M189" s="31">
        <f>100250</f>
        <v>100250</v>
      </c>
      <c r="N189" s="32" t="s">
        <v>739</v>
      </c>
      <c r="O189" s="31">
        <f>90500</f>
        <v>90500</v>
      </c>
      <c r="P189" s="32" t="s">
        <v>755</v>
      </c>
      <c r="Q189" s="31">
        <f>91330</f>
        <v>91330</v>
      </c>
      <c r="R189" s="32" t="s">
        <v>755</v>
      </c>
      <c r="S189" s="33">
        <f>95093.81</f>
        <v>95093.81</v>
      </c>
      <c r="T189" s="30">
        <f>123535</f>
        <v>123535</v>
      </c>
      <c r="U189" s="30">
        <f>58</f>
        <v>58</v>
      </c>
      <c r="V189" s="30">
        <f>11767924980</f>
        <v>11767924980</v>
      </c>
      <c r="W189" s="30">
        <f>5681320</f>
        <v>5681320</v>
      </c>
      <c r="X189" s="34">
        <f>21</f>
        <v>21</v>
      </c>
    </row>
    <row r="190" spans="1:24">
      <c r="A190" s="25" t="s">
        <v>1260</v>
      </c>
      <c r="B190" s="25" t="s">
        <v>465</v>
      </c>
      <c r="C190" s="25" t="s">
        <v>466</v>
      </c>
      <c r="D190" s="25" t="s">
        <v>467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2085</f>
        <v>2085</v>
      </c>
      <c r="L190" s="32" t="s">
        <v>1240</v>
      </c>
      <c r="M190" s="31">
        <f>2110</f>
        <v>2110</v>
      </c>
      <c r="N190" s="32" t="s">
        <v>755</v>
      </c>
      <c r="O190" s="31">
        <f>1991</f>
        <v>1991</v>
      </c>
      <c r="P190" s="32" t="s">
        <v>739</v>
      </c>
      <c r="Q190" s="31">
        <f>2080</f>
        <v>2080</v>
      </c>
      <c r="R190" s="32" t="s">
        <v>755</v>
      </c>
      <c r="S190" s="33">
        <f>2044.81</f>
        <v>2044.81</v>
      </c>
      <c r="T190" s="30">
        <f>26003</f>
        <v>26003</v>
      </c>
      <c r="U190" s="30" t="str">
        <f>"－"</f>
        <v>－</v>
      </c>
      <c r="V190" s="30">
        <f>53215269</f>
        <v>53215269</v>
      </c>
      <c r="W190" s="30" t="str">
        <f>"－"</f>
        <v>－</v>
      </c>
      <c r="X190" s="34">
        <f>21</f>
        <v>21</v>
      </c>
    </row>
    <row r="191" spans="1:24">
      <c r="A191" s="25" t="s">
        <v>1260</v>
      </c>
      <c r="B191" s="25" t="s">
        <v>468</v>
      </c>
      <c r="C191" s="25" t="s">
        <v>469</v>
      </c>
      <c r="D191" s="25" t="s">
        <v>470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1228</f>
        <v>1228</v>
      </c>
      <c r="L191" s="32" t="s">
        <v>1240</v>
      </c>
      <c r="M191" s="31">
        <f>1825</f>
        <v>1825</v>
      </c>
      <c r="N191" s="32" t="s">
        <v>756</v>
      </c>
      <c r="O191" s="31">
        <f>1220</f>
        <v>1220</v>
      </c>
      <c r="P191" s="32" t="s">
        <v>1240</v>
      </c>
      <c r="Q191" s="31">
        <f>1331</f>
        <v>1331</v>
      </c>
      <c r="R191" s="32" t="s">
        <v>755</v>
      </c>
      <c r="S191" s="33">
        <f>1431.24</f>
        <v>1431.24</v>
      </c>
      <c r="T191" s="30">
        <f>18520096</f>
        <v>18520096</v>
      </c>
      <c r="U191" s="30">
        <f>4261</f>
        <v>4261</v>
      </c>
      <c r="V191" s="30">
        <f>28254370127</f>
        <v>28254370127</v>
      </c>
      <c r="W191" s="30">
        <f>6497989</f>
        <v>6497989</v>
      </c>
      <c r="X191" s="34">
        <f>21</f>
        <v>21</v>
      </c>
    </row>
    <row r="192" spans="1:24">
      <c r="A192" s="25" t="s">
        <v>1260</v>
      </c>
      <c r="B192" s="25" t="s">
        <v>471</v>
      </c>
      <c r="C192" s="25" t="s">
        <v>472</v>
      </c>
      <c r="D192" s="25" t="s">
        <v>473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1057</f>
        <v>1057</v>
      </c>
      <c r="L192" s="32" t="s">
        <v>1240</v>
      </c>
      <c r="M192" s="31">
        <f>1059</f>
        <v>1059</v>
      </c>
      <c r="N192" s="32" t="s">
        <v>1240</v>
      </c>
      <c r="O192" s="31">
        <f>876</f>
        <v>876</v>
      </c>
      <c r="P192" s="32" t="s">
        <v>756</v>
      </c>
      <c r="Q192" s="31">
        <f>977</f>
        <v>977</v>
      </c>
      <c r="R192" s="32" t="s">
        <v>755</v>
      </c>
      <c r="S192" s="33">
        <f>976.43</f>
        <v>976.43</v>
      </c>
      <c r="T192" s="30">
        <f>2949728</f>
        <v>2949728</v>
      </c>
      <c r="U192" s="30">
        <f>1576</f>
        <v>1576</v>
      </c>
      <c r="V192" s="30">
        <f>2799079522</f>
        <v>2799079522</v>
      </c>
      <c r="W192" s="30">
        <f>1394496</f>
        <v>1394496</v>
      </c>
      <c r="X192" s="34">
        <f>21</f>
        <v>21</v>
      </c>
    </row>
    <row r="193" spans="1:24">
      <c r="A193" s="25" t="s">
        <v>1260</v>
      </c>
      <c r="B193" s="25" t="s">
        <v>474</v>
      </c>
      <c r="C193" s="25" t="s">
        <v>475</v>
      </c>
      <c r="D193" s="25" t="s">
        <v>476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27960</f>
        <v>27960</v>
      </c>
      <c r="L193" s="32" t="s">
        <v>1240</v>
      </c>
      <c r="M193" s="31">
        <f>30500</f>
        <v>30500</v>
      </c>
      <c r="N193" s="32" t="s">
        <v>755</v>
      </c>
      <c r="O193" s="31">
        <f>27670</f>
        <v>27670</v>
      </c>
      <c r="P193" s="32" t="s">
        <v>1081</v>
      </c>
      <c r="Q193" s="31">
        <f>30500</f>
        <v>30500</v>
      </c>
      <c r="R193" s="32" t="s">
        <v>755</v>
      </c>
      <c r="S193" s="33">
        <f>28599.29</f>
        <v>28599.29</v>
      </c>
      <c r="T193" s="30">
        <f>23597</f>
        <v>23597</v>
      </c>
      <c r="U193" s="30" t="str">
        <f>"－"</f>
        <v>－</v>
      </c>
      <c r="V193" s="30">
        <f>683453390</f>
        <v>683453390</v>
      </c>
      <c r="W193" s="30" t="str">
        <f>"－"</f>
        <v>－</v>
      </c>
      <c r="X193" s="34">
        <f>21</f>
        <v>21</v>
      </c>
    </row>
    <row r="194" spans="1:24">
      <c r="A194" s="25" t="s">
        <v>1260</v>
      </c>
      <c r="B194" s="25" t="s">
        <v>477</v>
      </c>
      <c r="C194" s="25" t="s">
        <v>478</v>
      </c>
      <c r="D194" s="25" t="s">
        <v>479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2405</f>
        <v>2405</v>
      </c>
      <c r="L194" s="32" t="s">
        <v>1240</v>
      </c>
      <c r="M194" s="31">
        <f>2447</f>
        <v>2447</v>
      </c>
      <c r="N194" s="32" t="s">
        <v>756</v>
      </c>
      <c r="O194" s="31">
        <f>2307</f>
        <v>2307</v>
      </c>
      <c r="P194" s="32" t="s">
        <v>755</v>
      </c>
      <c r="Q194" s="31">
        <f>2309</f>
        <v>2309</v>
      </c>
      <c r="R194" s="32" t="s">
        <v>755</v>
      </c>
      <c r="S194" s="33">
        <f>2382.14</f>
        <v>2382.14</v>
      </c>
      <c r="T194" s="30">
        <f>140084</f>
        <v>140084</v>
      </c>
      <c r="U194" s="30" t="str">
        <f>"－"</f>
        <v>－</v>
      </c>
      <c r="V194" s="30">
        <f>331855630</f>
        <v>331855630</v>
      </c>
      <c r="W194" s="30" t="str">
        <f>"－"</f>
        <v>－</v>
      </c>
      <c r="X194" s="34">
        <f>21</f>
        <v>21</v>
      </c>
    </row>
    <row r="195" spans="1:24">
      <c r="A195" s="25" t="s">
        <v>1260</v>
      </c>
      <c r="B195" s="25" t="s">
        <v>480</v>
      </c>
      <c r="C195" s="25" t="s">
        <v>1029</v>
      </c>
      <c r="D195" s="25" t="s">
        <v>1030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7812</f>
        <v>7812</v>
      </c>
      <c r="L195" s="32" t="s">
        <v>1240</v>
      </c>
      <c r="M195" s="31">
        <f>8180</f>
        <v>8180</v>
      </c>
      <c r="N195" s="32" t="s">
        <v>1208</v>
      </c>
      <c r="O195" s="31">
        <f>7726</f>
        <v>7726</v>
      </c>
      <c r="P195" s="32" t="s">
        <v>1075</v>
      </c>
      <c r="Q195" s="31">
        <f>7830</f>
        <v>7830</v>
      </c>
      <c r="R195" s="32" t="s">
        <v>755</v>
      </c>
      <c r="S195" s="33">
        <f>7935.57</f>
        <v>7935.57</v>
      </c>
      <c r="T195" s="30">
        <f>50112</f>
        <v>50112</v>
      </c>
      <c r="U195" s="30">
        <f>40</f>
        <v>40</v>
      </c>
      <c r="V195" s="30">
        <f>397882430</f>
        <v>397882430</v>
      </c>
      <c r="W195" s="30">
        <f>316000</f>
        <v>316000</v>
      </c>
      <c r="X195" s="34">
        <f>21</f>
        <v>21</v>
      </c>
    </row>
    <row r="196" spans="1:24">
      <c r="A196" s="25" t="s">
        <v>1260</v>
      </c>
      <c r="B196" s="25" t="s">
        <v>481</v>
      </c>
      <c r="C196" s="25" t="s">
        <v>482</v>
      </c>
      <c r="D196" s="25" t="s">
        <v>483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20805</f>
        <v>20805</v>
      </c>
      <c r="L196" s="32" t="s">
        <v>1240</v>
      </c>
      <c r="M196" s="31">
        <f>20805</f>
        <v>20805</v>
      </c>
      <c r="N196" s="32" t="s">
        <v>1240</v>
      </c>
      <c r="O196" s="31">
        <f>20055</f>
        <v>20055</v>
      </c>
      <c r="P196" s="32" t="s">
        <v>1081</v>
      </c>
      <c r="Q196" s="31">
        <f>20500</f>
        <v>20500</v>
      </c>
      <c r="R196" s="32" t="s">
        <v>755</v>
      </c>
      <c r="S196" s="33">
        <f>20362.65</f>
        <v>20362.650000000001</v>
      </c>
      <c r="T196" s="30">
        <f>206</f>
        <v>206</v>
      </c>
      <c r="U196" s="30" t="str">
        <f>"－"</f>
        <v>－</v>
      </c>
      <c r="V196" s="30">
        <f>4193575</f>
        <v>4193575</v>
      </c>
      <c r="W196" s="30" t="str">
        <f>"－"</f>
        <v>－</v>
      </c>
      <c r="X196" s="34">
        <f>17</f>
        <v>17</v>
      </c>
    </row>
    <row r="197" spans="1:24">
      <c r="A197" s="25" t="s">
        <v>1260</v>
      </c>
      <c r="B197" s="25" t="s">
        <v>484</v>
      </c>
      <c r="C197" s="25" t="s">
        <v>485</v>
      </c>
      <c r="D197" s="25" t="s">
        <v>486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27655</f>
        <v>27655</v>
      </c>
      <c r="L197" s="32" t="s">
        <v>1240</v>
      </c>
      <c r="M197" s="31">
        <f>27995</f>
        <v>27995</v>
      </c>
      <c r="N197" s="32" t="s">
        <v>1210</v>
      </c>
      <c r="O197" s="31">
        <f>27180</f>
        <v>27180</v>
      </c>
      <c r="P197" s="32" t="s">
        <v>1211</v>
      </c>
      <c r="Q197" s="31">
        <f>27875</f>
        <v>27875</v>
      </c>
      <c r="R197" s="32" t="s">
        <v>755</v>
      </c>
      <c r="S197" s="33">
        <f>27569.29</f>
        <v>27569.29</v>
      </c>
      <c r="T197" s="30">
        <f>6974</f>
        <v>6974</v>
      </c>
      <c r="U197" s="30" t="str">
        <f>"－"</f>
        <v>－</v>
      </c>
      <c r="V197" s="30">
        <f>192281775</f>
        <v>192281775</v>
      </c>
      <c r="W197" s="30" t="str">
        <f>"－"</f>
        <v>－</v>
      </c>
      <c r="X197" s="34">
        <f>21</f>
        <v>21</v>
      </c>
    </row>
    <row r="198" spans="1:24">
      <c r="A198" s="25" t="s">
        <v>1260</v>
      </c>
      <c r="B198" s="25" t="s">
        <v>487</v>
      </c>
      <c r="C198" s="25" t="s">
        <v>488</v>
      </c>
      <c r="D198" s="25" t="s">
        <v>489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16180</f>
        <v>16180</v>
      </c>
      <c r="L198" s="32" t="s">
        <v>1220</v>
      </c>
      <c r="M198" s="31">
        <f>16950</f>
        <v>16950</v>
      </c>
      <c r="N198" s="32" t="s">
        <v>755</v>
      </c>
      <c r="O198" s="31">
        <f>16180</f>
        <v>16180</v>
      </c>
      <c r="P198" s="32" t="s">
        <v>1220</v>
      </c>
      <c r="Q198" s="31">
        <f>16810</f>
        <v>16810</v>
      </c>
      <c r="R198" s="32" t="s">
        <v>755</v>
      </c>
      <c r="S198" s="33">
        <f>16417.27</f>
        <v>16417.27</v>
      </c>
      <c r="T198" s="30">
        <f>275</f>
        <v>275</v>
      </c>
      <c r="U198" s="30" t="str">
        <f>"－"</f>
        <v>－</v>
      </c>
      <c r="V198" s="30">
        <f>4526470</f>
        <v>4526470</v>
      </c>
      <c r="W198" s="30" t="str">
        <f>"－"</f>
        <v>－</v>
      </c>
      <c r="X198" s="34">
        <f>11</f>
        <v>11</v>
      </c>
    </row>
    <row r="199" spans="1:24">
      <c r="A199" s="25" t="s">
        <v>1260</v>
      </c>
      <c r="B199" s="25" t="s">
        <v>490</v>
      </c>
      <c r="C199" s="25" t="s">
        <v>491</v>
      </c>
      <c r="D199" s="25" t="s">
        <v>492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29340</f>
        <v>29340</v>
      </c>
      <c r="L199" s="32" t="s">
        <v>1240</v>
      </c>
      <c r="M199" s="31">
        <f>31250</f>
        <v>31250</v>
      </c>
      <c r="N199" s="32" t="s">
        <v>755</v>
      </c>
      <c r="O199" s="31">
        <f>28600</f>
        <v>28600</v>
      </c>
      <c r="P199" s="32" t="s">
        <v>1209</v>
      </c>
      <c r="Q199" s="31">
        <f>30880</f>
        <v>30880</v>
      </c>
      <c r="R199" s="32" t="s">
        <v>755</v>
      </c>
      <c r="S199" s="33">
        <f>29684.05</f>
        <v>29684.05</v>
      </c>
      <c r="T199" s="30">
        <f>59375</f>
        <v>59375</v>
      </c>
      <c r="U199" s="30">
        <f>23</f>
        <v>23</v>
      </c>
      <c r="V199" s="30">
        <f>1773187040</f>
        <v>1773187040</v>
      </c>
      <c r="W199" s="30">
        <f>685850</f>
        <v>685850</v>
      </c>
      <c r="X199" s="34">
        <f>21</f>
        <v>21</v>
      </c>
    </row>
    <row r="200" spans="1:24">
      <c r="A200" s="25" t="s">
        <v>1260</v>
      </c>
      <c r="B200" s="25" t="s">
        <v>493</v>
      </c>
      <c r="C200" s="25" t="s">
        <v>494</v>
      </c>
      <c r="D200" s="25" t="s">
        <v>495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3298</f>
        <v>3298</v>
      </c>
      <c r="L200" s="32" t="s">
        <v>1240</v>
      </c>
      <c r="M200" s="31">
        <f>3399</f>
        <v>3399</v>
      </c>
      <c r="N200" s="32" t="s">
        <v>739</v>
      </c>
      <c r="O200" s="31">
        <f>3226</f>
        <v>3226</v>
      </c>
      <c r="P200" s="32" t="s">
        <v>1210</v>
      </c>
      <c r="Q200" s="31">
        <f>3246</f>
        <v>3246</v>
      </c>
      <c r="R200" s="32" t="s">
        <v>755</v>
      </c>
      <c r="S200" s="33">
        <f>3296.07</f>
        <v>3296.07</v>
      </c>
      <c r="T200" s="30">
        <f>5561</f>
        <v>5561</v>
      </c>
      <c r="U200" s="30" t="str">
        <f t="shared" ref="U200:U207" si="2">"－"</f>
        <v>－</v>
      </c>
      <c r="V200" s="30">
        <f>18482345</f>
        <v>18482345</v>
      </c>
      <c r="W200" s="30" t="str">
        <f t="shared" ref="W200:W207" si="3">"－"</f>
        <v>－</v>
      </c>
      <c r="X200" s="34">
        <f>14</f>
        <v>14</v>
      </c>
    </row>
    <row r="201" spans="1:24">
      <c r="A201" s="25" t="s">
        <v>1260</v>
      </c>
      <c r="B201" s="25" t="s">
        <v>496</v>
      </c>
      <c r="C201" s="25" t="s">
        <v>497</v>
      </c>
      <c r="D201" s="25" t="s">
        <v>498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30810</f>
        <v>30810</v>
      </c>
      <c r="L201" s="32" t="s">
        <v>1085</v>
      </c>
      <c r="M201" s="31">
        <f>31510</f>
        <v>31510</v>
      </c>
      <c r="N201" s="32" t="s">
        <v>1205</v>
      </c>
      <c r="O201" s="31">
        <f>30740</f>
        <v>30740</v>
      </c>
      <c r="P201" s="32" t="s">
        <v>1210</v>
      </c>
      <c r="Q201" s="31">
        <f>31110</f>
        <v>31110</v>
      </c>
      <c r="R201" s="32" t="s">
        <v>755</v>
      </c>
      <c r="S201" s="33">
        <f>31015.56</f>
        <v>31015.56</v>
      </c>
      <c r="T201" s="30">
        <f>9385</f>
        <v>9385</v>
      </c>
      <c r="U201" s="30" t="str">
        <f t="shared" si="2"/>
        <v>－</v>
      </c>
      <c r="V201" s="30">
        <f>292797610</f>
        <v>292797610</v>
      </c>
      <c r="W201" s="30" t="str">
        <f t="shared" si="3"/>
        <v>－</v>
      </c>
      <c r="X201" s="34">
        <f>9</f>
        <v>9</v>
      </c>
    </row>
    <row r="202" spans="1:24">
      <c r="A202" s="25" t="s">
        <v>1260</v>
      </c>
      <c r="B202" s="25" t="s">
        <v>499</v>
      </c>
      <c r="C202" s="25" t="s">
        <v>500</v>
      </c>
      <c r="D202" s="25" t="s">
        <v>501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21080</f>
        <v>21080</v>
      </c>
      <c r="L202" s="32" t="s">
        <v>1220</v>
      </c>
      <c r="M202" s="31">
        <f>21590</f>
        <v>21590</v>
      </c>
      <c r="N202" s="32" t="s">
        <v>755</v>
      </c>
      <c r="O202" s="31">
        <f>20860</f>
        <v>20860</v>
      </c>
      <c r="P202" s="32" t="s">
        <v>1206</v>
      </c>
      <c r="Q202" s="31">
        <f>21550</f>
        <v>21550</v>
      </c>
      <c r="R202" s="32" t="s">
        <v>755</v>
      </c>
      <c r="S202" s="33">
        <f>21212.5</f>
        <v>21212.5</v>
      </c>
      <c r="T202" s="30">
        <f>11</f>
        <v>11</v>
      </c>
      <c r="U202" s="30" t="str">
        <f t="shared" si="2"/>
        <v>－</v>
      </c>
      <c r="V202" s="30">
        <f>235980</f>
        <v>235980</v>
      </c>
      <c r="W202" s="30" t="str">
        <f t="shared" si="3"/>
        <v>－</v>
      </c>
      <c r="X202" s="34">
        <f>4</f>
        <v>4</v>
      </c>
    </row>
    <row r="203" spans="1:24">
      <c r="A203" s="25" t="s">
        <v>1260</v>
      </c>
      <c r="B203" s="25" t="s">
        <v>502</v>
      </c>
      <c r="C203" s="25" t="s">
        <v>503</v>
      </c>
      <c r="D203" s="25" t="s">
        <v>504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35330</f>
        <v>35330</v>
      </c>
      <c r="L203" s="32" t="s">
        <v>1240</v>
      </c>
      <c r="M203" s="31">
        <f>36760</f>
        <v>36760</v>
      </c>
      <c r="N203" s="32" t="s">
        <v>1207</v>
      </c>
      <c r="O203" s="31">
        <f>35330</f>
        <v>35330</v>
      </c>
      <c r="P203" s="32" t="s">
        <v>1240</v>
      </c>
      <c r="Q203" s="31">
        <f>36100</f>
        <v>36100</v>
      </c>
      <c r="R203" s="32" t="s">
        <v>1075</v>
      </c>
      <c r="S203" s="33">
        <f>36025</f>
        <v>36025</v>
      </c>
      <c r="T203" s="30">
        <f>286</f>
        <v>286</v>
      </c>
      <c r="U203" s="30" t="str">
        <f t="shared" si="2"/>
        <v>－</v>
      </c>
      <c r="V203" s="30">
        <f>10334590</f>
        <v>10334590</v>
      </c>
      <c r="W203" s="30" t="str">
        <f t="shared" si="3"/>
        <v>－</v>
      </c>
      <c r="X203" s="34">
        <f>12</f>
        <v>12</v>
      </c>
    </row>
    <row r="204" spans="1:24">
      <c r="A204" s="25" t="s">
        <v>1260</v>
      </c>
      <c r="B204" s="25" t="s">
        <v>505</v>
      </c>
      <c r="C204" s="25" t="s">
        <v>506</v>
      </c>
      <c r="D204" s="25" t="s">
        <v>507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20085</f>
        <v>20085</v>
      </c>
      <c r="L204" s="32" t="s">
        <v>739</v>
      </c>
      <c r="M204" s="31">
        <f>20965</f>
        <v>20965</v>
      </c>
      <c r="N204" s="32" t="s">
        <v>756</v>
      </c>
      <c r="O204" s="31">
        <f>19780</f>
        <v>19780</v>
      </c>
      <c r="P204" s="32" t="s">
        <v>756</v>
      </c>
      <c r="Q204" s="31">
        <f>20965</f>
        <v>20965</v>
      </c>
      <c r="R204" s="32" t="s">
        <v>756</v>
      </c>
      <c r="S204" s="33">
        <f>20443.33</f>
        <v>20443.330000000002</v>
      </c>
      <c r="T204" s="30">
        <f>7790</f>
        <v>7790</v>
      </c>
      <c r="U204" s="30" t="str">
        <f t="shared" si="2"/>
        <v>－</v>
      </c>
      <c r="V204" s="30">
        <f>156510160</f>
        <v>156510160</v>
      </c>
      <c r="W204" s="30" t="str">
        <f t="shared" si="3"/>
        <v>－</v>
      </c>
      <c r="X204" s="34">
        <f>3</f>
        <v>3</v>
      </c>
    </row>
    <row r="205" spans="1:24">
      <c r="A205" s="25" t="s">
        <v>1260</v>
      </c>
      <c r="B205" s="25" t="s">
        <v>508</v>
      </c>
      <c r="C205" s="25" t="s">
        <v>509</v>
      </c>
      <c r="D205" s="25" t="s">
        <v>510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20165</f>
        <v>20165</v>
      </c>
      <c r="L205" s="32" t="s">
        <v>1240</v>
      </c>
      <c r="M205" s="31">
        <f>20660</f>
        <v>20660</v>
      </c>
      <c r="N205" s="32" t="s">
        <v>755</v>
      </c>
      <c r="O205" s="31">
        <f>19475</f>
        <v>19475</v>
      </c>
      <c r="P205" s="32" t="s">
        <v>1209</v>
      </c>
      <c r="Q205" s="31">
        <f>20660</f>
        <v>20660</v>
      </c>
      <c r="R205" s="32" t="s">
        <v>755</v>
      </c>
      <c r="S205" s="33">
        <f>20189.29</f>
        <v>20189.29</v>
      </c>
      <c r="T205" s="30">
        <f>250</f>
        <v>250</v>
      </c>
      <c r="U205" s="30" t="str">
        <f t="shared" si="2"/>
        <v>－</v>
      </c>
      <c r="V205" s="30">
        <f>5067200</f>
        <v>5067200</v>
      </c>
      <c r="W205" s="30" t="str">
        <f t="shared" si="3"/>
        <v>－</v>
      </c>
      <c r="X205" s="34">
        <f>14</f>
        <v>14</v>
      </c>
    </row>
    <row r="206" spans="1:24">
      <c r="A206" s="25" t="s">
        <v>1260</v>
      </c>
      <c r="B206" s="25" t="s">
        <v>511</v>
      </c>
      <c r="C206" s="25" t="s">
        <v>512</v>
      </c>
      <c r="D206" s="25" t="s">
        <v>513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24220</f>
        <v>24220</v>
      </c>
      <c r="L206" s="32" t="s">
        <v>1240</v>
      </c>
      <c r="M206" s="31">
        <f>25400</f>
        <v>25400</v>
      </c>
      <c r="N206" s="32" t="s">
        <v>755</v>
      </c>
      <c r="O206" s="31">
        <f>24220</f>
        <v>24220</v>
      </c>
      <c r="P206" s="32" t="s">
        <v>1240</v>
      </c>
      <c r="Q206" s="31">
        <f>25220</f>
        <v>25220</v>
      </c>
      <c r="R206" s="32" t="s">
        <v>755</v>
      </c>
      <c r="S206" s="33">
        <f>24618.75</f>
        <v>24618.75</v>
      </c>
      <c r="T206" s="30">
        <f>1005</f>
        <v>1005</v>
      </c>
      <c r="U206" s="30" t="str">
        <f t="shared" si="2"/>
        <v>－</v>
      </c>
      <c r="V206" s="30">
        <f>24843875</f>
        <v>24843875</v>
      </c>
      <c r="W206" s="30" t="str">
        <f t="shared" si="3"/>
        <v>－</v>
      </c>
      <c r="X206" s="34">
        <f>4</f>
        <v>4</v>
      </c>
    </row>
    <row r="207" spans="1:24">
      <c r="A207" s="25" t="s">
        <v>1260</v>
      </c>
      <c r="B207" s="25" t="s">
        <v>514</v>
      </c>
      <c r="C207" s="25" t="s">
        <v>515</v>
      </c>
      <c r="D207" s="25" t="s">
        <v>516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 t="str">
        <f>"－"</f>
        <v>－</v>
      </c>
      <c r="L207" s="32"/>
      <c r="M207" s="31" t="str">
        <f>"－"</f>
        <v>－</v>
      </c>
      <c r="N207" s="32"/>
      <c r="O207" s="31" t="str">
        <f>"－"</f>
        <v>－</v>
      </c>
      <c r="P207" s="32"/>
      <c r="Q207" s="31" t="str">
        <f>"－"</f>
        <v>－</v>
      </c>
      <c r="R207" s="32"/>
      <c r="S207" s="33" t="str">
        <f>"－"</f>
        <v>－</v>
      </c>
      <c r="T207" s="30" t="str">
        <f>"－"</f>
        <v>－</v>
      </c>
      <c r="U207" s="30" t="str">
        <f t="shared" si="2"/>
        <v>－</v>
      </c>
      <c r="V207" s="30" t="str">
        <f>"－"</f>
        <v>－</v>
      </c>
      <c r="W207" s="30" t="str">
        <f t="shared" si="3"/>
        <v>－</v>
      </c>
      <c r="X207" s="34" t="str">
        <f>"－"</f>
        <v>－</v>
      </c>
    </row>
    <row r="208" spans="1:24">
      <c r="A208" s="25" t="s">
        <v>1260</v>
      </c>
      <c r="B208" s="25" t="s">
        <v>517</v>
      </c>
      <c r="C208" s="25" t="s">
        <v>518</v>
      </c>
      <c r="D208" s="25" t="s">
        <v>519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12290</f>
        <v>12290</v>
      </c>
      <c r="L208" s="32" t="s">
        <v>1240</v>
      </c>
      <c r="M208" s="31">
        <f>12395</f>
        <v>12395</v>
      </c>
      <c r="N208" s="32" t="s">
        <v>755</v>
      </c>
      <c r="O208" s="31">
        <f>12110</f>
        <v>12110</v>
      </c>
      <c r="P208" s="32" t="s">
        <v>1210</v>
      </c>
      <c r="Q208" s="31">
        <f>12395</f>
        <v>12395</v>
      </c>
      <c r="R208" s="32" t="s">
        <v>755</v>
      </c>
      <c r="S208" s="33">
        <f>12242.86</f>
        <v>12242.86</v>
      </c>
      <c r="T208" s="30">
        <f>788</f>
        <v>788</v>
      </c>
      <c r="U208" s="30">
        <f>1</f>
        <v>1</v>
      </c>
      <c r="V208" s="30">
        <f>9620800</f>
        <v>9620800</v>
      </c>
      <c r="W208" s="30">
        <f>12230</f>
        <v>12230</v>
      </c>
      <c r="X208" s="34">
        <f>7</f>
        <v>7</v>
      </c>
    </row>
    <row r="209" spans="1:24">
      <c r="A209" s="25" t="s">
        <v>1260</v>
      </c>
      <c r="B209" s="25" t="s">
        <v>520</v>
      </c>
      <c r="C209" s="25" t="s">
        <v>521</v>
      </c>
      <c r="D209" s="25" t="s">
        <v>522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14905</f>
        <v>14905</v>
      </c>
      <c r="L209" s="32" t="s">
        <v>1240</v>
      </c>
      <c r="M209" s="31">
        <f>16390</f>
        <v>16390</v>
      </c>
      <c r="N209" s="32" t="s">
        <v>755</v>
      </c>
      <c r="O209" s="31">
        <f>14875</f>
        <v>14875</v>
      </c>
      <c r="P209" s="32" t="s">
        <v>1209</v>
      </c>
      <c r="Q209" s="31">
        <f>16320</f>
        <v>16320</v>
      </c>
      <c r="R209" s="32" t="s">
        <v>755</v>
      </c>
      <c r="S209" s="33">
        <f>15433.95</f>
        <v>15433.95</v>
      </c>
      <c r="T209" s="30">
        <f>7295</f>
        <v>7295</v>
      </c>
      <c r="U209" s="30" t="str">
        <f>"－"</f>
        <v>－</v>
      </c>
      <c r="V209" s="30">
        <f>113496820</f>
        <v>113496820</v>
      </c>
      <c r="W209" s="30" t="str">
        <f>"－"</f>
        <v>－</v>
      </c>
      <c r="X209" s="34">
        <f>19</f>
        <v>19</v>
      </c>
    </row>
    <row r="210" spans="1:24">
      <c r="A210" s="25" t="s">
        <v>1260</v>
      </c>
      <c r="B210" s="25" t="s">
        <v>523</v>
      </c>
      <c r="C210" s="25" t="s">
        <v>524</v>
      </c>
      <c r="D210" s="25" t="s">
        <v>525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12905</f>
        <v>12905</v>
      </c>
      <c r="L210" s="32" t="s">
        <v>852</v>
      </c>
      <c r="M210" s="31">
        <f>13505</f>
        <v>13505</v>
      </c>
      <c r="N210" s="32" t="s">
        <v>755</v>
      </c>
      <c r="O210" s="31">
        <f>12880</f>
        <v>12880</v>
      </c>
      <c r="P210" s="32" t="s">
        <v>852</v>
      </c>
      <c r="Q210" s="31">
        <f>13505</f>
        <v>13505</v>
      </c>
      <c r="R210" s="32" t="s">
        <v>755</v>
      </c>
      <c r="S210" s="33">
        <f>13100.63</f>
        <v>13100.63</v>
      </c>
      <c r="T210" s="30">
        <f>2184</f>
        <v>2184</v>
      </c>
      <c r="U210" s="30" t="str">
        <f>"－"</f>
        <v>－</v>
      </c>
      <c r="V210" s="30">
        <f>28375515</f>
        <v>28375515</v>
      </c>
      <c r="W210" s="30" t="str">
        <f>"－"</f>
        <v>－</v>
      </c>
      <c r="X210" s="34">
        <f>8</f>
        <v>8</v>
      </c>
    </row>
    <row r="211" spans="1:24">
      <c r="A211" s="25" t="s">
        <v>1260</v>
      </c>
      <c r="B211" s="25" t="s">
        <v>761</v>
      </c>
      <c r="C211" s="25" t="s">
        <v>762</v>
      </c>
      <c r="D211" s="25" t="s">
        <v>763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>
        <f>14650</f>
        <v>14650</v>
      </c>
      <c r="L211" s="32" t="s">
        <v>1085</v>
      </c>
      <c r="M211" s="31">
        <f>15780</f>
        <v>15780</v>
      </c>
      <c r="N211" s="32" t="s">
        <v>755</v>
      </c>
      <c r="O211" s="31">
        <f>14630</f>
        <v>14630</v>
      </c>
      <c r="P211" s="32" t="s">
        <v>1085</v>
      </c>
      <c r="Q211" s="31">
        <f>15775</f>
        <v>15775</v>
      </c>
      <c r="R211" s="32" t="s">
        <v>755</v>
      </c>
      <c r="S211" s="33">
        <f>15202.5</f>
        <v>15202.5</v>
      </c>
      <c r="T211" s="30">
        <f>8</f>
        <v>8</v>
      </c>
      <c r="U211" s="30" t="str">
        <f>"－"</f>
        <v>－</v>
      </c>
      <c r="V211" s="30">
        <f>120290</f>
        <v>120290</v>
      </c>
      <c r="W211" s="30" t="str">
        <f>"－"</f>
        <v>－</v>
      </c>
      <c r="X211" s="34">
        <f>2</f>
        <v>2</v>
      </c>
    </row>
    <row r="212" spans="1:24">
      <c r="A212" s="25" t="s">
        <v>1260</v>
      </c>
      <c r="B212" s="25" t="s">
        <v>963</v>
      </c>
      <c r="C212" s="25" t="s">
        <v>964</v>
      </c>
      <c r="D212" s="25" t="s">
        <v>965</v>
      </c>
      <c r="E212" s="26" t="s">
        <v>43</v>
      </c>
      <c r="F212" s="27" t="s">
        <v>43</v>
      </c>
      <c r="G212" s="28" t="s">
        <v>43</v>
      </c>
      <c r="H212" s="29"/>
      <c r="I212" s="29" t="s">
        <v>44</v>
      </c>
      <c r="J212" s="30">
        <v>1</v>
      </c>
      <c r="K212" s="31">
        <f>1250</f>
        <v>1250</v>
      </c>
      <c r="L212" s="32" t="s">
        <v>1240</v>
      </c>
      <c r="M212" s="31">
        <f>1257</f>
        <v>1257</v>
      </c>
      <c r="N212" s="32" t="s">
        <v>755</v>
      </c>
      <c r="O212" s="31">
        <f>1221</f>
        <v>1221</v>
      </c>
      <c r="P212" s="32" t="s">
        <v>1211</v>
      </c>
      <c r="Q212" s="31">
        <f>1249</f>
        <v>1249</v>
      </c>
      <c r="R212" s="32" t="s">
        <v>755</v>
      </c>
      <c r="S212" s="33">
        <f>1235.57</f>
        <v>1235.57</v>
      </c>
      <c r="T212" s="30">
        <f>630103</f>
        <v>630103</v>
      </c>
      <c r="U212" s="30">
        <f>128062</f>
        <v>128062</v>
      </c>
      <c r="V212" s="30">
        <f>782622927</f>
        <v>782622927</v>
      </c>
      <c r="W212" s="30">
        <f>159678529</f>
        <v>159678529</v>
      </c>
      <c r="X212" s="34">
        <f>21</f>
        <v>21</v>
      </c>
    </row>
    <row r="213" spans="1:24">
      <c r="A213" s="25" t="s">
        <v>1260</v>
      </c>
      <c r="B213" s="25" t="s">
        <v>966</v>
      </c>
      <c r="C213" s="25" t="s">
        <v>967</v>
      </c>
      <c r="D213" s="25" t="s">
        <v>968</v>
      </c>
      <c r="E213" s="26" t="s">
        <v>43</v>
      </c>
      <c r="F213" s="27" t="s">
        <v>43</v>
      </c>
      <c r="G213" s="28" t="s">
        <v>43</v>
      </c>
      <c r="H213" s="29"/>
      <c r="I213" s="29" t="s">
        <v>44</v>
      </c>
      <c r="J213" s="30">
        <v>1</v>
      </c>
      <c r="K213" s="31">
        <f>1344</f>
        <v>1344</v>
      </c>
      <c r="L213" s="32" t="s">
        <v>1240</v>
      </c>
      <c r="M213" s="31">
        <f>1379</f>
        <v>1379</v>
      </c>
      <c r="N213" s="32" t="s">
        <v>755</v>
      </c>
      <c r="O213" s="31">
        <f>1325</f>
        <v>1325</v>
      </c>
      <c r="P213" s="32" t="s">
        <v>1209</v>
      </c>
      <c r="Q213" s="31">
        <f>1372</f>
        <v>1372</v>
      </c>
      <c r="R213" s="32" t="s">
        <v>755</v>
      </c>
      <c r="S213" s="33">
        <f>1339.9</f>
        <v>1339.9</v>
      </c>
      <c r="T213" s="30">
        <f>19700</f>
        <v>19700</v>
      </c>
      <c r="U213" s="30" t="str">
        <f>"－"</f>
        <v>－</v>
      </c>
      <c r="V213" s="30">
        <f>26370324</f>
        <v>26370324</v>
      </c>
      <c r="W213" s="30" t="str">
        <f>"－"</f>
        <v>－</v>
      </c>
      <c r="X213" s="34">
        <f>21</f>
        <v>21</v>
      </c>
    </row>
    <row r="214" spans="1:24">
      <c r="A214" s="25" t="s">
        <v>1260</v>
      </c>
      <c r="B214" s="25" t="s">
        <v>969</v>
      </c>
      <c r="C214" s="25" t="s">
        <v>970</v>
      </c>
      <c r="D214" s="25" t="s">
        <v>971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1120</f>
        <v>1120</v>
      </c>
      <c r="L214" s="32" t="s">
        <v>1240</v>
      </c>
      <c r="M214" s="31">
        <f>1182</f>
        <v>1182</v>
      </c>
      <c r="N214" s="32" t="s">
        <v>755</v>
      </c>
      <c r="O214" s="31">
        <f>1101</f>
        <v>1101</v>
      </c>
      <c r="P214" s="32" t="s">
        <v>1240</v>
      </c>
      <c r="Q214" s="31">
        <f>1175</f>
        <v>1175</v>
      </c>
      <c r="R214" s="32" t="s">
        <v>755</v>
      </c>
      <c r="S214" s="33">
        <f>1132.19</f>
        <v>1132.19</v>
      </c>
      <c r="T214" s="30">
        <f>4216</f>
        <v>4216</v>
      </c>
      <c r="U214" s="30" t="str">
        <f>"－"</f>
        <v>－</v>
      </c>
      <c r="V214" s="30">
        <f>4850386</f>
        <v>4850386</v>
      </c>
      <c r="W214" s="30" t="str">
        <f>"－"</f>
        <v>－</v>
      </c>
      <c r="X214" s="34">
        <f>21</f>
        <v>21</v>
      </c>
    </row>
    <row r="215" spans="1:24">
      <c r="A215" s="25" t="s">
        <v>1260</v>
      </c>
      <c r="B215" s="25" t="s">
        <v>972</v>
      </c>
      <c r="C215" s="25" t="s">
        <v>973</v>
      </c>
      <c r="D215" s="25" t="s">
        <v>974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2214</f>
        <v>2214</v>
      </c>
      <c r="L215" s="32" t="s">
        <v>1240</v>
      </c>
      <c r="M215" s="31">
        <f>2397</f>
        <v>2397</v>
      </c>
      <c r="N215" s="32" t="s">
        <v>755</v>
      </c>
      <c r="O215" s="31">
        <f>2204</f>
        <v>2204</v>
      </c>
      <c r="P215" s="32" t="s">
        <v>1240</v>
      </c>
      <c r="Q215" s="31">
        <f>2379</f>
        <v>2379</v>
      </c>
      <c r="R215" s="32" t="s">
        <v>755</v>
      </c>
      <c r="S215" s="33">
        <f>2266.43</f>
        <v>2266.4299999999998</v>
      </c>
      <c r="T215" s="30">
        <f>209869</f>
        <v>209869</v>
      </c>
      <c r="U215" s="30">
        <f>3</f>
        <v>3</v>
      </c>
      <c r="V215" s="30">
        <f>477293635</f>
        <v>477293635</v>
      </c>
      <c r="W215" s="30">
        <f>6975</f>
        <v>6975</v>
      </c>
      <c r="X215" s="34">
        <f>21</f>
        <v>21</v>
      </c>
    </row>
    <row r="216" spans="1:24">
      <c r="A216" s="25" t="s">
        <v>1260</v>
      </c>
      <c r="B216" s="25" t="s">
        <v>975</v>
      </c>
      <c r="C216" s="25" t="s">
        <v>976</v>
      </c>
      <c r="D216" s="25" t="s">
        <v>977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2310</f>
        <v>2310</v>
      </c>
      <c r="L216" s="32" t="s">
        <v>1240</v>
      </c>
      <c r="M216" s="31">
        <f>2349</f>
        <v>2349</v>
      </c>
      <c r="N216" s="32" t="s">
        <v>755</v>
      </c>
      <c r="O216" s="31">
        <f>2268</f>
        <v>2268</v>
      </c>
      <c r="P216" s="32" t="s">
        <v>756</v>
      </c>
      <c r="Q216" s="31">
        <f>2327</f>
        <v>2327</v>
      </c>
      <c r="R216" s="32" t="s">
        <v>755</v>
      </c>
      <c r="S216" s="33">
        <f>2298</f>
        <v>2298</v>
      </c>
      <c r="T216" s="30">
        <f>266974</f>
        <v>266974</v>
      </c>
      <c r="U216" s="30">
        <f>48001</f>
        <v>48001</v>
      </c>
      <c r="V216" s="30">
        <f>614798644</f>
        <v>614798644</v>
      </c>
      <c r="W216" s="30">
        <f>110327584</f>
        <v>110327584</v>
      </c>
      <c r="X216" s="34">
        <f>21</f>
        <v>21</v>
      </c>
    </row>
    <row r="217" spans="1:24">
      <c r="A217" s="25" t="s">
        <v>1260</v>
      </c>
      <c r="B217" s="25" t="s">
        <v>978</v>
      </c>
      <c r="C217" s="25" t="s">
        <v>979</v>
      </c>
      <c r="D217" s="25" t="s">
        <v>980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10</v>
      </c>
      <c r="K217" s="31">
        <f>563.5</f>
        <v>563.5</v>
      </c>
      <c r="L217" s="32" t="s">
        <v>1240</v>
      </c>
      <c r="M217" s="31">
        <f>564.9</f>
        <v>564.9</v>
      </c>
      <c r="N217" s="32" t="s">
        <v>1208</v>
      </c>
      <c r="O217" s="31">
        <f>548</f>
        <v>548</v>
      </c>
      <c r="P217" s="32" t="s">
        <v>756</v>
      </c>
      <c r="Q217" s="31">
        <f>561</f>
        <v>561</v>
      </c>
      <c r="R217" s="32" t="s">
        <v>755</v>
      </c>
      <c r="S217" s="33">
        <f>555.91</f>
        <v>555.91</v>
      </c>
      <c r="T217" s="30">
        <f>8698980</f>
        <v>8698980</v>
      </c>
      <c r="U217" s="30">
        <f>7988070</f>
        <v>7988070</v>
      </c>
      <c r="V217" s="30">
        <f>4859261340</f>
        <v>4859261340</v>
      </c>
      <c r="W217" s="30">
        <f>4463612512</f>
        <v>4463612512</v>
      </c>
      <c r="X217" s="34">
        <f>21</f>
        <v>21</v>
      </c>
    </row>
    <row r="218" spans="1:24">
      <c r="A218" s="25" t="s">
        <v>1260</v>
      </c>
      <c r="B218" s="25" t="s">
        <v>981</v>
      </c>
      <c r="C218" s="25" t="s">
        <v>982</v>
      </c>
      <c r="D218" s="25" t="s">
        <v>983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10</v>
      </c>
      <c r="K218" s="31">
        <f>2472</f>
        <v>2472</v>
      </c>
      <c r="L218" s="32" t="s">
        <v>1240</v>
      </c>
      <c r="M218" s="31">
        <f>2574.5</f>
        <v>2574.5</v>
      </c>
      <c r="N218" s="32" t="s">
        <v>755</v>
      </c>
      <c r="O218" s="31">
        <f>2446</f>
        <v>2446</v>
      </c>
      <c r="P218" s="32" t="s">
        <v>1240</v>
      </c>
      <c r="Q218" s="31">
        <f>2574.5</f>
        <v>2574.5</v>
      </c>
      <c r="R218" s="32" t="s">
        <v>755</v>
      </c>
      <c r="S218" s="33">
        <f>2502.1</f>
        <v>2502.1</v>
      </c>
      <c r="T218" s="30">
        <f>190260</f>
        <v>190260</v>
      </c>
      <c r="U218" s="30" t="str">
        <f>"－"</f>
        <v>－</v>
      </c>
      <c r="V218" s="30">
        <f>478109375</f>
        <v>478109375</v>
      </c>
      <c r="W218" s="30" t="str">
        <f>"－"</f>
        <v>－</v>
      </c>
      <c r="X218" s="34">
        <f>15</f>
        <v>15</v>
      </c>
    </row>
    <row r="219" spans="1:24">
      <c r="A219" s="25" t="s">
        <v>1260</v>
      </c>
      <c r="B219" s="25" t="s">
        <v>984</v>
      </c>
      <c r="C219" s="25" t="s">
        <v>985</v>
      </c>
      <c r="D219" s="25" t="s">
        <v>986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2620</f>
        <v>2620</v>
      </c>
      <c r="L219" s="32" t="s">
        <v>1240</v>
      </c>
      <c r="M219" s="31">
        <f>2755</f>
        <v>2755</v>
      </c>
      <c r="N219" s="32" t="s">
        <v>755</v>
      </c>
      <c r="O219" s="31">
        <f>2617</f>
        <v>2617</v>
      </c>
      <c r="P219" s="32" t="s">
        <v>756</v>
      </c>
      <c r="Q219" s="31">
        <f>2754</f>
        <v>2754</v>
      </c>
      <c r="R219" s="32" t="s">
        <v>755</v>
      </c>
      <c r="S219" s="33">
        <f>2663.65</f>
        <v>2663.65</v>
      </c>
      <c r="T219" s="30">
        <f>8890</f>
        <v>8890</v>
      </c>
      <c r="U219" s="30" t="str">
        <f>"－"</f>
        <v>－</v>
      </c>
      <c r="V219" s="30">
        <f>23672675</f>
        <v>23672675</v>
      </c>
      <c r="W219" s="30" t="str">
        <f>"－"</f>
        <v>－</v>
      </c>
      <c r="X219" s="34">
        <f>10</f>
        <v>10</v>
      </c>
    </row>
    <row r="220" spans="1:24">
      <c r="A220" s="25" t="s">
        <v>1260</v>
      </c>
      <c r="B220" s="25" t="s">
        <v>987</v>
      </c>
      <c r="C220" s="25" t="s">
        <v>988</v>
      </c>
      <c r="D220" s="25" t="s">
        <v>989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2232</f>
        <v>2232</v>
      </c>
      <c r="L220" s="32" t="s">
        <v>1240</v>
      </c>
      <c r="M220" s="31">
        <f>2278.5</f>
        <v>2278.5</v>
      </c>
      <c r="N220" s="32" t="s">
        <v>1075</v>
      </c>
      <c r="O220" s="31">
        <f>2207</f>
        <v>2207</v>
      </c>
      <c r="P220" s="32" t="s">
        <v>756</v>
      </c>
      <c r="Q220" s="31">
        <f>2278.5</f>
        <v>2278.5</v>
      </c>
      <c r="R220" s="32" t="s">
        <v>1075</v>
      </c>
      <c r="S220" s="33">
        <f>2243.33</f>
        <v>2243.33</v>
      </c>
      <c r="T220" s="30">
        <f>171320</f>
        <v>171320</v>
      </c>
      <c r="U220" s="30" t="str">
        <f>"－"</f>
        <v>－</v>
      </c>
      <c r="V220" s="30">
        <f>384043020</f>
        <v>384043020</v>
      </c>
      <c r="W220" s="30" t="str">
        <f>"－"</f>
        <v>－</v>
      </c>
      <c r="X220" s="34">
        <f>9</f>
        <v>9</v>
      </c>
    </row>
    <row r="221" spans="1:24">
      <c r="A221" s="25" t="s">
        <v>1260</v>
      </c>
      <c r="B221" s="25" t="s">
        <v>990</v>
      </c>
      <c r="C221" s="25" t="s">
        <v>991</v>
      </c>
      <c r="D221" s="25" t="s">
        <v>992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2755</f>
        <v>2755</v>
      </c>
      <c r="L221" s="32" t="s">
        <v>1240</v>
      </c>
      <c r="M221" s="31">
        <f>2810.5</f>
        <v>2810.5</v>
      </c>
      <c r="N221" s="32" t="s">
        <v>852</v>
      </c>
      <c r="O221" s="31">
        <f>2645</f>
        <v>2645</v>
      </c>
      <c r="P221" s="32" t="s">
        <v>756</v>
      </c>
      <c r="Q221" s="31">
        <f>2755</f>
        <v>2755</v>
      </c>
      <c r="R221" s="32" t="s">
        <v>755</v>
      </c>
      <c r="S221" s="33">
        <f>2723.61</f>
        <v>2723.61</v>
      </c>
      <c r="T221" s="30">
        <f>1287750</f>
        <v>1287750</v>
      </c>
      <c r="U221" s="30">
        <f>913040</f>
        <v>913040</v>
      </c>
      <c r="V221" s="30">
        <f>3498603640</f>
        <v>3498603640</v>
      </c>
      <c r="W221" s="30">
        <f>2500705485</f>
        <v>2500705485</v>
      </c>
      <c r="X221" s="34">
        <f>19</f>
        <v>19</v>
      </c>
    </row>
    <row r="222" spans="1:24">
      <c r="A222" s="25" t="s">
        <v>1260</v>
      </c>
      <c r="B222" s="25" t="s">
        <v>993</v>
      </c>
      <c r="C222" s="25" t="s">
        <v>994</v>
      </c>
      <c r="D222" s="25" t="s">
        <v>995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>
        <f>4515</f>
        <v>4515</v>
      </c>
      <c r="L222" s="32" t="s">
        <v>1240</v>
      </c>
      <c r="M222" s="31">
        <f>4725</f>
        <v>4725</v>
      </c>
      <c r="N222" s="32" t="s">
        <v>663</v>
      </c>
      <c r="O222" s="31">
        <f>4486</f>
        <v>4486</v>
      </c>
      <c r="P222" s="32" t="s">
        <v>852</v>
      </c>
      <c r="Q222" s="31">
        <f>4562</f>
        <v>4562</v>
      </c>
      <c r="R222" s="32" t="s">
        <v>755</v>
      </c>
      <c r="S222" s="33">
        <f>4534.12</f>
        <v>4534.12</v>
      </c>
      <c r="T222" s="30">
        <f>35220</f>
        <v>35220</v>
      </c>
      <c r="U222" s="30" t="str">
        <f>"－"</f>
        <v>－</v>
      </c>
      <c r="V222" s="30">
        <f>158504490</f>
        <v>158504490</v>
      </c>
      <c r="W222" s="30" t="str">
        <f>"－"</f>
        <v>－</v>
      </c>
      <c r="X222" s="34">
        <f>17</f>
        <v>17</v>
      </c>
    </row>
    <row r="223" spans="1:24">
      <c r="A223" s="25" t="s">
        <v>1260</v>
      </c>
      <c r="B223" s="25" t="s">
        <v>996</v>
      </c>
      <c r="C223" s="25" t="s">
        <v>997</v>
      </c>
      <c r="D223" s="25" t="s">
        <v>998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>
        <f>4765</f>
        <v>4765</v>
      </c>
      <c r="L223" s="32" t="s">
        <v>852</v>
      </c>
      <c r="M223" s="31">
        <f>4772</f>
        <v>4772</v>
      </c>
      <c r="N223" s="32" t="s">
        <v>1212</v>
      </c>
      <c r="O223" s="31">
        <f>4754</f>
        <v>4754</v>
      </c>
      <c r="P223" s="32" t="s">
        <v>852</v>
      </c>
      <c r="Q223" s="31">
        <f>4772</f>
        <v>4772</v>
      </c>
      <c r="R223" s="32" t="s">
        <v>1212</v>
      </c>
      <c r="S223" s="33">
        <f>4763</f>
        <v>4763</v>
      </c>
      <c r="T223" s="30">
        <f>700</f>
        <v>700</v>
      </c>
      <c r="U223" s="30" t="str">
        <f>"－"</f>
        <v>－</v>
      </c>
      <c r="V223" s="30">
        <f>3332900</f>
        <v>3332900</v>
      </c>
      <c r="W223" s="30" t="str">
        <f>"－"</f>
        <v>－</v>
      </c>
      <c r="X223" s="34">
        <f>2</f>
        <v>2</v>
      </c>
    </row>
    <row r="224" spans="1:24">
      <c r="A224" s="25" t="s">
        <v>1260</v>
      </c>
      <c r="B224" s="25" t="s">
        <v>999</v>
      </c>
      <c r="C224" s="25" t="s">
        <v>1000</v>
      </c>
      <c r="D224" s="25" t="s">
        <v>1001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 t="str">
        <f>"－"</f>
        <v>－</v>
      </c>
      <c r="L224" s="32"/>
      <c r="M224" s="31" t="str">
        <f>"－"</f>
        <v>－</v>
      </c>
      <c r="N224" s="32"/>
      <c r="O224" s="31" t="str">
        <f>"－"</f>
        <v>－</v>
      </c>
      <c r="P224" s="32"/>
      <c r="Q224" s="31" t="str">
        <f>"－"</f>
        <v>－</v>
      </c>
      <c r="R224" s="32"/>
      <c r="S224" s="33" t="str">
        <f>"－"</f>
        <v>－</v>
      </c>
      <c r="T224" s="30" t="str">
        <f>"－"</f>
        <v>－</v>
      </c>
      <c r="U224" s="30" t="str">
        <f>"－"</f>
        <v>－</v>
      </c>
      <c r="V224" s="30" t="str">
        <f>"－"</f>
        <v>－</v>
      </c>
      <c r="W224" s="30" t="str">
        <f>"－"</f>
        <v>－</v>
      </c>
      <c r="X224" s="34" t="str">
        <f>"－"</f>
        <v>－</v>
      </c>
    </row>
    <row r="225" spans="1:24">
      <c r="A225" s="25" t="s">
        <v>1260</v>
      </c>
      <c r="B225" s="25" t="s">
        <v>1025</v>
      </c>
      <c r="C225" s="25" t="s">
        <v>1024</v>
      </c>
      <c r="D225" s="25" t="s">
        <v>1023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4816</f>
        <v>4816</v>
      </c>
      <c r="L225" s="32" t="s">
        <v>1240</v>
      </c>
      <c r="M225" s="31">
        <f>4992</f>
        <v>4992</v>
      </c>
      <c r="N225" s="32" t="s">
        <v>662</v>
      </c>
      <c r="O225" s="31">
        <f>4776</f>
        <v>4776</v>
      </c>
      <c r="P225" s="32" t="s">
        <v>1204</v>
      </c>
      <c r="Q225" s="31">
        <f>4839</f>
        <v>4839</v>
      </c>
      <c r="R225" s="32" t="s">
        <v>755</v>
      </c>
      <c r="S225" s="33">
        <f>4850.71</f>
        <v>4850.71</v>
      </c>
      <c r="T225" s="30">
        <f>410160</f>
        <v>410160</v>
      </c>
      <c r="U225" s="30">
        <f>400000</f>
        <v>400000</v>
      </c>
      <c r="V225" s="30">
        <f>2024411320</f>
        <v>2024411320</v>
      </c>
      <c r="W225" s="30">
        <f>1975240000</f>
        <v>1975240000</v>
      </c>
      <c r="X225" s="34">
        <f>21</f>
        <v>21</v>
      </c>
    </row>
    <row r="226" spans="1:24">
      <c r="A226" s="25" t="s">
        <v>1260</v>
      </c>
      <c r="B226" s="25" t="s">
        <v>1022</v>
      </c>
      <c r="C226" s="25" t="s">
        <v>1021</v>
      </c>
      <c r="D226" s="25" t="s">
        <v>1020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</v>
      </c>
      <c r="K226" s="31">
        <f>912</f>
        <v>912</v>
      </c>
      <c r="L226" s="32" t="s">
        <v>1240</v>
      </c>
      <c r="M226" s="31">
        <f>913</f>
        <v>913</v>
      </c>
      <c r="N226" s="32" t="s">
        <v>1240</v>
      </c>
      <c r="O226" s="31">
        <f>870</f>
        <v>870</v>
      </c>
      <c r="P226" s="32" t="s">
        <v>755</v>
      </c>
      <c r="Q226" s="31">
        <f>882</f>
        <v>882</v>
      </c>
      <c r="R226" s="32" t="s">
        <v>755</v>
      </c>
      <c r="S226" s="33">
        <f>889.71</f>
        <v>889.71</v>
      </c>
      <c r="T226" s="30">
        <f>248056</f>
        <v>248056</v>
      </c>
      <c r="U226" s="30" t="str">
        <f>"－"</f>
        <v>－</v>
      </c>
      <c r="V226" s="30">
        <f>220618263</f>
        <v>220618263</v>
      </c>
      <c r="W226" s="30" t="str">
        <f>"－"</f>
        <v>－</v>
      </c>
      <c r="X226" s="34">
        <f>21</f>
        <v>21</v>
      </c>
    </row>
    <row r="227" spans="1:24">
      <c r="A227" s="25" t="s">
        <v>1260</v>
      </c>
      <c r="B227" s="25" t="s">
        <v>1019</v>
      </c>
      <c r="C227" s="25" t="s">
        <v>1018</v>
      </c>
      <c r="D227" s="25" t="s">
        <v>1017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</v>
      </c>
      <c r="K227" s="31">
        <f>1071</f>
        <v>1071</v>
      </c>
      <c r="L227" s="32" t="s">
        <v>1240</v>
      </c>
      <c r="M227" s="31">
        <f>1093</f>
        <v>1093</v>
      </c>
      <c r="N227" s="32" t="s">
        <v>1205</v>
      </c>
      <c r="O227" s="31">
        <f>1052</f>
        <v>1052</v>
      </c>
      <c r="P227" s="32" t="s">
        <v>1081</v>
      </c>
      <c r="Q227" s="31">
        <f>1076</f>
        <v>1076</v>
      </c>
      <c r="R227" s="32" t="s">
        <v>755</v>
      </c>
      <c r="S227" s="33">
        <f>1067.43</f>
        <v>1067.43</v>
      </c>
      <c r="T227" s="30">
        <f>104220</f>
        <v>104220</v>
      </c>
      <c r="U227" s="30" t="str">
        <f>"－"</f>
        <v>－</v>
      </c>
      <c r="V227" s="30">
        <f>111438243</f>
        <v>111438243</v>
      </c>
      <c r="W227" s="30" t="str">
        <f>"－"</f>
        <v>－</v>
      </c>
      <c r="X227" s="34">
        <f>21</f>
        <v>21</v>
      </c>
    </row>
    <row r="228" spans="1:24">
      <c r="A228" s="25" t="s">
        <v>1260</v>
      </c>
      <c r="B228" s="25" t="s">
        <v>1016</v>
      </c>
      <c r="C228" s="25" t="s">
        <v>1015</v>
      </c>
      <c r="D228" s="25" t="s">
        <v>1014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1021</f>
        <v>1021</v>
      </c>
      <c r="L228" s="32" t="s">
        <v>1240</v>
      </c>
      <c r="M228" s="31">
        <f>1113</f>
        <v>1113</v>
      </c>
      <c r="N228" s="32" t="s">
        <v>1210</v>
      </c>
      <c r="O228" s="31">
        <f>1017</f>
        <v>1017</v>
      </c>
      <c r="P228" s="32" t="s">
        <v>1240</v>
      </c>
      <c r="Q228" s="31">
        <f>1047</f>
        <v>1047</v>
      </c>
      <c r="R228" s="32" t="s">
        <v>755</v>
      </c>
      <c r="S228" s="33">
        <f>1042.81</f>
        <v>1042.81</v>
      </c>
      <c r="T228" s="30">
        <f>216335</f>
        <v>216335</v>
      </c>
      <c r="U228" s="30" t="str">
        <f>"－"</f>
        <v>－</v>
      </c>
      <c r="V228" s="30">
        <f>226565157</f>
        <v>226565157</v>
      </c>
      <c r="W228" s="30" t="str">
        <f>"－"</f>
        <v>－</v>
      </c>
      <c r="X228" s="34">
        <f>21</f>
        <v>21</v>
      </c>
    </row>
    <row r="229" spans="1:24">
      <c r="A229" s="25" t="s">
        <v>1260</v>
      </c>
      <c r="B229" s="25" t="s">
        <v>1013</v>
      </c>
      <c r="C229" s="25" t="s">
        <v>1012</v>
      </c>
      <c r="D229" s="25" t="s">
        <v>1011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937</f>
        <v>937</v>
      </c>
      <c r="L229" s="32" t="s">
        <v>1240</v>
      </c>
      <c r="M229" s="31">
        <f>977</f>
        <v>977</v>
      </c>
      <c r="N229" s="32" t="s">
        <v>1081</v>
      </c>
      <c r="O229" s="31">
        <f>924</f>
        <v>924</v>
      </c>
      <c r="P229" s="32" t="s">
        <v>1209</v>
      </c>
      <c r="Q229" s="31">
        <f>935</f>
        <v>935</v>
      </c>
      <c r="R229" s="32" t="s">
        <v>755</v>
      </c>
      <c r="S229" s="33">
        <f>938.48</f>
        <v>938.48</v>
      </c>
      <c r="T229" s="30">
        <f>680805</f>
        <v>680805</v>
      </c>
      <c r="U229" s="30" t="str">
        <f>"－"</f>
        <v>－</v>
      </c>
      <c r="V229" s="30">
        <f>642137784</f>
        <v>642137784</v>
      </c>
      <c r="W229" s="30" t="str">
        <f>"－"</f>
        <v>－</v>
      </c>
      <c r="X229" s="34">
        <f>21</f>
        <v>21</v>
      </c>
    </row>
    <row r="230" spans="1:24">
      <c r="A230" s="25" t="s">
        <v>1260</v>
      </c>
      <c r="B230" s="25" t="s">
        <v>1010</v>
      </c>
      <c r="C230" s="25" t="s">
        <v>1009</v>
      </c>
      <c r="D230" s="25" t="s">
        <v>1008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988</f>
        <v>988</v>
      </c>
      <c r="L230" s="32" t="s">
        <v>1240</v>
      </c>
      <c r="M230" s="31">
        <f>1080</f>
        <v>1080</v>
      </c>
      <c r="N230" s="32" t="s">
        <v>1075</v>
      </c>
      <c r="O230" s="31">
        <f>981</f>
        <v>981</v>
      </c>
      <c r="P230" s="32" t="s">
        <v>1204</v>
      </c>
      <c r="Q230" s="31">
        <f>1013</f>
        <v>1013</v>
      </c>
      <c r="R230" s="32" t="s">
        <v>755</v>
      </c>
      <c r="S230" s="33">
        <f>1008.43</f>
        <v>1008.43</v>
      </c>
      <c r="T230" s="30">
        <f>115601</f>
        <v>115601</v>
      </c>
      <c r="U230" s="30" t="str">
        <f>"－"</f>
        <v>－</v>
      </c>
      <c r="V230" s="30">
        <f>117201118</f>
        <v>117201118</v>
      </c>
      <c r="W230" s="30" t="str">
        <f>"－"</f>
        <v>－</v>
      </c>
      <c r="X230" s="34">
        <f>21</f>
        <v>21</v>
      </c>
    </row>
    <row r="231" spans="1:24">
      <c r="A231" s="25" t="s">
        <v>1260</v>
      </c>
      <c r="B231" s="25" t="s">
        <v>1125</v>
      </c>
      <c r="C231" s="25" t="s">
        <v>1126</v>
      </c>
      <c r="D231" s="25" t="s">
        <v>1127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1537</f>
        <v>1537</v>
      </c>
      <c r="L231" s="32" t="s">
        <v>1240</v>
      </c>
      <c r="M231" s="31">
        <f>1595</f>
        <v>1595</v>
      </c>
      <c r="N231" s="32" t="s">
        <v>755</v>
      </c>
      <c r="O231" s="31">
        <f>1511</f>
        <v>1511</v>
      </c>
      <c r="P231" s="32" t="s">
        <v>1209</v>
      </c>
      <c r="Q231" s="31">
        <f>1550</f>
        <v>1550</v>
      </c>
      <c r="R231" s="32" t="s">
        <v>755</v>
      </c>
      <c r="S231" s="33">
        <f>1552.57</f>
        <v>1552.57</v>
      </c>
      <c r="T231" s="30">
        <f>239112</f>
        <v>239112</v>
      </c>
      <c r="U231" s="30">
        <f>46400</f>
        <v>46400</v>
      </c>
      <c r="V231" s="30">
        <f>373967231</f>
        <v>373967231</v>
      </c>
      <c r="W231" s="30">
        <f>73177980</f>
        <v>73177980</v>
      </c>
      <c r="X231" s="34">
        <f>21</f>
        <v>21</v>
      </c>
    </row>
    <row r="232" spans="1:24">
      <c r="A232" s="25" t="s">
        <v>1260</v>
      </c>
      <c r="B232" s="25" t="s">
        <v>1139</v>
      </c>
      <c r="C232" s="25" t="s">
        <v>1138</v>
      </c>
      <c r="D232" s="25" t="s">
        <v>1137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10</v>
      </c>
      <c r="K232" s="31">
        <f>137.2</f>
        <v>137.19999999999999</v>
      </c>
      <c r="L232" s="32" t="s">
        <v>1240</v>
      </c>
      <c r="M232" s="31">
        <f>165.1</f>
        <v>165.1</v>
      </c>
      <c r="N232" s="32" t="s">
        <v>755</v>
      </c>
      <c r="O232" s="31">
        <f>134.4</f>
        <v>134.4</v>
      </c>
      <c r="P232" s="32" t="s">
        <v>1240</v>
      </c>
      <c r="Q232" s="31">
        <f>160.1</f>
        <v>160.1</v>
      </c>
      <c r="R232" s="32" t="s">
        <v>755</v>
      </c>
      <c r="S232" s="33">
        <f>146.58</f>
        <v>146.58000000000001</v>
      </c>
      <c r="T232" s="30">
        <f>3343740</f>
        <v>3343740</v>
      </c>
      <c r="U232" s="30" t="str">
        <f>"－"</f>
        <v>－</v>
      </c>
      <c r="V232" s="30">
        <f>506174217</f>
        <v>506174217</v>
      </c>
      <c r="W232" s="30" t="str">
        <f>"－"</f>
        <v>－</v>
      </c>
      <c r="X232" s="34">
        <f>21</f>
        <v>21</v>
      </c>
    </row>
    <row r="233" spans="1:24">
      <c r="A233" s="25" t="s">
        <v>1260</v>
      </c>
      <c r="B233" s="25" t="s">
        <v>1136</v>
      </c>
      <c r="C233" s="25" t="s">
        <v>1135</v>
      </c>
      <c r="D233" s="25" t="s">
        <v>1134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10</v>
      </c>
      <c r="K233" s="31">
        <f>385</f>
        <v>385</v>
      </c>
      <c r="L233" s="32" t="s">
        <v>1240</v>
      </c>
      <c r="M233" s="31">
        <f>469.1</f>
        <v>469.1</v>
      </c>
      <c r="N233" s="32" t="s">
        <v>755</v>
      </c>
      <c r="O233" s="31">
        <f>381.6</f>
        <v>381.6</v>
      </c>
      <c r="P233" s="32" t="s">
        <v>1240</v>
      </c>
      <c r="Q233" s="31">
        <f>461.1</f>
        <v>461.1</v>
      </c>
      <c r="R233" s="32" t="s">
        <v>755</v>
      </c>
      <c r="S233" s="33">
        <f>417.73</f>
        <v>417.73</v>
      </c>
      <c r="T233" s="30">
        <f>488340</f>
        <v>488340</v>
      </c>
      <c r="U233" s="30" t="str">
        <f>"－"</f>
        <v>－</v>
      </c>
      <c r="V233" s="30">
        <f>209308901</f>
        <v>209308901</v>
      </c>
      <c r="W233" s="30" t="str">
        <f>"－"</f>
        <v>－</v>
      </c>
      <c r="X233" s="34">
        <f>21</f>
        <v>21</v>
      </c>
    </row>
    <row r="234" spans="1:24">
      <c r="A234" s="25" t="s">
        <v>1260</v>
      </c>
      <c r="B234" s="25" t="s">
        <v>844</v>
      </c>
      <c r="C234" s="25" t="s">
        <v>845</v>
      </c>
      <c r="D234" s="25" t="s">
        <v>846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</v>
      </c>
      <c r="K234" s="31">
        <f>2668</f>
        <v>2668</v>
      </c>
      <c r="L234" s="32" t="s">
        <v>1240</v>
      </c>
      <c r="M234" s="31">
        <f>2792</f>
        <v>2792</v>
      </c>
      <c r="N234" s="32" t="s">
        <v>755</v>
      </c>
      <c r="O234" s="31">
        <f>2637</f>
        <v>2637</v>
      </c>
      <c r="P234" s="32" t="s">
        <v>1204</v>
      </c>
      <c r="Q234" s="31">
        <f>2779</f>
        <v>2779</v>
      </c>
      <c r="R234" s="32" t="s">
        <v>755</v>
      </c>
      <c r="S234" s="33">
        <f>2697.33</f>
        <v>2697.33</v>
      </c>
      <c r="T234" s="30">
        <f>146789</f>
        <v>146789</v>
      </c>
      <c r="U234" s="30">
        <f>8</f>
        <v>8</v>
      </c>
      <c r="V234" s="30">
        <f>396469066</f>
        <v>396469066</v>
      </c>
      <c r="W234" s="30">
        <f>21896</f>
        <v>21896</v>
      </c>
      <c r="X234" s="34">
        <f>21</f>
        <v>21</v>
      </c>
    </row>
    <row r="235" spans="1:24">
      <c r="A235" s="25" t="s">
        <v>1260</v>
      </c>
      <c r="B235" s="25" t="s">
        <v>847</v>
      </c>
      <c r="C235" s="25" t="s">
        <v>848</v>
      </c>
      <c r="D235" s="25" t="s">
        <v>849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</v>
      </c>
      <c r="K235" s="31">
        <f>1167</f>
        <v>1167</v>
      </c>
      <c r="L235" s="32" t="s">
        <v>1240</v>
      </c>
      <c r="M235" s="31">
        <f>1188</f>
        <v>1188</v>
      </c>
      <c r="N235" s="32" t="s">
        <v>1220</v>
      </c>
      <c r="O235" s="31">
        <f>1155</f>
        <v>1155</v>
      </c>
      <c r="P235" s="32" t="s">
        <v>1204</v>
      </c>
      <c r="Q235" s="31">
        <f>1181</f>
        <v>1181</v>
      </c>
      <c r="R235" s="32" t="s">
        <v>755</v>
      </c>
      <c r="S235" s="33">
        <f>1172.62</f>
        <v>1172.6199999999999</v>
      </c>
      <c r="T235" s="30">
        <f>469242</f>
        <v>469242</v>
      </c>
      <c r="U235" s="30">
        <f>34600</f>
        <v>34600</v>
      </c>
      <c r="V235" s="30">
        <f>549791012</f>
        <v>549791012</v>
      </c>
      <c r="W235" s="30">
        <f>40297515</f>
        <v>40297515</v>
      </c>
      <c r="X235" s="34">
        <f>21</f>
        <v>21</v>
      </c>
    </row>
    <row r="236" spans="1:24">
      <c r="A236" s="25" t="s">
        <v>1260</v>
      </c>
      <c r="B236" s="25" t="s">
        <v>853</v>
      </c>
      <c r="C236" s="25" t="s">
        <v>854</v>
      </c>
      <c r="D236" s="25" t="s">
        <v>855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81110</f>
        <v>81110</v>
      </c>
      <c r="L236" s="32" t="s">
        <v>1240</v>
      </c>
      <c r="M236" s="31">
        <f>89500</f>
        <v>89500</v>
      </c>
      <c r="N236" s="32" t="s">
        <v>755</v>
      </c>
      <c r="O236" s="31">
        <f>80530</f>
        <v>80530</v>
      </c>
      <c r="P236" s="32" t="s">
        <v>1240</v>
      </c>
      <c r="Q236" s="31">
        <f>89500</f>
        <v>89500</v>
      </c>
      <c r="R236" s="32" t="s">
        <v>755</v>
      </c>
      <c r="S236" s="33">
        <f>84204.76</f>
        <v>84204.76</v>
      </c>
      <c r="T236" s="30">
        <f>31535</f>
        <v>31535</v>
      </c>
      <c r="U236" s="30" t="str">
        <f>"－"</f>
        <v>－</v>
      </c>
      <c r="V236" s="30">
        <f>2658545980</f>
        <v>2658545980</v>
      </c>
      <c r="W236" s="30" t="str">
        <f>"－"</f>
        <v>－</v>
      </c>
      <c r="X236" s="34">
        <f>21</f>
        <v>21</v>
      </c>
    </row>
    <row r="237" spans="1:24">
      <c r="A237" s="25" t="s">
        <v>1260</v>
      </c>
      <c r="B237" s="25" t="s">
        <v>856</v>
      </c>
      <c r="C237" s="25" t="s">
        <v>857</v>
      </c>
      <c r="D237" s="25" t="s">
        <v>858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6698</f>
        <v>6698</v>
      </c>
      <c r="L237" s="32" t="s">
        <v>1240</v>
      </c>
      <c r="M237" s="31">
        <f>6745</f>
        <v>6745</v>
      </c>
      <c r="N237" s="32" t="s">
        <v>1240</v>
      </c>
      <c r="O237" s="31">
        <f>6355</f>
        <v>6355</v>
      </c>
      <c r="P237" s="32" t="s">
        <v>755</v>
      </c>
      <c r="Q237" s="31">
        <f>6373</f>
        <v>6373</v>
      </c>
      <c r="R237" s="32" t="s">
        <v>755</v>
      </c>
      <c r="S237" s="33">
        <f>6572.14</f>
        <v>6572.14</v>
      </c>
      <c r="T237" s="30">
        <f>59189</f>
        <v>59189</v>
      </c>
      <c r="U237" s="30" t="str">
        <f>"－"</f>
        <v>－</v>
      </c>
      <c r="V237" s="30">
        <f>388296858</f>
        <v>388296858</v>
      </c>
      <c r="W237" s="30" t="str">
        <f>"－"</f>
        <v>－</v>
      </c>
      <c r="X237" s="34">
        <f>21</f>
        <v>21</v>
      </c>
    </row>
    <row r="238" spans="1:24">
      <c r="A238" s="25" t="s">
        <v>1260</v>
      </c>
      <c r="B238" s="25" t="s">
        <v>860</v>
      </c>
      <c r="C238" s="25" t="s">
        <v>861</v>
      </c>
      <c r="D238" s="25" t="s">
        <v>862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</v>
      </c>
      <c r="K238" s="31">
        <f>17600</f>
        <v>17600</v>
      </c>
      <c r="L238" s="32" t="s">
        <v>1240</v>
      </c>
      <c r="M238" s="31">
        <f>19395</f>
        <v>19395</v>
      </c>
      <c r="N238" s="32" t="s">
        <v>755</v>
      </c>
      <c r="O238" s="31">
        <f>17430</f>
        <v>17430</v>
      </c>
      <c r="P238" s="32" t="s">
        <v>1240</v>
      </c>
      <c r="Q238" s="31">
        <f>19325</f>
        <v>19325</v>
      </c>
      <c r="R238" s="32" t="s">
        <v>755</v>
      </c>
      <c r="S238" s="33">
        <f>18204.05</f>
        <v>18204.05</v>
      </c>
      <c r="T238" s="30">
        <f>41650</f>
        <v>41650</v>
      </c>
      <c r="U238" s="30" t="str">
        <f>"－"</f>
        <v>－</v>
      </c>
      <c r="V238" s="30">
        <f>760540330</f>
        <v>760540330</v>
      </c>
      <c r="W238" s="30" t="str">
        <f>"－"</f>
        <v>－</v>
      </c>
      <c r="X238" s="34">
        <f>21</f>
        <v>21</v>
      </c>
    </row>
    <row r="239" spans="1:24">
      <c r="A239" s="25" t="s">
        <v>1260</v>
      </c>
      <c r="B239" s="25" t="s">
        <v>1133</v>
      </c>
      <c r="C239" s="25" t="s">
        <v>1132</v>
      </c>
      <c r="D239" s="25" t="s">
        <v>1131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1045</f>
        <v>1045</v>
      </c>
      <c r="L239" s="32" t="s">
        <v>1240</v>
      </c>
      <c r="M239" s="31">
        <f>1133</f>
        <v>1133</v>
      </c>
      <c r="N239" s="32" t="s">
        <v>755</v>
      </c>
      <c r="O239" s="31">
        <f>1028</f>
        <v>1028</v>
      </c>
      <c r="P239" s="32" t="s">
        <v>1240</v>
      </c>
      <c r="Q239" s="31">
        <f>1125</f>
        <v>1125</v>
      </c>
      <c r="R239" s="32" t="s">
        <v>755</v>
      </c>
      <c r="S239" s="33">
        <f>1084.71</f>
        <v>1084.71</v>
      </c>
      <c r="T239" s="30">
        <f>301696</f>
        <v>301696</v>
      </c>
      <c r="U239" s="30">
        <f>28000</f>
        <v>28000</v>
      </c>
      <c r="V239" s="30">
        <f>327657287</f>
        <v>327657287</v>
      </c>
      <c r="W239" s="30">
        <f>30536800</f>
        <v>30536800</v>
      </c>
      <c r="X239" s="34">
        <f>21</f>
        <v>21</v>
      </c>
    </row>
    <row r="240" spans="1:24">
      <c r="A240" s="25" t="s">
        <v>1260</v>
      </c>
      <c r="B240" s="25" t="s">
        <v>863</v>
      </c>
      <c r="C240" s="25" t="s">
        <v>864</v>
      </c>
      <c r="D240" s="25" t="s">
        <v>865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</v>
      </c>
      <c r="K240" s="31">
        <f>6785</f>
        <v>6785</v>
      </c>
      <c r="L240" s="32" t="s">
        <v>1240</v>
      </c>
      <c r="M240" s="31">
        <f>6800</f>
        <v>6800</v>
      </c>
      <c r="N240" s="32" t="s">
        <v>1240</v>
      </c>
      <c r="O240" s="31">
        <f>6449</f>
        <v>6449</v>
      </c>
      <c r="P240" s="32" t="s">
        <v>755</v>
      </c>
      <c r="Q240" s="31">
        <f>6450</f>
        <v>6450</v>
      </c>
      <c r="R240" s="32" t="s">
        <v>755</v>
      </c>
      <c r="S240" s="33">
        <f>6650.71</f>
        <v>6650.71</v>
      </c>
      <c r="T240" s="30">
        <f>19527</f>
        <v>19527</v>
      </c>
      <c r="U240" s="30" t="str">
        <f>"－"</f>
        <v>－</v>
      </c>
      <c r="V240" s="30">
        <f>129723800</f>
        <v>129723800</v>
      </c>
      <c r="W240" s="30" t="str">
        <f>"－"</f>
        <v>－</v>
      </c>
      <c r="X240" s="34">
        <f>21</f>
        <v>21</v>
      </c>
    </row>
    <row r="241" spans="1:24">
      <c r="A241" s="25" t="s">
        <v>1260</v>
      </c>
      <c r="B241" s="25" t="s">
        <v>866</v>
      </c>
      <c r="C241" s="25" t="s">
        <v>867</v>
      </c>
      <c r="D241" s="25" t="s">
        <v>868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10</v>
      </c>
      <c r="K241" s="31">
        <f>680.9</f>
        <v>680.9</v>
      </c>
      <c r="L241" s="32" t="s">
        <v>1240</v>
      </c>
      <c r="M241" s="31">
        <f>710.3</f>
        <v>710.3</v>
      </c>
      <c r="N241" s="32" t="s">
        <v>755</v>
      </c>
      <c r="O241" s="31">
        <f>671</f>
        <v>671</v>
      </c>
      <c r="P241" s="32" t="s">
        <v>1204</v>
      </c>
      <c r="Q241" s="31">
        <f>707.8</f>
        <v>707.8</v>
      </c>
      <c r="R241" s="32" t="s">
        <v>755</v>
      </c>
      <c r="S241" s="33">
        <f>686.3</f>
        <v>686.3</v>
      </c>
      <c r="T241" s="30">
        <f>326490</f>
        <v>326490</v>
      </c>
      <c r="U241" s="30" t="str">
        <f>"－"</f>
        <v>－</v>
      </c>
      <c r="V241" s="30">
        <f>223489644</f>
        <v>223489644</v>
      </c>
      <c r="W241" s="30" t="str">
        <f>"－"</f>
        <v>－</v>
      </c>
      <c r="X241" s="34">
        <f>21</f>
        <v>21</v>
      </c>
    </row>
    <row r="242" spans="1:24">
      <c r="A242" s="25" t="s">
        <v>1260</v>
      </c>
      <c r="B242" s="25" t="s">
        <v>869</v>
      </c>
      <c r="C242" s="25" t="s">
        <v>870</v>
      </c>
      <c r="D242" s="25" t="s">
        <v>871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10</v>
      </c>
      <c r="K242" s="31">
        <f>564</f>
        <v>564</v>
      </c>
      <c r="L242" s="32" t="s">
        <v>1240</v>
      </c>
      <c r="M242" s="31">
        <f>588</f>
        <v>588</v>
      </c>
      <c r="N242" s="32" t="s">
        <v>755</v>
      </c>
      <c r="O242" s="31">
        <f>560.3</f>
        <v>560.29999999999995</v>
      </c>
      <c r="P242" s="32" t="s">
        <v>1081</v>
      </c>
      <c r="Q242" s="31">
        <f>588</f>
        <v>588</v>
      </c>
      <c r="R242" s="32" t="s">
        <v>755</v>
      </c>
      <c r="S242" s="33">
        <f>569.04</f>
        <v>569.04</v>
      </c>
      <c r="T242" s="30">
        <f>475940</f>
        <v>475940</v>
      </c>
      <c r="U242" s="30">
        <f>351920</f>
        <v>351920</v>
      </c>
      <c r="V242" s="30">
        <f>270586127</f>
        <v>270586127</v>
      </c>
      <c r="W242" s="30">
        <f>200190626</f>
        <v>200190626</v>
      </c>
      <c r="X242" s="34">
        <f>21</f>
        <v>21</v>
      </c>
    </row>
    <row r="243" spans="1:24">
      <c r="A243" s="25" t="s">
        <v>1260</v>
      </c>
      <c r="B243" s="25" t="s">
        <v>906</v>
      </c>
      <c r="C243" s="25" t="s">
        <v>907</v>
      </c>
      <c r="D243" s="25" t="s">
        <v>908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</v>
      </c>
      <c r="K243" s="31">
        <f>1634</f>
        <v>1634</v>
      </c>
      <c r="L243" s="32" t="s">
        <v>1240</v>
      </c>
      <c r="M243" s="31">
        <f>1925</f>
        <v>1925</v>
      </c>
      <c r="N243" s="32" t="s">
        <v>755</v>
      </c>
      <c r="O243" s="31">
        <f>1614</f>
        <v>1614</v>
      </c>
      <c r="P243" s="32" t="s">
        <v>1240</v>
      </c>
      <c r="Q243" s="31">
        <f>1924</f>
        <v>1924</v>
      </c>
      <c r="R243" s="32" t="s">
        <v>755</v>
      </c>
      <c r="S243" s="33">
        <f>1793.52</f>
        <v>1793.52</v>
      </c>
      <c r="T243" s="30">
        <f>5152309</f>
        <v>5152309</v>
      </c>
      <c r="U243" s="30">
        <f>6459</f>
        <v>6459</v>
      </c>
      <c r="V243" s="30">
        <f>9248165144</f>
        <v>9248165144</v>
      </c>
      <c r="W243" s="30">
        <f>12256416</f>
        <v>12256416</v>
      </c>
      <c r="X243" s="34">
        <f>21</f>
        <v>21</v>
      </c>
    </row>
    <row r="244" spans="1:24">
      <c r="A244" s="25" t="s">
        <v>1260</v>
      </c>
      <c r="B244" s="25" t="s">
        <v>909</v>
      </c>
      <c r="C244" s="25" t="s">
        <v>910</v>
      </c>
      <c r="D244" s="25" t="s">
        <v>911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</v>
      </c>
      <c r="K244" s="31">
        <f>2317</f>
        <v>2317</v>
      </c>
      <c r="L244" s="32" t="s">
        <v>1240</v>
      </c>
      <c r="M244" s="31">
        <f>2510</f>
        <v>2510</v>
      </c>
      <c r="N244" s="32" t="s">
        <v>755</v>
      </c>
      <c r="O244" s="31">
        <f>2291</f>
        <v>2291</v>
      </c>
      <c r="P244" s="32" t="s">
        <v>1240</v>
      </c>
      <c r="Q244" s="31">
        <f>2507</f>
        <v>2507</v>
      </c>
      <c r="R244" s="32" t="s">
        <v>755</v>
      </c>
      <c r="S244" s="33">
        <f>2401.43</f>
        <v>2401.4299999999998</v>
      </c>
      <c r="T244" s="30">
        <f>4231094</f>
        <v>4231094</v>
      </c>
      <c r="U244" s="30">
        <f>781</f>
        <v>781</v>
      </c>
      <c r="V244" s="30">
        <f>10173571762</f>
        <v>10173571762</v>
      </c>
      <c r="W244" s="30">
        <f>1913830</f>
        <v>1913830</v>
      </c>
      <c r="X244" s="34">
        <f>21</f>
        <v>21</v>
      </c>
    </row>
    <row r="245" spans="1:24">
      <c r="A245" s="25" t="s">
        <v>1260</v>
      </c>
      <c r="B245" s="25" t="s">
        <v>912</v>
      </c>
      <c r="C245" s="25" t="s">
        <v>913</v>
      </c>
      <c r="D245" s="25" t="s">
        <v>914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10</v>
      </c>
      <c r="K245" s="31">
        <f>749.9</f>
        <v>749.9</v>
      </c>
      <c r="L245" s="32" t="s">
        <v>1240</v>
      </c>
      <c r="M245" s="31">
        <f>765.5</f>
        <v>765.5</v>
      </c>
      <c r="N245" s="32" t="s">
        <v>1208</v>
      </c>
      <c r="O245" s="31">
        <f>742</f>
        <v>742</v>
      </c>
      <c r="P245" s="32" t="s">
        <v>755</v>
      </c>
      <c r="Q245" s="31">
        <f>742</f>
        <v>742</v>
      </c>
      <c r="R245" s="32" t="s">
        <v>755</v>
      </c>
      <c r="S245" s="33">
        <f>746.93</f>
        <v>746.93</v>
      </c>
      <c r="T245" s="30">
        <f>11120</f>
        <v>11120</v>
      </c>
      <c r="U245" s="30" t="str">
        <f>"－"</f>
        <v>－</v>
      </c>
      <c r="V245" s="30">
        <f>8335777</f>
        <v>8335777</v>
      </c>
      <c r="W245" s="30" t="str">
        <f>"－"</f>
        <v>－</v>
      </c>
      <c r="X245" s="34">
        <f>16</f>
        <v>16</v>
      </c>
    </row>
    <row r="246" spans="1:24">
      <c r="A246" s="25" t="s">
        <v>1260</v>
      </c>
      <c r="B246" s="25" t="s">
        <v>915</v>
      </c>
      <c r="C246" s="25" t="s">
        <v>916</v>
      </c>
      <c r="D246" s="25" t="s">
        <v>917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10</v>
      </c>
      <c r="K246" s="31">
        <f>752.9</f>
        <v>752.9</v>
      </c>
      <c r="L246" s="32" t="s">
        <v>1240</v>
      </c>
      <c r="M246" s="31">
        <f>794.2</f>
        <v>794.2</v>
      </c>
      <c r="N246" s="32" t="s">
        <v>1209</v>
      </c>
      <c r="O246" s="31">
        <f>744.1</f>
        <v>744.1</v>
      </c>
      <c r="P246" s="32" t="s">
        <v>1205</v>
      </c>
      <c r="Q246" s="31">
        <f>744.1</f>
        <v>744.1</v>
      </c>
      <c r="R246" s="32" t="s">
        <v>755</v>
      </c>
      <c r="S246" s="33">
        <f>748.22</f>
        <v>748.22</v>
      </c>
      <c r="T246" s="30">
        <f>6380</f>
        <v>6380</v>
      </c>
      <c r="U246" s="30" t="str">
        <f>"－"</f>
        <v>－</v>
      </c>
      <c r="V246" s="30">
        <f>4755577</f>
        <v>4755577</v>
      </c>
      <c r="W246" s="30" t="str">
        <f>"－"</f>
        <v>－</v>
      </c>
      <c r="X246" s="34">
        <f>13</f>
        <v>13</v>
      </c>
    </row>
    <row r="247" spans="1:24">
      <c r="A247" s="25" t="s">
        <v>1260</v>
      </c>
      <c r="B247" s="25" t="s">
        <v>924</v>
      </c>
      <c r="C247" s="25" t="s">
        <v>925</v>
      </c>
      <c r="D247" s="25" t="s">
        <v>926</v>
      </c>
      <c r="E247" s="26" t="s">
        <v>43</v>
      </c>
      <c r="F247" s="27" t="s">
        <v>43</v>
      </c>
      <c r="G247" s="28" t="s">
        <v>43</v>
      </c>
      <c r="H247" s="29"/>
      <c r="I247" s="29" t="s">
        <v>44</v>
      </c>
      <c r="J247" s="30">
        <v>1</v>
      </c>
      <c r="K247" s="31">
        <f>1590</f>
        <v>1590</v>
      </c>
      <c r="L247" s="32" t="s">
        <v>1240</v>
      </c>
      <c r="M247" s="31">
        <f>1683</f>
        <v>1683</v>
      </c>
      <c r="N247" s="32" t="s">
        <v>755</v>
      </c>
      <c r="O247" s="31">
        <f>1580</f>
        <v>1580</v>
      </c>
      <c r="P247" s="32" t="s">
        <v>1240</v>
      </c>
      <c r="Q247" s="31">
        <f>1679</f>
        <v>1679</v>
      </c>
      <c r="R247" s="32" t="s">
        <v>755</v>
      </c>
      <c r="S247" s="33">
        <f>1636.05</f>
        <v>1636.05</v>
      </c>
      <c r="T247" s="30">
        <f>1944179</f>
        <v>1944179</v>
      </c>
      <c r="U247" s="30">
        <f>3555</f>
        <v>3555</v>
      </c>
      <c r="V247" s="30">
        <f>3166931459</f>
        <v>3166931459</v>
      </c>
      <c r="W247" s="30">
        <f>5813606</f>
        <v>5813606</v>
      </c>
      <c r="X247" s="34">
        <f>21</f>
        <v>21</v>
      </c>
    </row>
    <row r="248" spans="1:24">
      <c r="A248" s="25" t="s">
        <v>1260</v>
      </c>
      <c r="B248" s="25" t="s">
        <v>927</v>
      </c>
      <c r="C248" s="25" t="s">
        <v>928</v>
      </c>
      <c r="D248" s="25" t="s">
        <v>929</v>
      </c>
      <c r="E248" s="26" t="s">
        <v>43</v>
      </c>
      <c r="F248" s="27" t="s">
        <v>43</v>
      </c>
      <c r="G248" s="28" t="s">
        <v>43</v>
      </c>
      <c r="H248" s="29"/>
      <c r="I248" s="29" t="s">
        <v>44</v>
      </c>
      <c r="J248" s="30">
        <v>1</v>
      </c>
      <c r="K248" s="31">
        <f>2217</f>
        <v>2217</v>
      </c>
      <c r="L248" s="32" t="s">
        <v>1240</v>
      </c>
      <c r="M248" s="31">
        <f>2321</f>
        <v>2321</v>
      </c>
      <c r="N248" s="32" t="s">
        <v>755</v>
      </c>
      <c r="O248" s="31">
        <f>2203</f>
        <v>2203</v>
      </c>
      <c r="P248" s="32" t="s">
        <v>1240</v>
      </c>
      <c r="Q248" s="31">
        <f>2321</f>
        <v>2321</v>
      </c>
      <c r="R248" s="32" t="s">
        <v>755</v>
      </c>
      <c r="S248" s="33">
        <f>2252.1</f>
        <v>2252.1</v>
      </c>
      <c r="T248" s="30">
        <f>2458013</f>
        <v>2458013</v>
      </c>
      <c r="U248" s="30">
        <f>1622120</f>
        <v>1622120</v>
      </c>
      <c r="V248" s="30">
        <f>5578038952</f>
        <v>5578038952</v>
      </c>
      <c r="W248" s="30">
        <f>3689870644</f>
        <v>3689870644</v>
      </c>
      <c r="X248" s="34">
        <f>21</f>
        <v>21</v>
      </c>
    </row>
    <row r="249" spans="1:24">
      <c r="A249" s="25" t="s">
        <v>1260</v>
      </c>
      <c r="B249" s="25" t="s">
        <v>930</v>
      </c>
      <c r="C249" s="25" t="s">
        <v>931</v>
      </c>
      <c r="D249" s="25" t="s">
        <v>932</v>
      </c>
      <c r="E249" s="26" t="s">
        <v>43</v>
      </c>
      <c r="F249" s="27" t="s">
        <v>43</v>
      </c>
      <c r="G249" s="28" t="s">
        <v>43</v>
      </c>
      <c r="H249" s="29"/>
      <c r="I249" s="29" t="s">
        <v>44</v>
      </c>
      <c r="J249" s="30">
        <v>1</v>
      </c>
      <c r="K249" s="31">
        <f>15695</f>
        <v>15695</v>
      </c>
      <c r="L249" s="32" t="s">
        <v>1240</v>
      </c>
      <c r="M249" s="31">
        <f>15765</f>
        <v>15765</v>
      </c>
      <c r="N249" s="32" t="s">
        <v>1240</v>
      </c>
      <c r="O249" s="31">
        <f>14085</f>
        <v>14085</v>
      </c>
      <c r="P249" s="32" t="s">
        <v>1075</v>
      </c>
      <c r="Q249" s="31">
        <f>14140</f>
        <v>14140</v>
      </c>
      <c r="R249" s="32" t="s">
        <v>755</v>
      </c>
      <c r="S249" s="33">
        <f>15068.81</f>
        <v>15068.81</v>
      </c>
      <c r="T249" s="30">
        <f>145840</f>
        <v>145840</v>
      </c>
      <c r="U249" s="30">
        <f>91</f>
        <v>91</v>
      </c>
      <c r="V249" s="30">
        <f>2183319875</f>
        <v>2183319875</v>
      </c>
      <c r="W249" s="30">
        <f>1335600</f>
        <v>1335600</v>
      </c>
      <c r="X249" s="34">
        <f>21</f>
        <v>21</v>
      </c>
    </row>
    <row r="250" spans="1:24">
      <c r="A250" s="25" t="s">
        <v>1260</v>
      </c>
      <c r="B250" s="25" t="s">
        <v>1130</v>
      </c>
      <c r="C250" s="25" t="s">
        <v>1129</v>
      </c>
      <c r="D250" s="25" t="s">
        <v>1128</v>
      </c>
      <c r="E250" s="26" t="s">
        <v>43</v>
      </c>
      <c r="F250" s="27" t="s">
        <v>43</v>
      </c>
      <c r="G250" s="28" t="s">
        <v>43</v>
      </c>
      <c r="H250" s="29"/>
      <c r="I250" s="29" t="s">
        <v>44</v>
      </c>
      <c r="J250" s="30">
        <v>1</v>
      </c>
      <c r="K250" s="31">
        <f>1050</f>
        <v>1050</v>
      </c>
      <c r="L250" s="32" t="s">
        <v>1240</v>
      </c>
      <c r="M250" s="31">
        <f>1343</f>
        <v>1343</v>
      </c>
      <c r="N250" s="32" t="s">
        <v>1205</v>
      </c>
      <c r="O250" s="31">
        <f>990</f>
        <v>990</v>
      </c>
      <c r="P250" s="32" t="s">
        <v>1240</v>
      </c>
      <c r="Q250" s="31">
        <f>1248</f>
        <v>1248</v>
      </c>
      <c r="R250" s="32" t="s">
        <v>755</v>
      </c>
      <c r="S250" s="33">
        <f>1175.14</f>
        <v>1175.1400000000001</v>
      </c>
      <c r="T250" s="30">
        <f>456108</f>
        <v>456108</v>
      </c>
      <c r="U250" s="30" t="str">
        <f>"－"</f>
        <v>－</v>
      </c>
      <c r="V250" s="30">
        <f>551881245</f>
        <v>551881245</v>
      </c>
      <c r="W250" s="30" t="str">
        <f>"－"</f>
        <v>－</v>
      </c>
      <c r="X250" s="34">
        <f>21</f>
        <v>21</v>
      </c>
    </row>
    <row r="251" spans="1:24">
      <c r="A251" s="25" t="s">
        <v>1260</v>
      </c>
      <c r="B251" s="25" t="s">
        <v>933</v>
      </c>
      <c r="C251" s="25" t="s">
        <v>934</v>
      </c>
      <c r="D251" s="25" t="s">
        <v>935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10</v>
      </c>
      <c r="K251" s="31">
        <f>250.5</f>
        <v>250.5</v>
      </c>
      <c r="L251" s="32" t="s">
        <v>1240</v>
      </c>
      <c r="M251" s="31">
        <f>255.4</f>
        <v>255.4</v>
      </c>
      <c r="N251" s="32" t="s">
        <v>755</v>
      </c>
      <c r="O251" s="31">
        <f>243.8</f>
        <v>243.8</v>
      </c>
      <c r="P251" s="32" t="s">
        <v>1211</v>
      </c>
      <c r="Q251" s="31">
        <f>254</f>
        <v>254</v>
      </c>
      <c r="R251" s="32" t="s">
        <v>755</v>
      </c>
      <c r="S251" s="33">
        <f>248.1</f>
        <v>248.1</v>
      </c>
      <c r="T251" s="30">
        <f>39580</f>
        <v>39580</v>
      </c>
      <c r="U251" s="30" t="str">
        <f>"－"</f>
        <v>－</v>
      </c>
      <c r="V251" s="30">
        <f>9879041</f>
        <v>9879041</v>
      </c>
      <c r="W251" s="30" t="str">
        <f>"－"</f>
        <v>－</v>
      </c>
      <c r="X251" s="34">
        <f>21</f>
        <v>21</v>
      </c>
    </row>
    <row r="252" spans="1:24">
      <c r="A252" s="25" t="s">
        <v>1260</v>
      </c>
      <c r="B252" s="25" t="s">
        <v>936</v>
      </c>
      <c r="C252" s="25" t="s">
        <v>937</v>
      </c>
      <c r="D252" s="25" t="s">
        <v>938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10</v>
      </c>
      <c r="K252" s="31">
        <f>791.7</f>
        <v>791.7</v>
      </c>
      <c r="L252" s="32" t="s">
        <v>1240</v>
      </c>
      <c r="M252" s="31">
        <f>800</f>
        <v>800</v>
      </c>
      <c r="N252" s="32" t="s">
        <v>738</v>
      </c>
      <c r="O252" s="31">
        <f>767.3</f>
        <v>767.3</v>
      </c>
      <c r="P252" s="32" t="s">
        <v>1211</v>
      </c>
      <c r="Q252" s="31">
        <f>787.2</f>
        <v>787.2</v>
      </c>
      <c r="R252" s="32" t="s">
        <v>755</v>
      </c>
      <c r="S252" s="33">
        <f>788.51</f>
        <v>788.51</v>
      </c>
      <c r="T252" s="30">
        <f>10482950</f>
        <v>10482950</v>
      </c>
      <c r="U252" s="30">
        <f>9275000</f>
        <v>9275000</v>
      </c>
      <c r="V252" s="30">
        <f>8302963990</f>
        <v>8302963990</v>
      </c>
      <c r="W252" s="30">
        <f>7346170000</f>
        <v>7346170000</v>
      </c>
      <c r="X252" s="34">
        <f>21</f>
        <v>21</v>
      </c>
    </row>
    <row r="253" spans="1:24">
      <c r="A253" s="25" t="s">
        <v>1260</v>
      </c>
      <c r="B253" s="25" t="s">
        <v>954</v>
      </c>
      <c r="C253" s="25" t="s">
        <v>955</v>
      </c>
      <c r="D253" s="25" t="s">
        <v>956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</v>
      </c>
      <c r="K253" s="31">
        <f>1102</f>
        <v>1102</v>
      </c>
      <c r="L253" s="32" t="s">
        <v>1240</v>
      </c>
      <c r="M253" s="31">
        <f>1149</f>
        <v>1149</v>
      </c>
      <c r="N253" s="32" t="s">
        <v>755</v>
      </c>
      <c r="O253" s="31">
        <f>1079</f>
        <v>1079</v>
      </c>
      <c r="P253" s="32" t="s">
        <v>1204</v>
      </c>
      <c r="Q253" s="31">
        <f>1148</f>
        <v>1148</v>
      </c>
      <c r="R253" s="32" t="s">
        <v>755</v>
      </c>
      <c r="S253" s="33">
        <f>1117.33</f>
        <v>1117.33</v>
      </c>
      <c r="T253" s="30">
        <f>167044</f>
        <v>167044</v>
      </c>
      <c r="U253" s="30">
        <f>43800</f>
        <v>43800</v>
      </c>
      <c r="V253" s="30">
        <f>188647070</f>
        <v>188647070</v>
      </c>
      <c r="W253" s="30">
        <f>50254709</f>
        <v>50254709</v>
      </c>
      <c r="X253" s="34">
        <f>21</f>
        <v>21</v>
      </c>
    </row>
    <row r="254" spans="1:24">
      <c r="A254" s="25" t="s">
        <v>1260</v>
      </c>
      <c r="B254" s="25" t="s">
        <v>957</v>
      </c>
      <c r="C254" s="25" t="s">
        <v>958</v>
      </c>
      <c r="D254" s="25" t="s">
        <v>959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</v>
      </c>
      <c r="K254" s="31">
        <f>1080</f>
        <v>1080</v>
      </c>
      <c r="L254" s="32" t="s">
        <v>1240</v>
      </c>
      <c r="M254" s="31">
        <f>1120</f>
        <v>1120</v>
      </c>
      <c r="N254" s="32" t="s">
        <v>663</v>
      </c>
      <c r="O254" s="31">
        <f>1071</f>
        <v>1071</v>
      </c>
      <c r="P254" s="32" t="s">
        <v>1204</v>
      </c>
      <c r="Q254" s="31">
        <f>1090</f>
        <v>1090</v>
      </c>
      <c r="R254" s="32" t="s">
        <v>755</v>
      </c>
      <c r="S254" s="33">
        <f>1094.43</f>
        <v>1094.43</v>
      </c>
      <c r="T254" s="30">
        <f>423421</f>
        <v>423421</v>
      </c>
      <c r="U254" s="30" t="str">
        <f>"－"</f>
        <v>－</v>
      </c>
      <c r="V254" s="30">
        <f>462464456</f>
        <v>462464456</v>
      </c>
      <c r="W254" s="30" t="str">
        <f>"－"</f>
        <v>－</v>
      </c>
      <c r="X254" s="34">
        <f>21</f>
        <v>21</v>
      </c>
    </row>
    <row r="255" spans="1:24">
      <c r="A255" s="25" t="s">
        <v>1260</v>
      </c>
      <c r="B255" s="25" t="s">
        <v>960</v>
      </c>
      <c r="C255" s="25" t="s">
        <v>961</v>
      </c>
      <c r="D255" s="25" t="s">
        <v>962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882</f>
        <v>882</v>
      </c>
      <c r="L255" s="32" t="s">
        <v>1240</v>
      </c>
      <c r="M255" s="31">
        <f>910</f>
        <v>910</v>
      </c>
      <c r="N255" s="32" t="s">
        <v>1210</v>
      </c>
      <c r="O255" s="31">
        <f>855</f>
        <v>855</v>
      </c>
      <c r="P255" s="32" t="s">
        <v>1240</v>
      </c>
      <c r="Q255" s="31">
        <f>882</f>
        <v>882</v>
      </c>
      <c r="R255" s="32" t="s">
        <v>755</v>
      </c>
      <c r="S255" s="33">
        <f>879.71</f>
        <v>879.71</v>
      </c>
      <c r="T255" s="30">
        <f>2828290</f>
        <v>2828290</v>
      </c>
      <c r="U255" s="30" t="str">
        <f>"－"</f>
        <v>－</v>
      </c>
      <c r="V255" s="30">
        <f>2514933290</f>
        <v>2514933290</v>
      </c>
      <c r="W255" s="30" t="str">
        <f>"－"</f>
        <v>－</v>
      </c>
      <c r="X255" s="34">
        <f>21</f>
        <v>21</v>
      </c>
    </row>
    <row r="256" spans="1:24">
      <c r="A256" s="25" t="s">
        <v>1260</v>
      </c>
      <c r="B256" s="25" t="s">
        <v>1031</v>
      </c>
      <c r="C256" s="25" t="s">
        <v>1032</v>
      </c>
      <c r="D256" s="25" t="s">
        <v>1033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10</v>
      </c>
      <c r="K256" s="31">
        <f>187.9</f>
        <v>187.9</v>
      </c>
      <c r="L256" s="32" t="s">
        <v>1240</v>
      </c>
      <c r="M256" s="31">
        <f>194.1</f>
        <v>194.1</v>
      </c>
      <c r="N256" s="32" t="s">
        <v>1075</v>
      </c>
      <c r="O256" s="31">
        <f>185</f>
        <v>185</v>
      </c>
      <c r="P256" s="32" t="s">
        <v>1204</v>
      </c>
      <c r="Q256" s="31">
        <f>192</f>
        <v>192</v>
      </c>
      <c r="R256" s="32" t="s">
        <v>755</v>
      </c>
      <c r="S256" s="33">
        <f>190.44</f>
        <v>190.44</v>
      </c>
      <c r="T256" s="30">
        <f>3872770</f>
        <v>3872770</v>
      </c>
      <c r="U256" s="30" t="str">
        <f>"－"</f>
        <v>－</v>
      </c>
      <c r="V256" s="30">
        <f>735501068</f>
        <v>735501068</v>
      </c>
      <c r="W256" s="30" t="str">
        <f>"－"</f>
        <v>－</v>
      </c>
      <c r="X256" s="34">
        <f>21</f>
        <v>21</v>
      </c>
    </row>
    <row r="257" spans="1:24">
      <c r="A257" s="25" t="s">
        <v>1260</v>
      </c>
      <c r="B257" s="25" t="s">
        <v>1034</v>
      </c>
      <c r="C257" s="25" t="s">
        <v>1035</v>
      </c>
      <c r="D257" s="25" t="s">
        <v>1036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10</v>
      </c>
      <c r="K257" s="31">
        <f>200.1</f>
        <v>200.1</v>
      </c>
      <c r="L257" s="32" t="s">
        <v>1240</v>
      </c>
      <c r="M257" s="31">
        <f>205.5</f>
        <v>205.5</v>
      </c>
      <c r="N257" s="32" t="s">
        <v>756</v>
      </c>
      <c r="O257" s="31">
        <f>197.5</f>
        <v>197.5</v>
      </c>
      <c r="P257" s="32" t="s">
        <v>1204</v>
      </c>
      <c r="Q257" s="31">
        <f>202.3</f>
        <v>202.3</v>
      </c>
      <c r="R257" s="32" t="s">
        <v>755</v>
      </c>
      <c r="S257" s="33">
        <f>201.68</f>
        <v>201.68</v>
      </c>
      <c r="T257" s="30">
        <f>426700</f>
        <v>426700</v>
      </c>
      <c r="U257" s="30">
        <f>30</f>
        <v>30</v>
      </c>
      <c r="V257" s="30">
        <f>86181066</f>
        <v>86181066</v>
      </c>
      <c r="W257" s="30">
        <f>5995</f>
        <v>5995</v>
      </c>
      <c r="X257" s="34">
        <f>21</f>
        <v>21</v>
      </c>
    </row>
    <row r="258" spans="1:24">
      <c r="A258" s="25" t="s">
        <v>1260</v>
      </c>
      <c r="B258" s="25" t="s">
        <v>1037</v>
      </c>
      <c r="C258" s="25" t="s">
        <v>1038</v>
      </c>
      <c r="D258" s="25" t="s">
        <v>1039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201.7</f>
        <v>201.7</v>
      </c>
      <c r="L258" s="32" t="s">
        <v>1240</v>
      </c>
      <c r="M258" s="31">
        <f>207.5</f>
        <v>207.5</v>
      </c>
      <c r="N258" s="32" t="s">
        <v>756</v>
      </c>
      <c r="O258" s="31">
        <f>199.2</f>
        <v>199.2</v>
      </c>
      <c r="P258" s="32" t="s">
        <v>1204</v>
      </c>
      <c r="Q258" s="31">
        <f>204.4</f>
        <v>204.4</v>
      </c>
      <c r="R258" s="32" t="s">
        <v>755</v>
      </c>
      <c r="S258" s="33">
        <f>203.5</f>
        <v>203.5</v>
      </c>
      <c r="T258" s="30">
        <f>174950</f>
        <v>174950</v>
      </c>
      <c r="U258" s="30">
        <f>760</f>
        <v>760</v>
      </c>
      <c r="V258" s="30">
        <f>35504969</f>
        <v>35504969</v>
      </c>
      <c r="W258" s="30">
        <f>152714</f>
        <v>152714</v>
      </c>
      <c r="X258" s="34">
        <f>21</f>
        <v>21</v>
      </c>
    </row>
    <row r="259" spans="1:24">
      <c r="A259" s="25" t="s">
        <v>1260</v>
      </c>
      <c r="B259" s="25" t="s">
        <v>1040</v>
      </c>
      <c r="C259" s="25" t="s">
        <v>1041</v>
      </c>
      <c r="D259" s="25" t="s">
        <v>1042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206</f>
        <v>206</v>
      </c>
      <c r="L259" s="32" t="s">
        <v>1240</v>
      </c>
      <c r="M259" s="31">
        <f>212</f>
        <v>212</v>
      </c>
      <c r="N259" s="32" t="s">
        <v>1207</v>
      </c>
      <c r="O259" s="31">
        <f>203</f>
        <v>203</v>
      </c>
      <c r="P259" s="32" t="s">
        <v>1204</v>
      </c>
      <c r="Q259" s="31">
        <f>208.7</f>
        <v>208.7</v>
      </c>
      <c r="R259" s="32" t="s">
        <v>755</v>
      </c>
      <c r="S259" s="33">
        <f>207.36</f>
        <v>207.36</v>
      </c>
      <c r="T259" s="30">
        <f>661710</f>
        <v>661710</v>
      </c>
      <c r="U259" s="30" t="str">
        <f>"－"</f>
        <v>－</v>
      </c>
      <c r="V259" s="30">
        <f>137175229</f>
        <v>137175229</v>
      </c>
      <c r="W259" s="30" t="str">
        <f>"－"</f>
        <v>－</v>
      </c>
      <c r="X259" s="34">
        <f>21</f>
        <v>21</v>
      </c>
    </row>
    <row r="260" spans="1:24">
      <c r="A260" s="25" t="s">
        <v>1260</v>
      </c>
      <c r="B260" s="25" t="s">
        <v>1043</v>
      </c>
      <c r="C260" s="25" t="s">
        <v>1044</v>
      </c>
      <c r="D260" s="25" t="s">
        <v>1045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196.2</f>
        <v>196.2</v>
      </c>
      <c r="L260" s="32" t="s">
        <v>1240</v>
      </c>
      <c r="M260" s="31">
        <f>199</f>
        <v>199</v>
      </c>
      <c r="N260" s="32" t="s">
        <v>1204</v>
      </c>
      <c r="O260" s="31">
        <f>192.5</f>
        <v>192.5</v>
      </c>
      <c r="P260" s="32" t="s">
        <v>1206</v>
      </c>
      <c r="Q260" s="31">
        <f>193.8</f>
        <v>193.8</v>
      </c>
      <c r="R260" s="32" t="s">
        <v>755</v>
      </c>
      <c r="S260" s="33">
        <f>194.09</f>
        <v>194.09</v>
      </c>
      <c r="T260" s="30">
        <f>3853910</f>
        <v>3853910</v>
      </c>
      <c r="U260" s="30">
        <f>3600000</f>
        <v>3600000</v>
      </c>
      <c r="V260" s="30">
        <f>746476675</f>
        <v>746476675</v>
      </c>
      <c r="W260" s="30">
        <f>697262040</f>
        <v>697262040</v>
      </c>
      <c r="X260" s="34">
        <f>21</f>
        <v>21</v>
      </c>
    </row>
    <row r="261" spans="1:24">
      <c r="A261" s="25" t="s">
        <v>1260</v>
      </c>
      <c r="B261" s="25" t="s">
        <v>1140</v>
      </c>
      <c r="C261" s="25" t="s">
        <v>1141</v>
      </c>
      <c r="D261" s="25" t="s">
        <v>1142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</v>
      </c>
      <c r="K261" s="31">
        <f>1945</f>
        <v>1945</v>
      </c>
      <c r="L261" s="32" t="s">
        <v>1240</v>
      </c>
      <c r="M261" s="31">
        <f>2035</f>
        <v>2035</v>
      </c>
      <c r="N261" s="32" t="s">
        <v>755</v>
      </c>
      <c r="O261" s="31">
        <f>1906</f>
        <v>1906</v>
      </c>
      <c r="P261" s="32" t="s">
        <v>739</v>
      </c>
      <c r="Q261" s="31">
        <f>2020</f>
        <v>2020</v>
      </c>
      <c r="R261" s="32" t="s">
        <v>755</v>
      </c>
      <c r="S261" s="33">
        <f>1970.05</f>
        <v>1970.05</v>
      </c>
      <c r="T261" s="30">
        <f>923187</f>
        <v>923187</v>
      </c>
      <c r="U261" s="30">
        <f>29600</f>
        <v>29600</v>
      </c>
      <c r="V261" s="30">
        <f>1813118139</f>
        <v>1813118139</v>
      </c>
      <c r="W261" s="30">
        <f>59857185</f>
        <v>59857185</v>
      </c>
      <c r="X261" s="34">
        <f>21</f>
        <v>21</v>
      </c>
    </row>
    <row r="262" spans="1:24">
      <c r="A262" s="25" t="s">
        <v>1260</v>
      </c>
      <c r="B262" s="25" t="s">
        <v>1143</v>
      </c>
      <c r="C262" s="25" t="s">
        <v>1144</v>
      </c>
      <c r="D262" s="25" t="s">
        <v>1145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</v>
      </c>
      <c r="K262" s="31">
        <f>1007</f>
        <v>1007</v>
      </c>
      <c r="L262" s="32" t="s">
        <v>1240</v>
      </c>
      <c r="M262" s="31">
        <f>1029</f>
        <v>1029</v>
      </c>
      <c r="N262" s="32" t="s">
        <v>1204</v>
      </c>
      <c r="O262" s="31">
        <f>986</f>
        <v>986</v>
      </c>
      <c r="P262" s="32" t="s">
        <v>1210</v>
      </c>
      <c r="Q262" s="31">
        <f>1017</f>
        <v>1017</v>
      </c>
      <c r="R262" s="32" t="s">
        <v>755</v>
      </c>
      <c r="S262" s="33">
        <f>1001.19</f>
        <v>1001.19</v>
      </c>
      <c r="T262" s="30">
        <f>51600</f>
        <v>51600</v>
      </c>
      <c r="U262" s="30">
        <f>10</f>
        <v>10</v>
      </c>
      <c r="V262" s="30">
        <f>51554773</f>
        <v>51554773</v>
      </c>
      <c r="W262" s="30">
        <f>9969</f>
        <v>9969</v>
      </c>
      <c r="X262" s="34">
        <f>21</f>
        <v>21</v>
      </c>
    </row>
    <row r="263" spans="1:24">
      <c r="A263" s="25" t="s">
        <v>1260</v>
      </c>
      <c r="B263" s="25" t="s">
        <v>1146</v>
      </c>
      <c r="C263" s="25" t="s">
        <v>1147</v>
      </c>
      <c r="D263" s="25" t="s">
        <v>1148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1025</f>
        <v>1025</v>
      </c>
      <c r="L263" s="32" t="s">
        <v>1240</v>
      </c>
      <c r="M263" s="31">
        <f>1030</f>
        <v>1030</v>
      </c>
      <c r="N263" s="32" t="s">
        <v>755</v>
      </c>
      <c r="O263" s="31">
        <f>1003</f>
        <v>1003</v>
      </c>
      <c r="P263" s="32" t="s">
        <v>1209</v>
      </c>
      <c r="Q263" s="31">
        <f>1030</f>
        <v>1030</v>
      </c>
      <c r="R263" s="32" t="s">
        <v>755</v>
      </c>
      <c r="S263" s="33">
        <f>1017.19</f>
        <v>1017.19</v>
      </c>
      <c r="T263" s="30">
        <f>979182</f>
        <v>979182</v>
      </c>
      <c r="U263" s="30">
        <f>487943</f>
        <v>487943</v>
      </c>
      <c r="V263" s="30">
        <f>1002202044</f>
        <v>1002202044</v>
      </c>
      <c r="W263" s="30">
        <f>502221442</f>
        <v>502221442</v>
      </c>
      <c r="X263" s="34">
        <f>21</f>
        <v>21</v>
      </c>
    </row>
    <row r="264" spans="1:24">
      <c r="A264" s="25" t="s">
        <v>1260</v>
      </c>
      <c r="B264" s="25" t="s">
        <v>1149</v>
      </c>
      <c r="C264" s="25" t="s">
        <v>1150</v>
      </c>
      <c r="D264" s="25" t="s">
        <v>1151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10</v>
      </c>
      <c r="K264" s="31">
        <f>481.2</f>
        <v>481.2</v>
      </c>
      <c r="L264" s="32" t="s">
        <v>1240</v>
      </c>
      <c r="M264" s="31">
        <f>489.5</f>
        <v>489.5</v>
      </c>
      <c r="N264" s="32" t="s">
        <v>756</v>
      </c>
      <c r="O264" s="31">
        <f>479.4</f>
        <v>479.4</v>
      </c>
      <c r="P264" s="32" t="s">
        <v>1204</v>
      </c>
      <c r="Q264" s="31">
        <f>482.2</f>
        <v>482.2</v>
      </c>
      <c r="R264" s="32" t="s">
        <v>755</v>
      </c>
      <c r="S264" s="33">
        <f>482.33</f>
        <v>482.33</v>
      </c>
      <c r="T264" s="30">
        <f>565140</f>
        <v>565140</v>
      </c>
      <c r="U264" s="30">
        <f>355350</f>
        <v>355350</v>
      </c>
      <c r="V264" s="30">
        <f>272605276</f>
        <v>272605276</v>
      </c>
      <c r="W264" s="30">
        <f>171598453</f>
        <v>171598453</v>
      </c>
      <c r="X264" s="34">
        <f>20</f>
        <v>20</v>
      </c>
    </row>
    <row r="265" spans="1:24">
      <c r="A265" s="25" t="s">
        <v>1260</v>
      </c>
      <c r="B265" s="25" t="s">
        <v>1152</v>
      </c>
      <c r="C265" s="25" t="s">
        <v>1153</v>
      </c>
      <c r="D265" s="25" t="s">
        <v>1154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10</v>
      </c>
      <c r="K265" s="31">
        <f>153.1</f>
        <v>153.1</v>
      </c>
      <c r="L265" s="32" t="s">
        <v>1240</v>
      </c>
      <c r="M265" s="31">
        <f>159</f>
        <v>159</v>
      </c>
      <c r="N265" s="32" t="s">
        <v>1075</v>
      </c>
      <c r="O265" s="31">
        <f>149.2</f>
        <v>149.19999999999999</v>
      </c>
      <c r="P265" s="32" t="s">
        <v>1204</v>
      </c>
      <c r="Q265" s="31">
        <f>156.7</f>
        <v>156.69999999999999</v>
      </c>
      <c r="R265" s="32" t="s">
        <v>755</v>
      </c>
      <c r="S265" s="33">
        <f>155</f>
        <v>155</v>
      </c>
      <c r="T265" s="30">
        <f>2471320</f>
        <v>2471320</v>
      </c>
      <c r="U265" s="30">
        <f>880</f>
        <v>880</v>
      </c>
      <c r="V265" s="30">
        <f>381892224</f>
        <v>381892224</v>
      </c>
      <c r="W265" s="30">
        <f>134195</f>
        <v>134195</v>
      </c>
      <c r="X265" s="34">
        <f>21</f>
        <v>21</v>
      </c>
    </row>
    <row r="266" spans="1:24">
      <c r="A266" s="25" t="s">
        <v>1260</v>
      </c>
      <c r="B266" s="25" t="s">
        <v>1155</v>
      </c>
      <c r="C266" s="25" t="s">
        <v>1156</v>
      </c>
      <c r="D266" s="25" t="s">
        <v>1157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145.7</f>
        <v>145.69999999999999</v>
      </c>
      <c r="L266" s="32" t="s">
        <v>1240</v>
      </c>
      <c r="M266" s="31">
        <f>150.8</f>
        <v>150.80000000000001</v>
      </c>
      <c r="N266" s="32" t="s">
        <v>1211</v>
      </c>
      <c r="O266" s="31">
        <f>143.8</f>
        <v>143.80000000000001</v>
      </c>
      <c r="P266" s="32" t="s">
        <v>1208</v>
      </c>
      <c r="Q266" s="31">
        <f>148.6</f>
        <v>148.6</v>
      </c>
      <c r="R266" s="32" t="s">
        <v>755</v>
      </c>
      <c r="S266" s="33">
        <f>147.21</f>
        <v>147.21</v>
      </c>
      <c r="T266" s="30">
        <f>1898470</f>
        <v>1898470</v>
      </c>
      <c r="U266" s="30">
        <f>150</f>
        <v>150</v>
      </c>
      <c r="V266" s="30">
        <f>278626433</f>
        <v>278626433</v>
      </c>
      <c r="W266" s="30">
        <f>22078</f>
        <v>22078</v>
      </c>
      <c r="X266" s="34">
        <f>21</f>
        <v>21</v>
      </c>
    </row>
    <row r="267" spans="1:24">
      <c r="A267" s="25" t="s">
        <v>1260</v>
      </c>
      <c r="B267" s="25" t="s">
        <v>526</v>
      </c>
      <c r="C267" s="25" t="s">
        <v>527</v>
      </c>
      <c r="D267" s="25" t="s">
        <v>528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870.8</f>
        <v>870.8</v>
      </c>
      <c r="L267" s="32" t="s">
        <v>1240</v>
      </c>
      <c r="M267" s="31">
        <f>878.8</f>
        <v>878.8</v>
      </c>
      <c r="N267" s="32" t="s">
        <v>1210</v>
      </c>
      <c r="O267" s="31">
        <f>868.5</f>
        <v>868.5</v>
      </c>
      <c r="P267" s="32" t="s">
        <v>1240</v>
      </c>
      <c r="Q267" s="31">
        <f>876.9</f>
        <v>876.9</v>
      </c>
      <c r="R267" s="32" t="s">
        <v>755</v>
      </c>
      <c r="S267" s="33">
        <f>872.83</f>
        <v>872.83</v>
      </c>
      <c r="T267" s="30">
        <f>3775280</f>
        <v>3775280</v>
      </c>
      <c r="U267" s="30">
        <f>3148580</f>
        <v>3148580</v>
      </c>
      <c r="V267" s="30">
        <f>3296255001</f>
        <v>3296255001</v>
      </c>
      <c r="W267" s="30">
        <f>2748581560</f>
        <v>2748581560</v>
      </c>
      <c r="X267" s="34">
        <f>21</f>
        <v>21</v>
      </c>
    </row>
    <row r="268" spans="1:24">
      <c r="A268" s="25" t="s">
        <v>1260</v>
      </c>
      <c r="B268" s="25" t="s">
        <v>529</v>
      </c>
      <c r="C268" s="25" t="s">
        <v>530</v>
      </c>
      <c r="D268" s="25" t="s">
        <v>531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1062.5</f>
        <v>1062.5</v>
      </c>
      <c r="L268" s="32" t="s">
        <v>1240</v>
      </c>
      <c r="M268" s="31">
        <f>1094</f>
        <v>1094</v>
      </c>
      <c r="N268" s="32" t="s">
        <v>756</v>
      </c>
      <c r="O268" s="31">
        <f>1054</f>
        <v>1054</v>
      </c>
      <c r="P268" s="32" t="s">
        <v>1204</v>
      </c>
      <c r="Q268" s="31">
        <f>1083</f>
        <v>1083</v>
      </c>
      <c r="R268" s="32" t="s">
        <v>755</v>
      </c>
      <c r="S268" s="33">
        <f>1075.48</f>
        <v>1075.48</v>
      </c>
      <c r="T268" s="30">
        <f>1887800</f>
        <v>1887800</v>
      </c>
      <c r="U268" s="30">
        <f>1034830</f>
        <v>1034830</v>
      </c>
      <c r="V268" s="30">
        <f>2020270929</f>
        <v>2020270929</v>
      </c>
      <c r="W268" s="30">
        <f>1101485369</f>
        <v>1101485369</v>
      </c>
      <c r="X268" s="34">
        <f>21</f>
        <v>21</v>
      </c>
    </row>
    <row r="269" spans="1:24">
      <c r="A269" s="25" t="s">
        <v>1260</v>
      </c>
      <c r="B269" s="25" t="s">
        <v>532</v>
      </c>
      <c r="C269" s="25" t="s">
        <v>533</v>
      </c>
      <c r="D269" s="25" t="s">
        <v>534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762.7</f>
        <v>762.7</v>
      </c>
      <c r="L269" s="32" t="s">
        <v>1240</v>
      </c>
      <c r="M269" s="31">
        <f>765.1</f>
        <v>765.1</v>
      </c>
      <c r="N269" s="32" t="s">
        <v>1075</v>
      </c>
      <c r="O269" s="31">
        <f>757</f>
        <v>757</v>
      </c>
      <c r="P269" s="32" t="s">
        <v>852</v>
      </c>
      <c r="Q269" s="31">
        <f>763.7</f>
        <v>763.7</v>
      </c>
      <c r="R269" s="32" t="s">
        <v>755</v>
      </c>
      <c r="S269" s="33">
        <f>761.7</f>
        <v>761.7</v>
      </c>
      <c r="T269" s="30">
        <f>12778120</f>
        <v>12778120</v>
      </c>
      <c r="U269" s="30">
        <f>12424820</f>
        <v>12424820</v>
      </c>
      <c r="V269" s="30">
        <f>9709917880</f>
        <v>9709917880</v>
      </c>
      <c r="W269" s="30">
        <f>9441186710</f>
        <v>9441186710</v>
      </c>
      <c r="X269" s="34">
        <f>21</f>
        <v>21</v>
      </c>
    </row>
    <row r="270" spans="1:24">
      <c r="A270" s="25" t="s">
        <v>1260</v>
      </c>
      <c r="B270" s="25" t="s">
        <v>535</v>
      </c>
      <c r="C270" s="25" t="s">
        <v>536</v>
      </c>
      <c r="D270" s="25" t="s">
        <v>537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2542.5</f>
        <v>2542.5</v>
      </c>
      <c r="L270" s="32" t="s">
        <v>1240</v>
      </c>
      <c r="M270" s="31">
        <f>2675</f>
        <v>2675</v>
      </c>
      <c r="N270" s="32" t="s">
        <v>755</v>
      </c>
      <c r="O270" s="31">
        <f>2527.5</f>
        <v>2527.5</v>
      </c>
      <c r="P270" s="32" t="s">
        <v>1240</v>
      </c>
      <c r="Q270" s="31">
        <f>2669</f>
        <v>2669</v>
      </c>
      <c r="R270" s="32" t="s">
        <v>755</v>
      </c>
      <c r="S270" s="33">
        <f>2603.12</f>
        <v>2603.12</v>
      </c>
      <c r="T270" s="30">
        <f>1172750</f>
        <v>1172750</v>
      </c>
      <c r="U270" s="30">
        <f>737230</f>
        <v>737230</v>
      </c>
      <c r="V270" s="30">
        <f>3094118524</f>
        <v>3094118524</v>
      </c>
      <c r="W270" s="30">
        <f>1960288294</f>
        <v>1960288294</v>
      </c>
      <c r="X270" s="34">
        <f>21</f>
        <v>21</v>
      </c>
    </row>
    <row r="271" spans="1:24">
      <c r="A271" s="25" t="s">
        <v>1260</v>
      </c>
      <c r="B271" s="25" t="s">
        <v>538</v>
      </c>
      <c r="C271" s="25" t="s">
        <v>539</v>
      </c>
      <c r="D271" s="25" t="s">
        <v>540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1655</f>
        <v>1655</v>
      </c>
      <c r="L271" s="32" t="s">
        <v>1240</v>
      </c>
      <c r="M271" s="31">
        <f>1729</f>
        <v>1729</v>
      </c>
      <c r="N271" s="32" t="s">
        <v>755</v>
      </c>
      <c r="O271" s="31">
        <f>1653.5</f>
        <v>1653.5</v>
      </c>
      <c r="P271" s="32" t="s">
        <v>1240</v>
      </c>
      <c r="Q271" s="31">
        <f>1722.5</f>
        <v>1722.5</v>
      </c>
      <c r="R271" s="32" t="s">
        <v>755</v>
      </c>
      <c r="S271" s="33">
        <f>1681.05</f>
        <v>1681.05</v>
      </c>
      <c r="T271" s="30">
        <f>323110</f>
        <v>323110</v>
      </c>
      <c r="U271" s="30" t="str">
        <f>"－"</f>
        <v>－</v>
      </c>
      <c r="V271" s="30">
        <f>542784610</f>
        <v>542784610</v>
      </c>
      <c r="W271" s="30" t="str">
        <f>"－"</f>
        <v>－</v>
      </c>
      <c r="X271" s="34">
        <f>21</f>
        <v>21</v>
      </c>
    </row>
    <row r="272" spans="1:24">
      <c r="A272" s="25" t="s">
        <v>1260</v>
      </c>
      <c r="B272" s="25" t="s">
        <v>541</v>
      </c>
      <c r="C272" s="25" t="s">
        <v>542</v>
      </c>
      <c r="D272" s="25" t="s">
        <v>543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1352</f>
        <v>1352</v>
      </c>
      <c r="L272" s="32" t="s">
        <v>1240</v>
      </c>
      <c r="M272" s="31">
        <f>1384</f>
        <v>1384</v>
      </c>
      <c r="N272" s="32" t="s">
        <v>663</v>
      </c>
      <c r="O272" s="31">
        <f>1328.5</f>
        <v>1328.5</v>
      </c>
      <c r="P272" s="32" t="s">
        <v>1211</v>
      </c>
      <c r="Q272" s="31">
        <f>1342</f>
        <v>1342</v>
      </c>
      <c r="R272" s="32" t="s">
        <v>755</v>
      </c>
      <c r="S272" s="33">
        <f>1353.12</f>
        <v>1353.12</v>
      </c>
      <c r="T272" s="30">
        <f>682410</f>
        <v>682410</v>
      </c>
      <c r="U272" s="30">
        <f>95560</f>
        <v>95560</v>
      </c>
      <c r="V272" s="30">
        <f>921904144</f>
        <v>921904144</v>
      </c>
      <c r="W272" s="30">
        <f>129133564</f>
        <v>129133564</v>
      </c>
      <c r="X272" s="34">
        <f>21</f>
        <v>21</v>
      </c>
    </row>
    <row r="273" spans="1:24">
      <c r="A273" s="25" t="s">
        <v>1260</v>
      </c>
      <c r="B273" s="25" t="s">
        <v>544</v>
      </c>
      <c r="C273" s="25" t="s">
        <v>1046</v>
      </c>
      <c r="D273" s="25" t="s">
        <v>1047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584.9</f>
        <v>584.9</v>
      </c>
      <c r="L273" s="32" t="s">
        <v>1240</v>
      </c>
      <c r="M273" s="31">
        <f>605.2</f>
        <v>605.20000000000005</v>
      </c>
      <c r="N273" s="32" t="s">
        <v>1211</v>
      </c>
      <c r="O273" s="31">
        <f>573.6</f>
        <v>573.6</v>
      </c>
      <c r="P273" s="32" t="s">
        <v>1075</v>
      </c>
      <c r="Q273" s="31">
        <f>587.3</f>
        <v>587.29999999999995</v>
      </c>
      <c r="R273" s="32" t="s">
        <v>755</v>
      </c>
      <c r="S273" s="33">
        <f>592.08</f>
        <v>592.08000000000004</v>
      </c>
      <c r="T273" s="30">
        <f>26305270</f>
        <v>26305270</v>
      </c>
      <c r="U273" s="30">
        <f>3356900</f>
        <v>3356900</v>
      </c>
      <c r="V273" s="30">
        <f>15580338169</f>
        <v>15580338169</v>
      </c>
      <c r="W273" s="30">
        <f>1989669174</f>
        <v>1989669174</v>
      </c>
      <c r="X273" s="34">
        <f>21</f>
        <v>21</v>
      </c>
    </row>
    <row r="274" spans="1:24">
      <c r="A274" s="25" t="s">
        <v>1260</v>
      </c>
      <c r="B274" s="25" t="s">
        <v>545</v>
      </c>
      <c r="C274" s="25" t="s">
        <v>546</v>
      </c>
      <c r="D274" s="25" t="s">
        <v>547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1046.5</f>
        <v>1046.5</v>
      </c>
      <c r="L274" s="32" t="s">
        <v>1240</v>
      </c>
      <c r="M274" s="31">
        <f>1083.5</f>
        <v>1083.5</v>
      </c>
      <c r="N274" s="32" t="s">
        <v>1075</v>
      </c>
      <c r="O274" s="31">
        <f>1042.5</f>
        <v>1042.5</v>
      </c>
      <c r="P274" s="32" t="s">
        <v>1204</v>
      </c>
      <c r="Q274" s="31">
        <f>1071</f>
        <v>1071</v>
      </c>
      <c r="R274" s="32" t="s">
        <v>755</v>
      </c>
      <c r="S274" s="33">
        <f>1063.81</f>
        <v>1063.81</v>
      </c>
      <c r="T274" s="30">
        <f>1615850</f>
        <v>1615850</v>
      </c>
      <c r="U274" s="30">
        <f>1147060</f>
        <v>1147060</v>
      </c>
      <c r="V274" s="30">
        <f>1734853518</f>
        <v>1734853518</v>
      </c>
      <c r="W274" s="30">
        <f>1231912038</f>
        <v>1231912038</v>
      </c>
      <c r="X274" s="34">
        <f>21</f>
        <v>21</v>
      </c>
    </row>
    <row r="275" spans="1:24">
      <c r="A275" s="25" t="s">
        <v>1260</v>
      </c>
      <c r="B275" s="25" t="s">
        <v>548</v>
      </c>
      <c r="C275" s="25" t="s">
        <v>549</v>
      </c>
      <c r="D275" s="25" t="s">
        <v>550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</v>
      </c>
      <c r="K275" s="31">
        <f>1602</f>
        <v>1602</v>
      </c>
      <c r="L275" s="32" t="s">
        <v>1240</v>
      </c>
      <c r="M275" s="31">
        <f>1656</f>
        <v>1656</v>
      </c>
      <c r="N275" s="32" t="s">
        <v>755</v>
      </c>
      <c r="O275" s="31">
        <f>1587</f>
        <v>1587</v>
      </c>
      <c r="P275" s="32" t="s">
        <v>1211</v>
      </c>
      <c r="Q275" s="31">
        <f>1647</f>
        <v>1647</v>
      </c>
      <c r="R275" s="32" t="s">
        <v>755</v>
      </c>
      <c r="S275" s="33">
        <f>1608.1</f>
        <v>1608.1</v>
      </c>
      <c r="T275" s="30">
        <f>5298</f>
        <v>5298</v>
      </c>
      <c r="U275" s="30">
        <f>3</f>
        <v>3</v>
      </c>
      <c r="V275" s="30">
        <f>8538576</f>
        <v>8538576</v>
      </c>
      <c r="W275" s="30">
        <f>4862</f>
        <v>4862</v>
      </c>
      <c r="X275" s="34">
        <f>21</f>
        <v>21</v>
      </c>
    </row>
    <row r="276" spans="1:24">
      <c r="A276" s="25" t="s">
        <v>1260</v>
      </c>
      <c r="B276" s="25" t="s">
        <v>551</v>
      </c>
      <c r="C276" s="25" t="s">
        <v>552</v>
      </c>
      <c r="D276" s="25" t="s">
        <v>553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1041.5</f>
        <v>1041.5</v>
      </c>
      <c r="L276" s="32" t="s">
        <v>1240</v>
      </c>
      <c r="M276" s="31">
        <f>1064</f>
        <v>1064</v>
      </c>
      <c r="N276" s="32" t="s">
        <v>663</v>
      </c>
      <c r="O276" s="31">
        <f>1015</f>
        <v>1015</v>
      </c>
      <c r="P276" s="32" t="s">
        <v>1204</v>
      </c>
      <c r="Q276" s="31">
        <f>1060</f>
        <v>1060</v>
      </c>
      <c r="R276" s="32" t="s">
        <v>755</v>
      </c>
      <c r="S276" s="33">
        <f>1046.62</f>
        <v>1046.6199999999999</v>
      </c>
      <c r="T276" s="30">
        <f>44850</f>
        <v>44850</v>
      </c>
      <c r="U276" s="30">
        <f>80</f>
        <v>80</v>
      </c>
      <c r="V276" s="30">
        <f>46915995</f>
        <v>46915995</v>
      </c>
      <c r="W276" s="30">
        <f>82840</f>
        <v>82840</v>
      </c>
      <c r="X276" s="34">
        <f>21</f>
        <v>21</v>
      </c>
    </row>
    <row r="277" spans="1:24">
      <c r="A277" s="25" t="s">
        <v>1260</v>
      </c>
      <c r="B277" s="25" t="s">
        <v>554</v>
      </c>
      <c r="C277" s="25" t="s">
        <v>555</v>
      </c>
      <c r="D277" s="25" t="s">
        <v>556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10</v>
      </c>
      <c r="K277" s="31">
        <f>1432</f>
        <v>1432</v>
      </c>
      <c r="L277" s="32" t="s">
        <v>1240</v>
      </c>
      <c r="M277" s="31">
        <f>1554</f>
        <v>1554</v>
      </c>
      <c r="N277" s="32" t="s">
        <v>755</v>
      </c>
      <c r="O277" s="31">
        <f>1420.5</f>
        <v>1420.5</v>
      </c>
      <c r="P277" s="32" t="s">
        <v>1240</v>
      </c>
      <c r="Q277" s="31">
        <f>1546</f>
        <v>1546</v>
      </c>
      <c r="R277" s="32" t="s">
        <v>755</v>
      </c>
      <c r="S277" s="33">
        <f>1500.45</f>
        <v>1500.45</v>
      </c>
      <c r="T277" s="30">
        <f>93360</f>
        <v>93360</v>
      </c>
      <c r="U277" s="30">
        <f>20</f>
        <v>20</v>
      </c>
      <c r="V277" s="30">
        <f>141154384</f>
        <v>141154384</v>
      </c>
      <c r="W277" s="30">
        <f>29344</f>
        <v>29344</v>
      </c>
      <c r="X277" s="34">
        <f>21</f>
        <v>21</v>
      </c>
    </row>
    <row r="278" spans="1:24">
      <c r="A278" s="25" t="s">
        <v>1260</v>
      </c>
      <c r="B278" s="25" t="s">
        <v>557</v>
      </c>
      <c r="C278" s="25" t="s">
        <v>558</v>
      </c>
      <c r="D278" s="25" t="s">
        <v>559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</v>
      </c>
      <c r="K278" s="31">
        <f>1737</f>
        <v>1737</v>
      </c>
      <c r="L278" s="32" t="s">
        <v>1240</v>
      </c>
      <c r="M278" s="31">
        <f>1825</f>
        <v>1825</v>
      </c>
      <c r="N278" s="32" t="s">
        <v>755</v>
      </c>
      <c r="O278" s="31">
        <f>1726</f>
        <v>1726</v>
      </c>
      <c r="P278" s="32" t="s">
        <v>1240</v>
      </c>
      <c r="Q278" s="31">
        <f>1824</f>
        <v>1824</v>
      </c>
      <c r="R278" s="32" t="s">
        <v>755</v>
      </c>
      <c r="S278" s="33">
        <f>1768.95</f>
        <v>1768.95</v>
      </c>
      <c r="T278" s="30">
        <f>5445118</f>
        <v>5445118</v>
      </c>
      <c r="U278" s="30">
        <f>4938918</f>
        <v>4938918</v>
      </c>
      <c r="V278" s="30">
        <f>9662743954</f>
        <v>9662743954</v>
      </c>
      <c r="W278" s="30">
        <f>8766421396</f>
        <v>8766421396</v>
      </c>
      <c r="X278" s="34">
        <f>21</f>
        <v>21</v>
      </c>
    </row>
    <row r="279" spans="1:24">
      <c r="A279" s="25" t="s">
        <v>1260</v>
      </c>
      <c r="B279" s="25" t="s">
        <v>560</v>
      </c>
      <c r="C279" s="25" t="s">
        <v>561</v>
      </c>
      <c r="D279" s="25" t="s">
        <v>562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</v>
      </c>
      <c r="K279" s="31">
        <f>5370</f>
        <v>5370</v>
      </c>
      <c r="L279" s="32" t="s">
        <v>1240</v>
      </c>
      <c r="M279" s="31">
        <f>5782</f>
        <v>5782</v>
      </c>
      <c r="N279" s="32" t="s">
        <v>755</v>
      </c>
      <c r="O279" s="31">
        <f>5281</f>
        <v>5281</v>
      </c>
      <c r="P279" s="32" t="s">
        <v>1240</v>
      </c>
      <c r="Q279" s="31">
        <f>5778</f>
        <v>5778</v>
      </c>
      <c r="R279" s="32" t="s">
        <v>755</v>
      </c>
      <c r="S279" s="33">
        <f>5525.14</f>
        <v>5525.14</v>
      </c>
      <c r="T279" s="30">
        <f>87885</f>
        <v>87885</v>
      </c>
      <c r="U279" s="30" t="str">
        <f>"－"</f>
        <v>－</v>
      </c>
      <c r="V279" s="30">
        <f>485904383</f>
        <v>485904383</v>
      </c>
      <c r="W279" s="30" t="str">
        <f>"－"</f>
        <v>－</v>
      </c>
      <c r="X279" s="34">
        <f>21</f>
        <v>21</v>
      </c>
    </row>
    <row r="280" spans="1:24">
      <c r="A280" s="25" t="s">
        <v>1260</v>
      </c>
      <c r="B280" s="25" t="s">
        <v>563</v>
      </c>
      <c r="C280" s="25" t="s">
        <v>564</v>
      </c>
      <c r="D280" s="25" t="s">
        <v>565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10</v>
      </c>
      <c r="K280" s="31">
        <f>2355.5</f>
        <v>2355.5</v>
      </c>
      <c r="L280" s="32" t="s">
        <v>1204</v>
      </c>
      <c r="M280" s="31">
        <f>2369</f>
        <v>2369</v>
      </c>
      <c r="N280" s="32" t="s">
        <v>1212</v>
      </c>
      <c r="O280" s="31">
        <f>2317.5</f>
        <v>2317.5</v>
      </c>
      <c r="P280" s="32" t="s">
        <v>1210</v>
      </c>
      <c r="Q280" s="31">
        <f>2369</f>
        <v>2369</v>
      </c>
      <c r="R280" s="32" t="s">
        <v>1212</v>
      </c>
      <c r="S280" s="33">
        <f>2362.67</f>
        <v>2362.67</v>
      </c>
      <c r="T280" s="30">
        <f>300</f>
        <v>300</v>
      </c>
      <c r="U280" s="30" t="str">
        <f>"－"</f>
        <v>－</v>
      </c>
      <c r="V280" s="30">
        <f>706185</f>
        <v>706185</v>
      </c>
      <c r="W280" s="30" t="str">
        <f>"－"</f>
        <v>－</v>
      </c>
      <c r="X280" s="34">
        <f>3</f>
        <v>3</v>
      </c>
    </row>
    <row r="281" spans="1:24">
      <c r="A281" s="25" t="s">
        <v>1260</v>
      </c>
      <c r="B281" s="25" t="s">
        <v>566</v>
      </c>
      <c r="C281" s="25" t="s">
        <v>567</v>
      </c>
      <c r="D281" s="25" t="s">
        <v>568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10</v>
      </c>
      <c r="K281" s="31">
        <f>2862.5</f>
        <v>2862.5</v>
      </c>
      <c r="L281" s="32" t="s">
        <v>1204</v>
      </c>
      <c r="M281" s="31">
        <f>2955</f>
        <v>2955</v>
      </c>
      <c r="N281" s="32" t="s">
        <v>755</v>
      </c>
      <c r="O281" s="31">
        <f>2830</f>
        <v>2830</v>
      </c>
      <c r="P281" s="32" t="s">
        <v>1211</v>
      </c>
      <c r="Q281" s="31">
        <f>2955</f>
        <v>2955</v>
      </c>
      <c r="R281" s="32" t="s">
        <v>755</v>
      </c>
      <c r="S281" s="33">
        <f>2876.91</f>
        <v>2876.91</v>
      </c>
      <c r="T281" s="30">
        <f>887040</f>
        <v>887040</v>
      </c>
      <c r="U281" s="30">
        <f>796400</f>
        <v>796400</v>
      </c>
      <c r="V281" s="30">
        <f>2553472360</f>
        <v>2553472360</v>
      </c>
      <c r="W281" s="30">
        <f>2294016820</f>
        <v>2294016820</v>
      </c>
      <c r="X281" s="34">
        <f>11</f>
        <v>11</v>
      </c>
    </row>
    <row r="282" spans="1:24">
      <c r="A282" s="25" t="s">
        <v>1260</v>
      </c>
      <c r="B282" s="25" t="s">
        <v>569</v>
      </c>
      <c r="C282" s="25" t="s">
        <v>570</v>
      </c>
      <c r="D282" s="25" t="s">
        <v>571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</v>
      </c>
      <c r="K282" s="31">
        <f>38030</f>
        <v>38030</v>
      </c>
      <c r="L282" s="32" t="s">
        <v>1240</v>
      </c>
      <c r="M282" s="31">
        <f>41290</f>
        <v>41290</v>
      </c>
      <c r="N282" s="32" t="s">
        <v>755</v>
      </c>
      <c r="O282" s="31">
        <f>37760</f>
        <v>37760</v>
      </c>
      <c r="P282" s="32" t="s">
        <v>1240</v>
      </c>
      <c r="Q282" s="31">
        <f>40860</f>
        <v>40860</v>
      </c>
      <c r="R282" s="32" t="s">
        <v>755</v>
      </c>
      <c r="S282" s="33">
        <f>38834.5</f>
        <v>38834.5</v>
      </c>
      <c r="T282" s="30">
        <f>84041</f>
        <v>84041</v>
      </c>
      <c r="U282" s="30">
        <f>49871</f>
        <v>49871</v>
      </c>
      <c r="V282" s="30">
        <f>3329004246</f>
        <v>3329004246</v>
      </c>
      <c r="W282" s="30">
        <f>1986726906</f>
        <v>1986726906</v>
      </c>
      <c r="X282" s="34">
        <f>20</f>
        <v>20</v>
      </c>
    </row>
    <row r="283" spans="1:24">
      <c r="A283" s="25" t="s">
        <v>1260</v>
      </c>
      <c r="B283" s="25" t="s">
        <v>572</v>
      </c>
      <c r="C283" s="25" t="s">
        <v>573</v>
      </c>
      <c r="D283" s="25" t="s">
        <v>574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</v>
      </c>
      <c r="K283" s="31">
        <f>25860</f>
        <v>25860</v>
      </c>
      <c r="L283" s="32" t="s">
        <v>1204</v>
      </c>
      <c r="M283" s="31">
        <f>26560</f>
        <v>26560</v>
      </c>
      <c r="N283" s="32" t="s">
        <v>755</v>
      </c>
      <c r="O283" s="31">
        <f>25610</f>
        <v>25610</v>
      </c>
      <c r="P283" s="32" t="s">
        <v>756</v>
      </c>
      <c r="Q283" s="31">
        <f>26560</f>
        <v>26560</v>
      </c>
      <c r="R283" s="32" t="s">
        <v>755</v>
      </c>
      <c r="S283" s="33">
        <f>25881.25</f>
        <v>25881.25</v>
      </c>
      <c r="T283" s="30">
        <f>7560</f>
        <v>7560</v>
      </c>
      <c r="U283" s="30" t="str">
        <f>"－"</f>
        <v>－</v>
      </c>
      <c r="V283" s="30">
        <f>194880220</f>
        <v>194880220</v>
      </c>
      <c r="W283" s="30" t="str">
        <f>"－"</f>
        <v>－</v>
      </c>
      <c r="X283" s="34">
        <f>12</f>
        <v>12</v>
      </c>
    </row>
    <row r="284" spans="1:24">
      <c r="A284" s="25" t="s">
        <v>1260</v>
      </c>
      <c r="B284" s="25" t="s">
        <v>575</v>
      </c>
      <c r="C284" s="25" t="s">
        <v>576</v>
      </c>
      <c r="D284" s="25" t="s">
        <v>577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10</v>
      </c>
      <c r="K284" s="31">
        <f>1064.5</f>
        <v>1064.5</v>
      </c>
      <c r="L284" s="32" t="s">
        <v>1240</v>
      </c>
      <c r="M284" s="31">
        <f>1101.5</f>
        <v>1101.5</v>
      </c>
      <c r="N284" s="32" t="s">
        <v>1210</v>
      </c>
      <c r="O284" s="31">
        <f>1064.5</f>
        <v>1064.5</v>
      </c>
      <c r="P284" s="32" t="s">
        <v>1240</v>
      </c>
      <c r="Q284" s="31">
        <f>1096.5</f>
        <v>1096.5</v>
      </c>
      <c r="R284" s="32" t="s">
        <v>755</v>
      </c>
      <c r="S284" s="33">
        <f>1082.91</f>
        <v>1082.9100000000001</v>
      </c>
      <c r="T284" s="30">
        <f>768880</f>
        <v>768880</v>
      </c>
      <c r="U284" s="30">
        <f>620000</f>
        <v>620000</v>
      </c>
      <c r="V284" s="30">
        <f>835080045</f>
        <v>835080045</v>
      </c>
      <c r="W284" s="30">
        <f>672445525</f>
        <v>672445525</v>
      </c>
      <c r="X284" s="34">
        <f>16</f>
        <v>16</v>
      </c>
    </row>
    <row r="285" spans="1:24">
      <c r="A285" s="25" t="s">
        <v>1260</v>
      </c>
      <c r="B285" s="25" t="s">
        <v>578</v>
      </c>
      <c r="C285" s="25" t="s">
        <v>918</v>
      </c>
      <c r="D285" s="25" t="s">
        <v>919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1046</f>
        <v>1046</v>
      </c>
      <c r="L285" s="32" t="s">
        <v>1240</v>
      </c>
      <c r="M285" s="31">
        <f>1076</f>
        <v>1076</v>
      </c>
      <c r="N285" s="32" t="s">
        <v>1210</v>
      </c>
      <c r="O285" s="31">
        <f>1041</f>
        <v>1041</v>
      </c>
      <c r="P285" s="32" t="s">
        <v>738</v>
      </c>
      <c r="Q285" s="31">
        <f>1068</f>
        <v>1068</v>
      </c>
      <c r="R285" s="32" t="s">
        <v>755</v>
      </c>
      <c r="S285" s="33">
        <f>1061.33</f>
        <v>1061.33</v>
      </c>
      <c r="T285" s="30">
        <f>862006</f>
        <v>862006</v>
      </c>
      <c r="U285" s="30">
        <f>475070</f>
        <v>475070</v>
      </c>
      <c r="V285" s="30">
        <f>912285325</f>
        <v>912285325</v>
      </c>
      <c r="W285" s="30">
        <f>505825693</f>
        <v>505825693</v>
      </c>
      <c r="X285" s="34">
        <f>21</f>
        <v>21</v>
      </c>
    </row>
    <row r="286" spans="1:24">
      <c r="A286" s="25" t="s">
        <v>1260</v>
      </c>
      <c r="B286" s="25" t="s">
        <v>579</v>
      </c>
      <c r="C286" s="25" t="s">
        <v>580</v>
      </c>
      <c r="D286" s="25" t="s">
        <v>581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</v>
      </c>
      <c r="K286" s="31">
        <f>1624</f>
        <v>1624</v>
      </c>
      <c r="L286" s="32" t="s">
        <v>1240</v>
      </c>
      <c r="M286" s="31">
        <f>1638</f>
        <v>1638</v>
      </c>
      <c r="N286" s="32" t="s">
        <v>755</v>
      </c>
      <c r="O286" s="31">
        <f>1589</f>
        <v>1589</v>
      </c>
      <c r="P286" s="32" t="s">
        <v>1209</v>
      </c>
      <c r="Q286" s="31">
        <f>1630</f>
        <v>1630</v>
      </c>
      <c r="R286" s="32" t="s">
        <v>755</v>
      </c>
      <c r="S286" s="33">
        <f>1609.24</f>
        <v>1609.24</v>
      </c>
      <c r="T286" s="30">
        <f>228557</f>
        <v>228557</v>
      </c>
      <c r="U286" s="30">
        <f>87238</f>
        <v>87238</v>
      </c>
      <c r="V286" s="30">
        <f>368318090</f>
        <v>368318090</v>
      </c>
      <c r="W286" s="30">
        <f>140616279</f>
        <v>140616279</v>
      </c>
      <c r="X286" s="34">
        <f>21</f>
        <v>21</v>
      </c>
    </row>
    <row r="287" spans="1:24">
      <c r="A287" s="25" t="s">
        <v>1260</v>
      </c>
      <c r="B287" s="25" t="s">
        <v>582</v>
      </c>
      <c r="C287" s="25" t="s">
        <v>583</v>
      </c>
      <c r="D287" s="25" t="s">
        <v>584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13550</f>
        <v>13550</v>
      </c>
      <c r="L287" s="32" t="s">
        <v>1240</v>
      </c>
      <c r="M287" s="31">
        <f>13850</f>
        <v>13850</v>
      </c>
      <c r="N287" s="32" t="s">
        <v>1075</v>
      </c>
      <c r="O287" s="31">
        <f>13175</f>
        <v>13175</v>
      </c>
      <c r="P287" s="32" t="s">
        <v>852</v>
      </c>
      <c r="Q287" s="31">
        <f>13700</f>
        <v>13700</v>
      </c>
      <c r="R287" s="32" t="s">
        <v>755</v>
      </c>
      <c r="S287" s="33">
        <f>13476.67</f>
        <v>13476.67</v>
      </c>
      <c r="T287" s="30">
        <f>1048</f>
        <v>1048</v>
      </c>
      <c r="U287" s="30" t="str">
        <f>"－"</f>
        <v>－</v>
      </c>
      <c r="V287" s="30">
        <f>14104195</f>
        <v>14104195</v>
      </c>
      <c r="W287" s="30" t="str">
        <f>"－"</f>
        <v>－</v>
      </c>
      <c r="X287" s="34">
        <f>21</f>
        <v>21</v>
      </c>
    </row>
    <row r="288" spans="1:24">
      <c r="A288" s="25" t="s">
        <v>1260</v>
      </c>
      <c r="B288" s="25" t="s">
        <v>585</v>
      </c>
      <c r="C288" s="25" t="s">
        <v>586</v>
      </c>
      <c r="D288" s="25" t="s">
        <v>587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1884</f>
        <v>1884</v>
      </c>
      <c r="L288" s="32" t="s">
        <v>1240</v>
      </c>
      <c r="M288" s="31">
        <f>1934</f>
        <v>1934</v>
      </c>
      <c r="N288" s="32" t="s">
        <v>1212</v>
      </c>
      <c r="O288" s="31">
        <f>1865</f>
        <v>1865</v>
      </c>
      <c r="P288" s="32" t="s">
        <v>1209</v>
      </c>
      <c r="Q288" s="31">
        <f>1930</f>
        <v>1930</v>
      </c>
      <c r="R288" s="32" t="s">
        <v>755</v>
      </c>
      <c r="S288" s="33">
        <f>1903.38</f>
        <v>1903.38</v>
      </c>
      <c r="T288" s="30">
        <f>499071</f>
        <v>499071</v>
      </c>
      <c r="U288" s="30">
        <f>454710</f>
        <v>454710</v>
      </c>
      <c r="V288" s="30">
        <f>941003504</f>
        <v>941003504</v>
      </c>
      <c r="W288" s="30">
        <f>857201518</f>
        <v>857201518</v>
      </c>
      <c r="X288" s="34">
        <f>21</f>
        <v>21</v>
      </c>
    </row>
    <row r="289" spans="1:24">
      <c r="A289" s="25" t="s">
        <v>1260</v>
      </c>
      <c r="B289" s="25" t="s">
        <v>588</v>
      </c>
      <c r="C289" s="25" t="s">
        <v>589</v>
      </c>
      <c r="D289" s="25" t="s">
        <v>590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10</v>
      </c>
      <c r="K289" s="31">
        <f>1554</f>
        <v>1554</v>
      </c>
      <c r="L289" s="32" t="s">
        <v>1240</v>
      </c>
      <c r="M289" s="31">
        <f>1630</f>
        <v>1630</v>
      </c>
      <c r="N289" s="32" t="s">
        <v>1212</v>
      </c>
      <c r="O289" s="31">
        <f>1515</f>
        <v>1515</v>
      </c>
      <c r="P289" s="32" t="s">
        <v>1240</v>
      </c>
      <c r="Q289" s="31">
        <f>1620.5</f>
        <v>1620.5</v>
      </c>
      <c r="R289" s="32" t="s">
        <v>755</v>
      </c>
      <c r="S289" s="33">
        <f>1583.5</f>
        <v>1583.5</v>
      </c>
      <c r="T289" s="30">
        <f>205030</f>
        <v>205030</v>
      </c>
      <c r="U289" s="30">
        <f>9380</f>
        <v>9380</v>
      </c>
      <c r="V289" s="30">
        <f>324273465</f>
        <v>324273465</v>
      </c>
      <c r="W289" s="30">
        <f>14934440</f>
        <v>14934440</v>
      </c>
      <c r="X289" s="34">
        <f>21</f>
        <v>21</v>
      </c>
    </row>
    <row r="290" spans="1:24">
      <c r="A290" s="25" t="s">
        <v>1260</v>
      </c>
      <c r="B290" s="25" t="s">
        <v>591</v>
      </c>
      <c r="C290" s="25" t="s">
        <v>664</v>
      </c>
      <c r="D290" s="25" t="s">
        <v>665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10</v>
      </c>
      <c r="K290" s="31">
        <f>782.6</f>
        <v>782.6</v>
      </c>
      <c r="L290" s="32" t="s">
        <v>1240</v>
      </c>
      <c r="M290" s="31">
        <f>790</f>
        <v>790</v>
      </c>
      <c r="N290" s="32" t="s">
        <v>1204</v>
      </c>
      <c r="O290" s="31">
        <f>775.5</f>
        <v>775.5</v>
      </c>
      <c r="P290" s="32" t="s">
        <v>738</v>
      </c>
      <c r="Q290" s="31">
        <f>784.1</f>
        <v>784.1</v>
      </c>
      <c r="R290" s="32" t="s">
        <v>755</v>
      </c>
      <c r="S290" s="33">
        <f>780.52</f>
        <v>780.52</v>
      </c>
      <c r="T290" s="30">
        <f>100290</f>
        <v>100290</v>
      </c>
      <c r="U290" s="30">
        <f>20</f>
        <v>20</v>
      </c>
      <c r="V290" s="30">
        <f>78187347</f>
        <v>78187347</v>
      </c>
      <c r="W290" s="30">
        <f>15682</f>
        <v>15682</v>
      </c>
      <c r="X290" s="34">
        <f>21</f>
        <v>21</v>
      </c>
    </row>
    <row r="291" spans="1:24">
      <c r="A291" s="25" t="s">
        <v>1260</v>
      </c>
      <c r="B291" s="25" t="s">
        <v>592</v>
      </c>
      <c r="C291" s="25" t="s">
        <v>593</v>
      </c>
      <c r="D291" s="25" t="s">
        <v>594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1793.5</f>
        <v>1793.5</v>
      </c>
      <c r="L291" s="32" t="s">
        <v>1240</v>
      </c>
      <c r="M291" s="31">
        <f>1859</f>
        <v>1859</v>
      </c>
      <c r="N291" s="32" t="s">
        <v>663</v>
      </c>
      <c r="O291" s="31">
        <f>1790</f>
        <v>1790</v>
      </c>
      <c r="P291" s="32" t="s">
        <v>1204</v>
      </c>
      <c r="Q291" s="31">
        <f>1835</f>
        <v>1835</v>
      </c>
      <c r="R291" s="32" t="s">
        <v>755</v>
      </c>
      <c r="S291" s="33">
        <f>1830.07</f>
        <v>1830.07</v>
      </c>
      <c r="T291" s="30">
        <f>955870</f>
        <v>955870</v>
      </c>
      <c r="U291" s="30">
        <f>900280</f>
        <v>900280</v>
      </c>
      <c r="V291" s="30">
        <f>1736542415</f>
        <v>1736542415</v>
      </c>
      <c r="W291" s="30">
        <f>1634901255</f>
        <v>1634901255</v>
      </c>
      <c r="X291" s="34">
        <f>21</f>
        <v>21</v>
      </c>
    </row>
    <row r="292" spans="1:24">
      <c r="A292" s="25" t="s">
        <v>1260</v>
      </c>
      <c r="B292" s="25" t="s">
        <v>595</v>
      </c>
      <c r="C292" s="25" t="s">
        <v>596</v>
      </c>
      <c r="D292" s="25" t="s">
        <v>597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1793.5</f>
        <v>1793.5</v>
      </c>
      <c r="L292" s="32" t="s">
        <v>1240</v>
      </c>
      <c r="M292" s="31">
        <f>1864</f>
        <v>1864</v>
      </c>
      <c r="N292" s="32" t="s">
        <v>755</v>
      </c>
      <c r="O292" s="31">
        <f>1783</f>
        <v>1783</v>
      </c>
      <c r="P292" s="32" t="s">
        <v>1204</v>
      </c>
      <c r="Q292" s="31">
        <f>1841</f>
        <v>1841</v>
      </c>
      <c r="R292" s="32" t="s">
        <v>755</v>
      </c>
      <c r="S292" s="33">
        <f>1827.6</f>
        <v>1827.6</v>
      </c>
      <c r="T292" s="30">
        <f>2945050</f>
        <v>2945050</v>
      </c>
      <c r="U292" s="30">
        <f>2437980</f>
        <v>2437980</v>
      </c>
      <c r="V292" s="30">
        <f>5351185799</f>
        <v>5351185799</v>
      </c>
      <c r="W292" s="30">
        <f>4424828259</f>
        <v>4424828259</v>
      </c>
      <c r="X292" s="34">
        <f>21</f>
        <v>21</v>
      </c>
    </row>
    <row r="293" spans="1:24">
      <c r="A293" s="25" t="s">
        <v>1260</v>
      </c>
      <c r="B293" s="25" t="s">
        <v>598</v>
      </c>
      <c r="C293" s="25" t="s">
        <v>599</v>
      </c>
      <c r="D293" s="25" t="s">
        <v>600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2804.5</f>
        <v>2804.5</v>
      </c>
      <c r="L293" s="32" t="s">
        <v>1240</v>
      </c>
      <c r="M293" s="31">
        <f>2896</f>
        <v>2896</v>
      </c>
      <c r="N293" s="32" t="s">
        <v>755</v>
      </c>
      <c r="O293" s="31">
        <f>2772</f>
        <v>2772</v>
      </c>
      <c r="P293" s="32" t="s">
        <v>756</v>
      </c>
      <c r="Q293" s="31">
        <f>2878.5</f>
        <v>2878.5</v>
      </c>
      <c r="R293" s="32" t="s">
        <v>755</v>
      </c>
      <c r="S293" s="33">
        <f>2812.29</f>
        <v>2812.29</v>
      </c>
      <c r="T293" s="30">
        <f>699870</f>
        <v>699870</v>
      </c>
      <c r="U293" s="30">
        <f>310000</f>
        <v>310000</v>
      </c>
      <c r="V293" s="30">
        <f>1977909535</f>
        <v>1977909535</v>
      </c>
      <c r="W293" s="30">
        <f>876644800</f>
        <v>876644800</v>
      </c>
      <c r="X293" s="34">
        <f>21</f>
        <v>21</v>
      </c>
    </row>
    <row r="294" spans="1:24">
      <c r="A294" s="25" t="s">
        <v>1260</v>
      </c>
      <c r="B294" s="25" t="s">
        <v>601</v>
      </c>
      <c r="C294" s="25" t="s">
        <v>602</v>
      </c>
      <c r="D294" s="25" t="s">
        <v>603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</v>
      </c>
      <c r="K294" s="31">
        <f>24415</f>
        <v>24415</v>
      </c>
      <c r="L294" s="32" t="s">
        <v>1240</v>
      </c>
      <c r="M294" s="31">
        <f>25710</f>
        <v>25710</v>
      </c>
      <c r="N294" s="32" t="s">
        <v>755</v>
      </c>
      <c r="O294" s="31">
        <f>24255</f>
        <v>24255</v>
      </c>
      <c r="P294" s="32" t="s">
        <v>1240</v>
      </c>
      <c r="Q294" s="31">
        <f>25620</f>
        <v>25620</v>
      </c>
      <c r="R294" s="32" t="s">
        <v>755</v>
      </c>
      <c r="S294" s="33">
        <f>24935</f>
        <v>24935</v>
      </c>
      <c r="T294" s="30">
        <f>393440</f>
        <v>393440</v>
      </c>
      <c r="U294" s="30">
        <f>7899</f>
        <v>7899</v>
      </c>
      <c r="V294" s="30">
        <f>9801019039</f>
        <v>9801019039</v>
      </c>
      <c r="W294" s="30">
        <f>200195179</f>
        <v>200195179</v>
      </c>
      <c r="X294" s="34">
        <f>21</f>
        <v>21</v>
      </c>
    </row>
    <row r="295" spans="1:24">
      <c r="A295" s="25" t="s">
        <v>1260</v>
      </c>
      <c r="B295" s="25" t="s">
        <v>604</v>
      </c>
      <c r="C295" s="25" t="s">
        <v>605</v>
      </c>
      <c r="D295" s="25" t="s">
        <v>606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</v>
      </c>
      <c r="K295" s="31">
        <f>20925</f>
        <v>20925</v>
      </c>
      <c r="L295" s="32" t="s">
        <v>1240</v>
      </c>
      <c r="M295" s="31">
        <f>21700</f>
        <v>21700</v>
      </c>
      <c r="N295" s="32" t="s">
        <v>755</v>
      </c>
      <c r="O295" s="31">
        <f>20755</f>
        <v>20755</v>
      </c>
      <c r="P295" s="32" t="s">
        <v>1240</v>
      </c>
      <c r="Q295" s="31">
        <f>21640</f>
        <v>21640</v>
      </c>
      <c r="R295" s="32" t="s">
        <v>755</v>
      </c>
      <c r="S295" s="33">
        <f>21161.67</f>
        <v>21161.67</v>
      </c>
      <c r="T295" s="30">
        <f>220125</f>
        <v>220125</v>
      </c>
      <c r="U295" s="30">
        <f>245</f>
        <v>245</v>
      </c>
      <c r="V295" s="30">
        <f>4664447285</f>
        <v>4664447285</v>
      </c>
      <c r="W295" s="30">
        <f>5204975</f>
        <v>5204975</v>
      </c>
      <c r="X295" s="34">
        <f>21</f>
        <v>21</v>
      </c>
    </row>
    <row r="296" spans="1:24">
      <c r="A296" s="25" t="s">
        <v>1260</v>
      </c>
      <c r="B296" s="25" t="s">
        <v>607</v>
      </c>
      <c r="C296" s="25" t="s">
        <v>608</v>
      </c>
      <c r="D296" s="25" t="s">
        <v>609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37170</f>
        <v>37170</v>
      </c>
      <c r="L296" s="32" t="s">
        <v>1240</v>
      </c>
      <c r="M296" s="31">
        <f>37400</f>
        <v>37400</v>
      </c>
      <c r="N296" s="32" t="s">
        <v>755</v>
      </c>
      <c r="O296" s="31">
        <f>36700</f>
        <v>36700</v>
      </c>
      <c r="P296" s="32" t="s">
        <v>756</v>
      </c>
      <c r="Q296" s="31">
        <f>37400</f>
        <v>37400</v>
      </c>
      <c r="R296" s="32" t="s">
        <v>755</v>
      </c>
      <c r="S296" s="33">
        <f>37112.86</f>
        <v>37112.86</v>
      </c>
      <c r="T296" s="30">
        <f>120</f>
        <v>120</v>
      </c>
      <c r="U296" s="30" t="str">
        <f>"－"</f>
        <v>－</v>
      </c>
      <c r="V296" s="30">
        <f>4452910</f>
        <v>4452910</v>
      </c>
      <c r="W296" s="30" t="str">
        <f>"－"</f>
        <v>－</v>
      </c>
      <c r="X296" s="34">
        <f>7</f>
        <v>7</v>
      </c>
    </row>
    <row r="297" spans="1:24">
      <c r="A297" s="25" t="s">
        <v>1260</v>
      </c>
      <c r="B297" s="25" t="s">
        <v>610</v>
      </c>
      <c r="C297" s="25" t="s">
        <v>611</v>
      </c>
      <c r="D297" s="25" t="s">
        <v>612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2221</f>
        <v>2221</v>
      </c>
      <c r="L297" s="32" t="s">
        <v>1240</v>
      </c>
      <c r="M297" s="31">
        <f>2254</f>
        <v>2254</v>
      </c>
      <c r="N297" s="32" t="s">
        <v>756</v>
      </c>
      <c r="O297" s="31">
        <f>2211</f>
        <v>2211</v>
      </c>
      <c r="P297" s="32" t="s">
        <v>1240</v>
      </c>
      <c r="Q297" s="31">
        <f>2229</f>
        <v>2229</v>
      </c>
      <c r="R297" s="32" t="s">
        <v>755</v>
      </c>
      <c r="S297" s="33">
        <f>2227.62</f>
        <v>2227.62</v>
      </c>
      <c r="T297" s="30">
        <f>528660</f>
        <v>528660</v>
      </c>
      <c r="U297" s="30">
        <f>245723</f>
        <v>245723</v>
      </c>
      <c r="V297" s="30">
        <f>1178897933</f>
        <v>1178897933</v>
      </c>
      <c r="W297" s="30">
        <f>548008442</f>
        <v>548008442</v>
      </c>
      <c r="X297" s="34">
        <f>21</f>
        <v>21</v>
      </c>
    </row>
    <row r="298" spans="1:24">
      <c r="A298" s="25" t="s">
        <v>1260</v>
      </c>
      <c r="B298" s="25" t="s">
        <v>613</v>
      </c>
      <c r="C298" s="25" t="s">
        <v>614</v>
      </c>
      <c r="D298" s="25" t="s">
        <v>615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</v>
      </c>
      <c r="K298" s="31">
        <f>3080</f>
        <v>3080</v>
      </c>
      <c r="L298" s="32" t="s">
        <v>1240</v>
      </c>
      <c r="M298" s="31">
        <f>3210</f>
        <v>3210</v>
      </c>
      <c r="N298" s="32" t="s">
        <v>755</v>
      </c>
      <c r="O298" s="31">
        <f>3039</f>
        <v>3039</v>
      </c>
      <c r="P298" s="32" t="s">
        <v>756</v>
      </c>
      <c r="Q298" s="31">
        <f>3210</f>
        <v>3210</v>
      </c>
      <c r="R298" s="32" t="s">
        <v>755</v>
      </c>
      <c r="S298" s="33">
        <f>3103.71</f>
        <v>3103.71</v>
      </c>
      <c r="T298" s="30">
        <f>900181</f>
        <v>900181</v>
      </c>
      <c r="U298" s="30">
        <f>597050</f>
        <v>597050</v>
      </c>
      <c r="V298" s="30">
        <f>2814895922</f>
        <v>2814895922</v>
      </c>
      <c r="W298" s="30">
        <f>1874383379</f>
        <v>1874383379</v>
      </c>
      <c r="X298" s="34">
        <f>21</f>
        <v>21</v>
      </c>
    </row>
    <row r="299" spans="1:24">
      <c r="A299" s="25" t="s">
        <v>1260</v>
      </c>
      <c r="B299" s="25" t="s">
        <v>616</v>
      </c>
      <c r="C299" s="25" t="s">
        <v>617</v>
      </c>
      <c r="D299" s="25" t="s">
        <v>618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10</v>
      </c>
      <c r="K299" s="31">
        <f>325.5</f>
        <v>325.5</v>
      </c>
      <c r="L299" s="32" t="s">
        <v>1240</v>
      </c>
      <c r="M299" s="31">
        <f>342.2</f>
        <v>342.2</v>
      </c>
      <c r="N299" s="32" t="s">
        <v>755</v>
      </c>
      <c r="O299" s="31">
        <f>324.4</f>
        <v>324.39999999999998</v>
      </c>
      <c r="P299" s="32" t="s">
        <v>1240</v>
      </c>
      <c r="Q299" s="31">
        <f>342</f>
        <v>342</v>
      </c>
      <c r="R299" s="32" t="s">
        <v>755</v>
      </c>
      <c r="S299" s="33">
        <f>331.92</f>
        <v>331.92</v>
      </c>
      <c r="T299" s="30">
        <f>21130830</f>
        <v>21130830</v>
      </c>
      <c r="U299" s="30">
        <f>7158770</f>
        <v>7158770</v>
      </c>
      <c r="V299" s="30">
        <f>7082866073</f>
        <v>7082866073</v>
      </c>
      <c r="W299" s="30">
        <f>2420332362</f>
        <v>2420332362</v>
      </c>
      <c r="X299" s="34">
        <f>21</f>
        <v>21</v>
      </c>
    </row>
    <row r="300" spans="1:24">
      <c r="A300" s="25" t="s">
        <v>1260</v>
      </c>
      <c r="B300" s="25" t="s">
        <v>619</v>
      </c>
      <c r="C300" s="25" t="s">
        <v>620</v>
      </c>
      <c r="D300" s="25" t="s">
        <v>621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</v>
      </c>
      <c r="K300" s="31">
        <f>2737</f>
        <v>2737</v>
      </c>
      <c r="L300" s="32" t="s">
        <v>1240</v>
      </c>
      <c r="M300" s="31">
        <f>2792</f>
        <v>2792</v>
      </c>
      <c r="N300" s="32" t="s">
        <v>755</v>
      </c>
      <c r="O300" s="31">
        <f>2695</f>
        <v>2695</v>
      </c>
      <c r="P300" s="32" t="s">
        <v>756</v>
      </c>
      <c r="Q300" s="31">
        <f>2787</f>
        <v>2787</v>
      </c>
      <c r="R300" s="32" t="s">
        <v>755</v>
      </c>
      <c r="S300" s="33">
        <f>2735.95</f>
        <v>2735.95</v>
      </c>
      <c r="T300" s="30">
        <f>468249</f>
        <v>468249</v>
      </c>
      <c r="U300" s="30">
        <f>108360</f>
        <v>108360</v>
      </c>
      <c r="V300" s="30">
        <f>1285481963</f>
        <v>1285481963</v>
      </c>
      <c r="W300" s="30">
        <f>295388025</f>
        <v>295388025</v>
      </c>
      <c r="X300" s="34">
        <f>21</f>
        <v>21</v>
      </c>
    </row>
    <row r="301" spans="1:24">
      <c r="A301" s="25" t="s">
        <v>1260</v>
      </c>
      <c r="B301" s="25" t="s">
        <v>622</v>
      </c>
      <c r="C301" s="25" t="s">
        <v>623</v>
      </c>
      <c r="D301" s="25" t="s">
        <v>624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</v>
      </c>
      <c r="K301" s="31">
        <f>843</f>
        <v>843</v>
      </c>
      <c r="L301" s="32" t="s">
        <v>1240</v>
      </c>
      <c r="M301" s="31">
        <f>868</f>
        <v>868</v>
      </c>
      <c r="N301" s="32" t="s">
        <v>755</v>
      </c>
      <c r="O301" s="31">
        <f>839</f>
        <v>839</v>
      </c>
      <c r="P301" s="32" t="s">
        <v>1240</v>
      </c>
      <c r="Q301" s="31">
        <f>858</f>
        <v>858</v>
      </c>
      <c r="R301" s="32" t="s">
        <v>755</v>
      </c>
      <c r="S301" s="33">
        <f>854.57</f>
        <v>854.57</v>
      </c>
      <c r="T301" s="30">
        <f>871411</f>
        <v>871411</v>
      </c>
      <c r="U301" s="30">
        <f>540000</f>
        <v>540000</v>
      </c>
      <c r="V301" s="30">
        <f>741948655</f>
        <v>741948655</v>
      </c>
      <c r="W301" s="30">
        <f>457030433</f>
        <v>457030433</v>
      </c>
      <c r="X301" s="34">
        <f>21</f>
        <v>21</v>
      </c>
    </row>
    <row r="302" spans="1:24">
      <c r="A302" s="25" t="s">
        <v>1260</v>
      </c>
      <c r="B302" s="25" t="s">
        <v>625</v>
      </c>
      <c r="C302" s="25" t="s">
        <v>626</v>
      </c>
      <c r="D302" s="25" t="s">
        <v>627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</v>
      </c>
      <c r="K302" s="31">
        <f>983</f>
        <v>983</v>
      </c>
      <c r="L302" s="32" t="s">
        <v>1240</v>
      </c>
      <c r="M302" s="31">
        <f>1020</f>
        <v>1020</v>
      </c>
      <c r="N302" s="32" t="s">
        <v>756</v>
      </c>
      <c r="O302" s="31">
        <f>980</f>
        <v>980</v>
      </c>
      <c r="P302" s="32" t="s">
        <v>1204</v>
      </c>
      <c r="Q302" s="31">
        <f>1008</f>
        <v>1008</v>
      </c>
      <c r="R302" s="32" t="s">
        <v>755</v>
      </c>
      <c r="S302" s="33">
        <f>1001.14</f>
        <v>1001.14</v>
      </c>
      <c r="T302" s="30">
        <f>179912</f>
        <v>179912</v>
      </c>
      <c r="U302" s="30">
        <f>146690</f>
        <v>146690</v>
      </c>
      <c r="V302" s="30">
        <f>181056033</f>
        <v>181056033</v>
      </c>
      <c r="W302" s="30">
        <f>148066221</f>
        <v>148066221</v>
      </c>
      <c r="X302" s="34">
        <f>21</f>
        <v>21</v>
      </c>
    </row>
    <row r="303" spans="1:24">
      <c r="A303" s="25" t="s">
        <v>1260</v>
      </c>
      <c r="B303" s="25" t="s">
        <v>628</v>
      </c>
      <c r="C303" s="25" t="s">
        <v>629</v>
      </c>
      <c r="D303" s="25" t="s">
        <v>630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10</v>
      </c>
      <c r="K303" s="31">
        <f>372.5</f>
        <v>372.5</v>
      </c>
      <c r="L303" s="32" t="s">
        <v>1240</v>
      </c>
      <c r="M303" s="31">
        <f>385</f>
        <v>385</v>
      </c>
      <c r="N303" s="32" t="s">
        <v>755</v>
      </c>
      <c r="O303" s="31">
        <f>363.5</f>
        <v>363.5</v>
      </c>
      <c r="P303" s="32" t="s">
        <v>756</v>
      </c>
      <c r="Q303" s="31">
        <f>384.9</f>
        <v>384.9</v>
      </c>
      <c r="R303" s="32" t="s">
        <v>755</v>
      </c>
      <c r="S303" s="33">
        <f>373.03</f>
        <v>373.03</v>
      </c>
      <c r="T303" s="30">
        <f>11660</f>
        <v>11660</v>
      </c>
      <c r="U303" s="30" t="str">
        <f>"－"</f>
        <v>－</v>
      </c>
      <c r="V303" s="30">
        <f>4348146</f>
        <v>4348146</v>
      </c>
      <c r="W303" s="30" t="str">
        <f>"－"</f>
        <v>－</v>
      </c>
      <c r="X303" s="34">
        <f>15</f>
        <v>15</v>
      </c>
    </row>
    <row r="304" spans="1:24">
      <c r="A304" s="25" t="s">
        <v>1260</v>
      </c>
      <c r="B304" s="25" t="s">
        <v>631</v>
      </c>
      <c r="C304" s="25" t="s">
        <v>632</v>
      </c>
      <c r="D304" s="25" t="s">
        <v>633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</v>
      </c>
      <c r="K304" s="31">
        <f>5260</f>
        <v>5260</v>
      </c>
      <c r="L304" s="32" t="s">
        <v>1240</v>
      </c>
      <c r="M304" s="31">
        <f>5626</f>
        <v>5626</v>
      </c>
      <c r="N304" s="32" t="s">
        <v>755</v>
      </c>
      <c r="O304" s="31">
        <f>5210</f>
        <v>5210</v>
      </c>
      <c r="P304" s="32" t="s">
        <v>1240</v>
      </c>
      <c r="Q304" s="31">
        <f>5612</f>
        <v>5612</v>
      </c>
      <c r="R304" s="32" t="s">
        <v>755</v>
      </c>
      <c r="S304" s="33">
        <f>5417.19</f>
        <v>5417.19</v>
      </c>
      <c r="T304" s="30">
        <f>569571</f>
        <v>569571</v>
      </c>
      <c r="U304" s="30">
        <f>94505</f>
        <v>94505</v>
      </c>
      <c r="V304" s="30">
        <f>3095158279</f>
        <v>3095158279</v>
      </c>
      <c r="W304" s="30">
        <f>509777995</f>
        <v>509777995</v>
      </c>
      <c r="X304" s="34">
        <f>21</f>
        <v>21</v>
      </c>
    </row>
    <row r="305" spans="1:24">
      <c r="A305" s="25" t="s">
        <v>1260</v>
      </c>
      <c r="B305" s="25" t="s">
        <v>634</v>
      </c>
      <c r="C305" s="25" t="s">
        <v>635</v>
      </c>
      <c r="D305" s="25" t="s">
        <v>636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</v>
      </c>
      <c r="K305" s="31">
        <f>3235</f>
        <v>3235</v>
      </c>
      <c r="L305" s="32" t="s">
        <v>1240</v>
      </c>
      <c r="M305" s="31">
        <f>3445</f>
        <v>3445</v>
      </c>
      <c r="N305" s="32" t="s">
        <v>755</v>
      </c>
      <c r="O305" s="31">
        <f>3220</f>
        <v>3220</v>
      </c>
      <c r="P305" s="32" t="s">
        <v>1240</v>
      </c>
      <c r="Q305" s="31">
        <f>3445</f>
        <v>3445</v>
      </c>
      <c r="R305" s="32" t="s">
        <v>755</v>
      </c>
      <c r="S305" s="33">
        <f>3318.29</f>
        <v>3318.29</v>
      </c>
      <c r="T305" s="30">
        <f>3158296</f>
        <v>3158296</v>
      </c>
      <c r="U305" s="30">
        <f>2275200</f>
        <v>2275200</v>
      </c>
      <c r="V305" s="30">
        <f>10574405949</f>
        <v>10574405949</v>
      </c>
      <c r="W305" s="30">
        <f>7636713358</f>
        <v>7636713358</v>
      </c>
      <c r="X305" s="34">
        <f>21</f>
        <v>21</v>
      </c>
    </row>
    <row r="306" spans="1:24">
      <c r="A306" s="25" t="s">
        <v>1260</v>
      </c>
      <c r="B306" s="25" t="s">
        <v>1158</v>
      </c>
      <c r="C306" s="25" t="s">
        <v>1159</v>
      </c>
      <c r="D306" s="25" t="s">
        <v>1160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</v>
      </c>
      <c r="K306" s="31">
        <f>2167</f>
        <v>2167</v>
      </c>
      <c r="L306" s="32" t="s">
        <v>1240</v>
      </c>
      <c r="M306" s="31">
        <f>2314</f>
        <v>2314</v>
      </c>
      <c r="N306" s="32" t="s">
        <v>755</v>
      </c>
      <c r="O306" s="31">
        <f>2167</f>
        <v>2167</v>
      </c>
      <c r="P306" s="32" t="s">
        <v>1240</v>
      </c>
      <c r="Q306" s="31">
        <f>2291</f>
        <v>2291</v>
      </c>
      <c r="R306" s="32" t="s">
        <v>755</v>
      </c>
      <c r="S306" s="33">
        <f>2208.7</f>
        <v>2208.6999999999998</v>
      </c>
      <c r="T306" s="30">
        <f>3050</f>
        <v>3050</v>
      </c>
      <c r="U306" s="30" t="str">
        <f>"－"</f>
        <v>－</v>
      </c>
      <c r="V306" s="30">
        <f>6742572</f>
        <v>6742572</v>
      </c>
      <c r="W306" s="30" t="str">
        <f>"－"</f>
        <v>－</v>
      </c>
      <c r="X306" s="34">
        <f>20</f>
        <v>20</v>
      </c>
    </row>
    <row r="307" spans="1:24">
      <c r="A307" s="25" t="s">
        <v>1260</v>
      </c>
      <c r="B307" s="25" t="s">
        <v>1161</v>
      </c>
      <c r="C307" s="25" t="s">
        <v>1162</v>
      </c>
      <c r="D307" s="25" t="s">
        <v>1163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</v>
      </c>
      <c r="K307" s="31">
        <f>1997</f>
        <v>1997</v>
      </c>
      <c r="L307" s="32" t="s">
        <v>1240</v>
      </c>
      <c r="M307" s="31">
        <f>2099</f>
        <v>2099</v>
      </c>
      <c r="N307" s="32" t="s">
        <v>1207</v>
      </c>
      <c r="O307" s="31">
        <f>1996</f>
        <v>1996</v>
      </c>
      <c r="P307" s="32" t="s">
        <v>1240</v>
      </c>
      <c r="Q307" s="31">
        <f>2090</f>
        <v>2090</v>
      </c>
      <c r="R307" s="32" t="s">
        <v>755</v>
      </c>
      <c r="S307" s="33">
        <f>2059.48</f>
        <v>2059.48</v>
      </c>
      <c r="T307" s="30">
        <f>28133</f>
        <v>28133</v>
      </c>
      <c r="U307" s="30" t="str">
        <f>"－"</f>
        <v>－</v>
      </c>
      <c r="V307" s="30">
        <f>57551984</f>
        <v>57551984</v>
      </c>
      <c r="W307" s="30" t="str">
        <f>"－"</f>
        <v>－</v>
      </c>
      <c r="X307" s="34">
        <f>21</f>
        <v>21</v>
      </c>
    </row>
    <row r="308" spans="1:24">
      <c r="A308" s="25" t="s">
        <v>1260</v>
      </c>
      <c r="B308" s="25" t="s">
        <v>637</v>
      </c>
      <c r="C308" s="25" t="s">
        <v>638</v>
      </c>
      <c r="D308" s="25" t="s">
        <v>639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10</v>
      </c>
      <c r="K308" s="31">
        <f>331.9</f>
        <v>331.9</v>
      </c>
      <c r="L308" s="32" t="s">
        <v>1240</v>
      </c>
      <c r="M308" s="31">
        <f>340.7</f>
        <v>340.7</v>
      </c>
      <c r="N308" s="32" t="s">
        <v>756</v>
      </c>
      <c r="O308" s="31">
        <f>328.5</f>
        <v>328.5</v>
      </c>
      <c r="P308" s="32" t="s">
        <v>1204</v>
      </c>
      <c r="Q308" s="31">
        <f>334.1</f>
        <v>334.1</v>
      </c>
      <c r="R308" s="32" t="s">
        <v>755</v>
      </c>
      <c r="S308" s="33">
        <f>333.96</f>
        <v>333.96</v>
      </c>
      <c r="T308" s="30">
        <f>2608840</f>
        <v>2608840</v>
      </c>
      <c r="U308" s="30">
        <f>1792340</f>
        <v>1792340</v>
      </c>
      <c r="V308" s="30">
        <f>873258164</f>
        <v>873258164</v>
      </c>
      <c r="W308" s="30">
        <f>600061808</f>
        <v>600061808</v>
      </c>
      <c r="X308" s="34">
        <f>21</f>
        <v>21</v>
      </c>
    </row>
    <row r="309" spans="1:24">
      <c r="A309" s="25" t="s">
        <v>1260</v>
      </c>
      <c r="B309" s="25" t="s">
        <v>640</v>
      </c>
      <c r="C309" s="25" t="s">
        <v>641</v>
      </c>
      <c r="D309" s="25" t="s">
        <v>642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1082</f>
        <v>1082</v>
      </c>
      <c r="L309" s="32" t="s">
        <v>1240</v>
      </c>
      <c r="M309" s="31">
        <f>1110</f>
        <v>1110</v>
      </c>
      <c r="N309" s="32" t="s">
        <v>1075</v>
      </c>
      <c r="O309" s="31">
        <f>1075</f>
        <v>1075</v>
      </c>
      <c r="P309" s="32" t="s">
        <v>852</v>
      </c>
      <c r="Q309" s="31">
        <f>1102</f>
        <v>1102</v>
      </c>
      <c r="R309" s="32" t="s">
        <v>755</v>
      </c>
      <c r="S309" s="33">
        <f>1090.62</f>
        <v>1090.6199999999999</v>
      </c>
      <c r="T309" s="30">
        <f>11008563</f>
        <v>11008563</v>
      </c>
      <c r="U309" s="30">
        <f>13338</f>
        <v>13338</v>
      </c>
      <c r="V309" s="30">
        <f>12027320779</f>
        <v>12027320779</v>
      </c>
      <c r="W309" s="30">
        <f>14457267</f>
        <v>14457267</v>
      </c>
      <c r="X309" s="34">
        <f>21</f>
        <v>21</v>
      </c>
    </row>
    <row r="310" spans="1:24">
      <c r="A310" s="25" t="s">
        <v>1260</v>
      </c>
      <c r="B310" s="25" t="s">
        <v>643</v>
      </c>
      <c r="C310" s="25" t="s">
        <v>644</v>
      </c>
      <c r="D310" s="25" t="s">
        <v>645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</v>
      </c>
      <c r="K310" s="31">
        <f>1695</f>
        <v>1695</v>
      </c>
      <c r="L310" s="32" t="s">
        <v>1240</v>
      </c>
      <c r="M310" s="31">
        <f>1726</f>
        <v>1726</v>
      </c>
      <c r="N310" s="32" t="s">
        <v>755</v>
      </c>
      <c r="O310" s="31">
        <f>1689</f>
        <v>1689</v>
      </c>
      <c r="P310" s="32" t="s">
        <v>1204</v>
      </c>
      <c r="Q310" s="31">
        <f>1724</f>
        <v>1724</v>
      </c>
      <c r="R310" s="32" t="s">
        <v>755</v>
      </c>
      <c r="S310" s="33">
        <f>1708.1</f>
        <v>1708.1</v>
      </c>
      <c r="T310" s="30">
        <f>22772</f>
        <v>22772</v>
      </c>
      <c r="U310" s="30" t="str">
        <f>"－"</f>
        <v>－</v>
      </c>
      <c r="V310" s="30">
        <f>38891947</f>
        <v>38891947</v>
      </c>
      <c r="W310" s="30" t="str">
        <f>"－"</f>
        <v>－</v>
      </c>
      <c r="X310" s="34">
        <f>21</f>
        <v>21</v>
      </c>
    </row>
    <row r="311" spans="1:24">
      <c r="A311" s="25" t="s">
        <v>1260</v>
      </c>
      <c r="B311" s="25" t="s">
        <v>646</v>
      </c>
      <c r="C311" s="25" t="s">
        <v>647</v>
      </c>
      <c r="D311" s="25" t="s">
        <v>648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2060</f>
        <v>2060</v>
      </c>
      <c r="L311" s="32" t="s">
        <v>1240</v>
      </c>
      <c r="M311" s="31">
        <f>2060</f>
        <v>2060</v>
      </c>
      <c r="N311" s="32" t="s">
        <v>1240</v>
      </c>
      <c r="O311" s="31">
        <f>2033</f>
        <v>2033</v>
      </c>
      <c r="P311" s="32" t="s">
        <v>739</v>
      </c>
      <c r="Q311" s="31">
        <f>2045</f>
        <v>2045</v>
      </c>
      <c r="R311" s="32" t="s">
        <v>755</v>
      </c>
      <c r="S311" s="33">
        <f>2044.5</f>
        <v>2044.5</v>
      </c>
      <c r="T311" s="30">
        <f>2595167</f>
        <v>2595167</v>
      </c>
      <c r="U311" s="30">
        <f>2589000</f>
        <v>2589000</v>
      </c>
      <c r="V311" s="30">
        <f>5305265096</f>
        <v>5305265096</v>
      </c>
      <c r="W311" s="30">
        <f>5292692700</f>
        <v>5292692700</v>
      </c>
      <c r="X311" s="34">
        <f>20</f>
        <v>20</v>
      </c>
    </row>
    <row r="312" spans="1:24">
      <c r="A312" s="25" t="s">
        <v>1260</v>
      </c>
      <c r="B312" s="25" t="s">
        <v>649</v>
      </c>
      <c r="C312" s="25" t="s">
        <v>650</v>
      </c>
      <c r="D312" s="25" t="s">
        <v>920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3781</f>
        <v>3781</v>
      </c>
      <c r="L312" s="32" t="s">
        <v>1240</v>
      </c>
      <c r="M312" s="31">
        <f>4106</f>
        <v>4106</v>
      </c>
      <c r="N312" s="32" t="s">
        <v>755</v>
      </c>
      <c r="O312" s="31">
        <f>3750</f>
        <v>3750</v>
      </c>
      <c r="P312" s="32" t="s">
        <v>1240</v>
      </c>
      <c r="Q312" s="31">
        <f>4072</f>
        <v>4072</v>
      </c>
      <c r="R312" s="32" t="s">
        <v>755</v>
      </c>
      <c r="S312" s="33">
        <f>3861.33</f>
        <v>3861.33</v>
      </c>
      <c r="T312" s="30">
        <f>459467</f>
        <v>459467</v>
      </c>
      <c r="U312" s="30">
        <f>218715</f>
        <v>218715</v>
      </c>
      <c r="V312" s="30">
        <f>1769786210</f>
        <v>1769786210</v>
      </c>
      <c r="W312" s="30">
        <f>833937402</f>
        <v>833937402</v>
      </c>
      <c r="X312" s="34">
        <f>21</f>
        <v>21</v>
      </c>
    </row>
    <row r="313" spans="1:24">
      <c r="A313" s="25" t="s">
        <v>1260</v>
      </c>
      <c r="B313" s="25" t="s">
        <v>651</v>
      </c>
      <c r="C313" s="25" t="s">
        <v>652</v>
      </c>
      <c r="D313" s="25" t="s">
        <v>921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2792</f>
        <v>2792</v>
      </c>
      <c r="L313" s="32" t="s">
        <v>1240</v>
      </c>
      <c r="M313" s="31">
        <f>2878</f>
        <v>2878</v>
      </c>
      <c r="N313" s="32" t="s">
        <v>755</v>
      </c>
      <c r="O313" s="31">
        <f>2749</f>
        <v>2749</v>
      </c>
      <c r="P313" s="32" t="s">
        <v>1211</v>
      </c>
      <c r="Q313" s="31">
        <f>2858</f>
        <v>2858</v>
      </c>
      <c r="R313" s="32" t="s">
        <v>755</v>
      </c>
      <c r="S313" s="33">
        <f>2790.95</f>
        <v>2790.95</v>
      </c>
      <c r="T313" s="30">
        <f>451111</f>
        <v>451111</v>
      </c>
      <c r="U313" s="30">
        <f>332700</f>
        <v>332700</v>
      </c>
      <c r="V313" s="30">
        <f>1256642531</f>
        <v>1256642531</v>
      </c>
      <c r="W313" s="30">
        <f>924577725</f>
        <v>924577725</v>
      </c>
      <c r="X313" s="34">
        <f>21</f>
        <v>21</v>
      </c>
    </row>
    <row r="314" spans="1:24">
      <c r="A314" s="25" t="s">
        <v>1260</v>
      </c>
      <c r="B314" s="25" t="s">
        <v>653</v>
      </c>
      <c r="C314" s="25" t="s">
        <v>654</v>
      </c>
      <c r="D314" s="25" t="s">
        <v>655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2699</f>
        <v>2699</v>
      </c>
      <c r="L314" s="32" t="s">
        <v>1240</v>
      </c>
      <c r="M314" s="31">
        <f>2905</f>
        <v>2905</v>
      </c>
      <c r="N314" s="32" t="s">
        <v>755</v>
      </c>
      <c r="O314" s="31">
        <f>2671</f>
        <v>2671</v>
      </c>
      <c r="P314" s="32" t="s">
        <v>1240</v>
      </c>
      <c r="Q314" s="31">
        <f>2884</f>
        <v>2884</v>
      </c>
      <c r="R314" s="32" t="s">
        <v>755</v>
      </c>
      <c r="S314" s="33">
        <f>2755.81</f>
        <v>2755.81</v>
      </c>
      <c r="T314" s="30">
        <f>39878</f>
        <v>39878</v>
      </c>
      <c r="U314" s="30" t="str">
        <f>"－"</f>
        <v>－</v>
      </c>
      <c r="V314" s="30">
        <f>110949277</f>
        <v>110949277</v>
      </c>
      <c r="W314" s="30" t="str">
        <f>"－"</f>
        <v>－</v>
      </c>
      <c r="X314" s="34">
        <f>21</f>
        <v>21</v>
      </c>
    </row>
    <row r="315" spans="1:24">
      <c r="A315" s="25" t="s">
        <v>1260</v>
      </c>
      <c r="B315" s="25" t="s">
        <v>656</v>
      </c>
      <c r="C315" s="25" t="s">
        <v>657</v>
      </c>
      <c r="D315" s="25" t="s">
        <v>658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1543</f>
        <v>1543</v>
      </c>
      <c r="L315" s="32" t="s">
        <v>1240</v>
      </c>
      <c r="M315" s="31">
        <f>1598</f>
        <v>1598</v>
      </c>
      <c r="N315" s="32" t="s">
        <v>1206</v>
      </c>
      <c r="O315" s="31">
        <f>1490</f>
        <v>1490</v>
      </c>
      <c r="P315" s="32" t="s">
        <v>1205</v>
      </c>
      <c r="Q315" s="31">
        <f>1550</f>
        <v>1550</v>
      </c>
      <c r="R315" s="32" t="s">
        <v>755</v>
      </c>
      <c r="S315" s="33">
        <f>1566.14</f>
        <v>1566.14</v>
      </c>
      <c r="T315" s="30">
        <f>65142</f>
        <v>65142</v>
      </c>
      <c r="U315" s="30" t="str">
        <f>"－"</f>
        <v>－</v>
      </c>
      <c r="V315" s="30">
        <f>102571933</f>
        <v>102571933</v>
      </c>
      <c r="W315" s="30" t="str">
        <f>"－"</f>
        <v>－</v>
      </c>
      <c r="X315" s="34">
        <f>21</f>
        <v>21</v>
      </c>
    </row>
    <row r="316" spans="1:24">
      <c r="A316" s="25" t="s">
        <v>1260</v>
      </c>
      <c r="B316" s="25" t="s">
        <v>666</v>
      </c>
      <c r="C316" s="25" t="s">
        <v>667</v>
      </c>
      <c r="D316" s="25" t="s">
        <v>668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1900</f>
        <v>1900</v>
      </c>
      <c r="L316" s="32" t="s">
        <v>1240</v>
      </c>
      <c r="M316" s="31">
        <f>1980</f>
        <v>1980</v>
      </c>
      <c r="N316" s="32" t="s">
        <v>738</v>
      </c>
      <c r="O316" s="31">
        <f>1854</f>
        <v>1854</v>
      </c>
      <c r="P316" s="32" t="s">
        <v>1240</v>
      </c>
      <c r="Q316" s="31">
        <f>1957</f>
        <v>1957</v>
      </c>
      <c r="R316" s="32" t="s">
        <v>755</v>
      </c>
      <c r="S316" s="33">
        <f>1916.81</f>
        <v>1916.81</v>
      </c>
      <c r="T316" s="30">
        <f>118963</f>
        <v>118963</v>
      </c>
      <c r="U316" s="30" t="str">
        <f>"－"</f>
        <v>－</v>
      </c>
      <c r="V316" s="30">
        <f>229156070</f>
        <v>229156070</v>
      </c>
      <c r="W316" s="30" t="str">
        <f>"－"</f>
        <v>－</v>
      </c>
      <c r="X316" s="34">
        <f>21</f>
        <v>21</v>
      </c>
    </row>
    <row r="317" spans="1:24">
      <c r="A317" s="25" t="s">
        <v>1260</v>
      </c>
      <c r="B317" s="25" t="s">
        <v>669</v>
      </c>
      <c r="C317" s="25" t="s">
        <v>670</v>
      </c>
      <c r="D317" s="25" t="s">
        <v>671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2804</f>
        <v>2804</v>
      </c>
      <c r="L317" s="32" t="s">
        <v>1240</v>
      </c>
      <c r="M317" s="31">
        <f>2929</f>
        <v>2929</v>
      </c>
      <c r="N317" s="32" t="s">
        <v>1212</v>
      </c>
      <c r="O317" s="31">
        <f>2713</f>
        <v>2713</v>
      </c>
      <c r="P317" s="32" t="s">
        <v>1240</v>
      </c>
      <c r="Q317" s="31">
        <f>2855</f>
        <v>2855</v>
      </c>
      <c r="R317" s="32" t="s">
        <v>755</v>
      </c>
      <c r="S317" s="33">
        <f>2831.71</f>
        <v>2831.71</v>
      </c>
      <c r="T317" s="30">
        <f>59546</f>
        <v>59546</v>
      </c>
      <c r="U317" s="30" t="str">
        <f>"－"</f>
        <v>－</v>
      </c>
      <c r="V317" s="30">
        <f>167300790</f>
        <v>167300790</v>
      </c>
      <c r="W317" s="30" t="str">
        <f>"－"</f>
        <v>－</v>
      </c>
      <c r="X317" s="34">
        <f>21</f>
        <v>21</v>
      </c>
    </row>
    <row r="318" spans="1:24">
      <c r="A318" s="25" t="s">
        <v>1260</v>
      </c>
      <c r="B318" s="25" t="s">
        <v>672</v>
      </c>
      <c r="C318" s="25" t="s">
        <v>673</v>
      </c>
      <c r="D318" s="25" t="s">
        <v>674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12995</f>
        <v>12995</v>
      </c>
      <c r="L318" s="32" t="s">
        <v>1240</v>
      </c>
      <c r="M318" s="31">
        <f>13490</f>
        <v>13490</v>
      </c>
      <c r="N318" s="32" t="s">
        <v>755</v>
      </c>
      <c r="O318" s="31">
        <f>12850</f>
        <v>12850</v>
      </c>
      <c r="P318" s="32" t="s">
        <v>1240</v>
      </c>
      <c r="Q318" s="31">
        <f>13490</f>
        <v>13490</v>
      </c>
      <c r="R318" s="32" t="s">
        <v>755</v>
      </c>
      <c r="S318" s="33">
        <f>13080.95</f>
        <v>13080.95</v>
      </c>
      <c r="T318" s="30">
        <f>94765</f>
        <v>94765</v>
      </c>
      <c r="U318" s="30">
        <f>32040</f>
        <v>32040</v>
      </c>
      <c r="V318" s="30">
        <f>1239874625</f>
        <v>1239874625</v>
      </c>
      <c r="W318" s="30">
        <f>417637500</f>
        <v>417637500</v>
      </c>
      <c r="X318" s="34">
        <f>21</f>
        <v>21</v>
      </c>
    </row>
    <row r="319" spans="1:24">
      <c r="A319" s="25" t="s">
        <v>1260</v>
      </c>
      <c r="B319" s="25" t="s">
        <v>675</v>
      </c>
      <c r="C319" s="25" t="s">
        <v>676</v>
      </c>
      <c r="D319" s="25" t="s">
        <v>677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21945</f>
        <v>21945</v>
      </c>
      <c r="L319" s="32" t="s">
        <v>1240</v>
      </c>
      <c r="M319" s="31">
        <f>23430</f>
        <v>23430</v>
      </c>
      <c r="N319" s="32" t="s">
        <v>755</v>
      </c>
      <c r="O319" s="31">
        <f>21755</f>
        <v>21755</v>
      </c>
      <c r="P319" s="32" t="s">
        <v>1240</v>
      </c>
      <c r="Q319" s="31">
        <f>23345</f>
        <v>23345</v>
      </c>
      <c r="R319" s="32" t="s">
        <v>755</v>
      </c>
      <c r="S319" s="33">
        <f>22580.95</f>
        <v>22580.95</v>
      </c>
      <c r="T319" s="30">
        <f>210844</f>
        <v>210844</v>
      </c>
      <c r="U319" s="30">
        <f>10089</f>
        <v>10089</v>
      </c>
      <c r="V319" s="30">
        <f>4755519135</f>
        <v>4755519135</v>
      </c>
      <c r="W319" s="30">
        <f>231120335</f>
        <v>231120335</v>
      </c>
      <c r="X319" s="34">
        <f>21</f>
        <v>21</v>
      </c>
    </row>
    <row r="320" spans="1:24">
      <c r="A320" s="25" t="s">
        <v>1260</v>
      </c>
      <c r="B320" s="25" t="s">
        <v>678</v>
      </c>
      <c r="C320" s="25" t="s">
        <v>679</v>
      </c>
      <c r="D320" s="25" t="s">
        <v>680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13550</f>
        <v>13550</v>
      </c>
      <c r="L320" s="32" t="s">
        <v>1240</v>
      </c>
      <c r="M320" s="31">
        <f>14350</f>
        <v>14350</v>
      </c>
      <c r="N320" s="32" t="s">
        <v>755</v>
      </c>
      <c r="O320" s="31">
        <f>13450</f>
        <v>13450</v>
      </c>
      <c r="P320" s="32" t="s">
        <v>1240</v>
      </c>
      <c r="Q320" s="31">
        <f>14320</f>
        <v>14320</v>
      </c>
      <c r="R320" s="32" t="s">
        <v>755</v>
      </c>
      <c r="S320" s="33">
        <f>13825.71</f>
        <v>13825.71</v>
      </c>
      <c r="T320" s="30">
        <f>118865</f>
        <v>118865</v>
      </c>
      <c r="U320" s="30">
        <f>21570</f>
        <v>21570</v>
      </c>
      <c r="V320" s="30">
        <f>1650283037</f>
        <v>1650283037</v>
      </c>
      <c r="W320" s="30">
        <f>300573462</f>
        <v>300573462</v>
      </c>
      <c r="X320" s="34">
        <f>21</f>
        <v>21</v>
      </c>
    </row>
    <row r="321" spans="1:24">
      <c r="A321" s="25" t="s">
        <v>1260</v>
      </c>
      <c r="B321" s="25" t="s">
        <v>681</v>
      </c>
      <c r="C321" s="25" t="s">
        <v>682</v>
      </c>
      <c r="D321" s="25" t="s">
        <v>683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10</v>
      </c>
      <c r="K321" s="31">
        <f>390.7</f>
        <v>390.7</v>
      </c>
      <c r="L321" s="32" t="s">
        <v>1240</v>
      </c>
      <c r="M321" s="31">
        <f>413.6</f>
        <v>413.6</v>
      </c>
      <c r="N321" s="32" t="s">
        <v>755</v>
      </c>
      <c r="O321" s="31">
        <f>388.1</f>
        <v>388.1</v>
      </c>
      <c r="P321" s="32" t="s">
        <v>1240</v>
      </c>
      <c r="Q321" s="31">
        <f>412.2</f>
        <v>412.2</v>
      </c>
      <c r="R321" s="32" t="s">
        <v>755</v>
      </c>
      <c r="S321" s="33">
        <f>401</f>
        <v>401</v>
      </c>
      <c r="T321" s="30">
        <f>4079000</f>
        <v>4079000</v>
      </c>
      <c r="U321" s="30">
        <f>25490</f>
        <v>25490</v>
      </c>
      <c r="V321" s="30">
        <f>1638984897</f>
        <v>1638984897</v>
      </c>
      <c r="W321" s="30">
        <f>10168166</f>
        <v>10168166</v>
      </c>
      <c r="X321" s="34">
        <f>21</f>
        <v>21</v>
      </c>
    </row>
    <row r="322" spans="1:24">
      <c r="A322" s="25" t="s">
        <v>1260</v>
      </c>
      <c r="B322" s="25" t="s">
        <v>684</v>
      </c>
      <c r="C322" s="25" t="s">
        <v>685</v>
      </c>
      <c r="D322" s="25" t="s">
        <v>686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10</v>
      </c>
      <c r="K322" s="31">
        <f>2538</f>
        <v>2538</v>
      </c>
      <c r="L322" s="32" t="s">
        <v>1240</v>
      </c>
      <c r="M322" s="31">
        <f>2667</f>
        <v>2667</v>
      </c>
      <c r="N322" s="32" t="s">
        <v>755</v>
      </c>
      <c r="O322" s="31">
        <f>2525.5</f>
        <v>2525.5</v>
      </c>
      <c r="P322" s="32" t="s">
        <v>1240</v>
      </c>
      <c r="Q322" s="31">
        <f>2667</f>
        <v>2667</v>
      </c>
      <c r="R322" s="32" t="s">
        <v>755</v>
      </c>
      <c r="S322" s="33">
        <f>2584.9</f>
        <v>2584.9</v>
      </c>
      <c r="T322" s="30">
        <f>1081300</f>
        <v>1081300</v>
      </c>
      <c r="U322" s="30">
        <f>740000</f>
        <v>740000</v>
      </c>
      <c r="V322" s="30">
        <f>2817983265</f>
        <v>2817983265</v>
      </c>
      <c r="W322" s="30">
        <f>1930056900</f>
        <v>1930056900</v>
      </c>
      <c r="X322" s="34">
        <f>21</f>
        <v>21</v>
      </c>
    </row>
    <row r="323" spans="1:24">
      <c r="A323" s="25" t="s">
        <v>1260</v>
      </c>
      <c r="B323" s="25" t="s">
        <v>687</v>
      </c>
      <c r="C323" s="25" t="s">
        <v>1216</v>
      </c>
      <c r="D323" s="25" t="s">
        <v>1215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3947</f>
        <v>3947</v>
      </c>
      <c r="L323" s="32" t="s">
        <v>1240</v>
      </c>
      <c r="M323" s="31">
        <f>4172</f>
        <v>4172</v>
      </c>
      <c r="N323" s="32" t="s">
        <v>755</v>
      </c>
      <c r="O323" s="31">
        <f>3907</f>
        <v>3907</v>
      </c>
      <c r="P323" s="32" t="s">
        <v>1240</v>
      </c>
      <c r="Q323" s="31">
        <f>4159</f>
        <v>4159</v>
      </c>
      <c r="R323" s="32" t="s">
        <v>755</v>
      </c>
      <c r="S323" s="33">
        <f>4040.57</f>
        <v>4040.57</v>
      </c>
      <c r="T323" s="30">
        <f>21570</f>
        <v>21570</v>
      </c>
      <c r="U323" s="30" t="str">
        <f>"－"</f>
        <v>－</v>
      </c>
      <c r="V323" s="30">
        <f>87039660</f>
        <v>87039660</v>
      </c>
      <c r="W323" s="30" t="str">
        <f>"－"</f>
        <v>－</v>
      </c>
      <c r="X323" s="34">
        <f>21</f>
        <v>21</v>
      </c>
    </row>
    <row r="324" spans="1:24">
      <c r="A324" s="25" t="s">
        <v>1260</v>
      </c>
      <c r="B324" s="25" t="s">
        <v>690</v>
      </c>
      <c r="C324" s="25" t="s">
        <v>691</v>
      </c>
      <c r="D324" s="25" t="s">
        <v>692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</v>
      </c>
      <c r="K324" s="31">
        <f>3393</f>
        <v>3393</v>
      </c>
      <c r="L324" s="32" t="s">
        <v>1240</v>
      </c>
      <c r="M324" s="31">
        <f>3498</f>
        <v>3498</v>
      </c>
      <c r="N324" s="32" t="s">
        <v>755</v>
      </c>
      <c r="O324" s="31">
        <f>3297</f>
        <v>3297</v>
      </c>
      <c r="P324" s="32" t="s">
        <v>756</v>
      </c>
      <c r="Q324" s="31">
        <f>3464</f>
        <v>3464</v>
      </c>
      <c r="R324" s="32" t="s">
        <v>755</v>
      </c>
      <c r="S324" s="33">
        <f>3358.95</f>
        <v>3358.95</v>
      </c>
      <c r="T324" s="30">
        <f>7809</f>
        <v>7809</v>
      </c>
      <c r="U324" s="30" t="str">
        <f>"－"</f>
        <v>－</v>
      </c>
      <c r="V324" s="30">
        <f>26080487</f>
        <v>26080487</v>
      </c>
      <c r="W324" s="30" t="str">
        <f>"－"</f>
        <v>－</v>
      </c>
      <c r="X324" s="34">
        <f>21</f>
        <v>21</v>
      </c>
    </row>
    <row r="325" spans="1:24">
      <c r="A325" s="25" t="s">
        <v>1260</v>
      </c>
      <c r="B325" s="25" t="s">
        <v>693</v>
      </c>
      <c r="C325" s="25" t="s">
        <v>1007</v>
      </c>
      <c r="D325" s="25" t="s">
        <v>1006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</v>
      </c>
      <c r="K325" s="31">
        <f>1423</f>
        <v>1423</v>
      </c>
      <c r="L325" s="32" t="s">
        <v>1240</v>
      </c>
      <c r="M325" s="31">
        <f>1495</f>
        <v>1495</v>
      </c>
      <c r="N325" s="32" t="s">
        <v>755</v>
      </c>
      <c r="O325" s="31">
        <f>1382</f>
        <v>1382</v>
      </c>
      <c r="P325" s="32" t="s">
        <v>1081</v>
      </c>
      <c r="Q325" s="31">
        <f>1495</f>
        <v>1495</v>
      </c>
      <c r="R325" s="32" t="s">
        <v>755</v>
      </c>
      <c r="S325" s="33">
        <f>1414.95</f>
        <v>1414.95</v>
      </c>
      <c r="T325" s="30">
        <f>94945</f>
        <v>94945</v>
      </c>
      <c r="U325" s="30">
        <f>10</f>
        <v>10</v>
      </c>
      <c r="V325" s="30">
        <f>135967681</f>
        <v>135967681</v>
      </c>
      <c r="W325" s="30">
        <f>13919</f>
        <v>13919</v>
      </c>
      <c r="X325" s="34">
        <f>21</f>
        <v>21</v>
      </c>
    </row>
    <row r="326" spans="1:24">
      <c r="A326" s="25" t="s">
        <v>1260</v>
      </c>
      <c r="B326" s="25" t="s">
        <v>694</v>
      </c>
      <c r="C326" s="25" t="s">
        <v>695</v>
      </c>
      <c r="D326" s="25" t="s">
        <v>696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2067</f>
        <v>2067</v>
      </c>
      <c r="L326" s="32" t="s">
        <v>1240</v>
      </c>
      <c r="M326" s="31">
        <f>2178</f>
        <v>2178</v>
      </c>
      <c r="N326" s="32" t="s">
        <v>755</v>
      </c>
      <c r="O326" s="31">
        <f>2045</f>
        <v>2045</v>
      </c>
      <c r="P326" s="32" t="s">
        <v>1085</v>
      </c>
      <c r="Q326" s="31">
        <f>2160</f>
        <v>2160</v>
      </c>
      <c r="R326" s="32" t="s">
        <v>755</v>
      </c>
      <c r="S326" s="33">
        <f>2090.1</f>
        <v>2090.1</v>
      </c>
      <c r="T326" s="30">
        <f>108183</f>
        <v>108183</v>
      </c>
      <c r="U326" s="30">
        <f>900</f>
        <v>900</v>
      </c>
      <c r="V326" s="30">
        <f>226623568</f>
        <v>226623568</v>
      </c>
      <c r="W326" s="30">
        <f>1904340</f>
        <v>1904340</v>
      </c>
      <c r="X326" s="34">
        <f>21</f>
        <v>21</v>
      </c>
    </row>
    <row r="327" spans="1:24">
      <c r="A327" s="25" t="s">
        <v>1260</v>
      </c>
      <c r="B327" s="25" t="s">
        <v>697</v>
      </c>
      <c r="C327" s="25" t="s">
        <v>698</v>
      </c>
      <c r="D327" s="25" t="s">
        <v>699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1604</f>
        <v>1604</v>
      </c>
      <c r="L327" s="32" t="s">
        <v>1240</v>
      </c>
      <c r="M327" s="31">
        <f>1651</f>
        <v>1651</v>
      </c>
      <c r="N327" s="32" t="s">
        <v>1220</v>
      </c>
      <c r="O327" s="31">
        <f>1559</f>
        <v>1559</v>
      </c>
      <c r="P327" s="32" t="s">
        <v>1075</v>
      </c>
      <c r="Q327" s="31">
        <f>1589</f>
        <v>1589</v>
      </c>
      <c r="R327" s="32" t="s">
        <v>755</v>
      </c>
      <c r="S327" s="33">
        <f>1604.57</f>
        <v>1604.57</v>
      </c>
      <c r="T327" s="30">
        <f>39052</f>
        <v>39052</v>
      </c>
      <c r="U327" s="30" t="str">
        <f>"－"</f>
        <v>－</v>
      </c>
      <c r="V327" s="30">
        <f>62160784</f>
        <v>62160784</v>
      </c>
      <c r="W327" s="30" t="str">
        <f>"－"</f>
        <v>－</v>
      </c>
      <c r="X327" s="34">
        <f>21</f>
        <v>21</v>
      </c>
    </row>
    <row r="328" spans="1:24">
      <c r="A328" s="25" t="s">
        <v>1260</v>
      </c>
      <c r="B328" s="25" t="s">
        <v>700</v>
      </c>
      <c r="C328" s="25" t="s">
        <v>701</v>
      </c>
      <c r="D328" s="25" t="s">
        <v>702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4285</f>
        <v>4285</v>
      </c>
      <c r="L328" s="32" t="s">
        <v>1240</v>
      </c>
      <c r="M328" s="31">
        <f>4729</f>
        <v>4729</v>
      </c>
      <c r="N328" s="32" t="s">
        <v>755</v>
      </c>
      <c r="O328" s="31">
        <f>4245</f>
        <v>4245</v>
      </c>
      <c r="P328" s="32" t="s">
        <v>1240</v>
      </c>
      <c r="Q328" s="31">
        <f>4692</f>
        <v>4692</v>
      </c>
      <c r="R328" s="32" t="s">
        <v>755</v>
      </c>
      <c r="S328" s="33">
        <f>4458.33</f>
        <v>4458.33</v>
      </c>
      <c r="T328" s="30">
        <f>399715</f>
        <v>399715</v>
      </c>
      <c r="U328" s="30">
        <f>80640</f>
        <v>80640</v>
      </c>
      <c r="V328" s="30">
        <f>1813643684</f>
        <v>1813643684</v>
      </c>
      <c r="W328" s="30">
        <f>374341580</f>
        <v>374341580</v>
      </c>
      <c r="X328" s="34">
        <f>21</f>
        <v>21</v>
      </c>
    </row>
    <row r="329" spans="1:24">
      <c r="A329" s="25" t="s">
        <v>1260</v>
      </c>
      <c r="B329" s="25" t="s">
        <v>703</v>
      </c>
      <c r="C329" s="25" t="s">
        <v>1005</v>
      </c>
      <c r="D329" s="25" t="s">
        <v>1004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3358</f>
        <v>3358</v>
      </c>
      <c r="L329" s="32" t="s">
        <v>1240</v>
      </c>
      <c r="M329" s="31">
        <f>3400</f>
        <v>3400</v>
      </c>
      <c r="N329" s="32" t="s">
        <v>1240</v>
      </c>
      <c r="O329" s="31">
        <f>3234</f>
        <v>3234</v>
      </c>
      <c r="P329" s="32" t="s">
        <v>756</v>
      </c>
      <c r="Q329" s="31">
        <f>3348</f>
        <v>3348</v>
      </c>
      <c r="R329" s="32" t="s">
        <v>755</v>
      </c>
      <c r="S329" s="33">
        <f>3328.95</f>
        <v>3328.95</v>
      </c>
      <c r="T329" s="30">
        <f>460943</f>
        <v>460943</v>
      </c>
      <c r="U329" s="30">
        <f>312902</f>
        <v>312902</v>
      </c>
      <c r="V329" s="30">
        <f>1535806761</f>
        <v>1535806761</v>
      </c>
      <c r="W329" s="30">
        <f>1041118554</f>
        <v>1041118554</v>
      </c>
      <c r="X329" s="34">
        <f>21</f>
        <v>21</v>
      </c>
    </row>
    <row r="330" spans="1:24">
      <c r="A330" s="25" t="s">
        <v>1260</v>
      </c>
      <c r="B330" s="25" t="s">
        <v>704</v>
      </c>
      <c r="C330" s="25" t="s">
        <v>705</v>
      </c>
      <c r="D330" s="25" t="s">
        <v>706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37160</f>
        <v>37160</v>
      </c>
      <c r="L330" s="32" t="s">
        <v>1240</v>
      </c>
      <c r="M330" s="31">
        <f>38330</f>
        <v>38330</v>
      </c>
      <c r="N330" s="32" t="s">
        <v>755</v>
      </c>
      <c r="O330" s="31">
        <f>36880</f>
        <v>36880</v>
      </c>
      <c r="P330" s="32" t="s">
        <v>1211</v>
      </c>
      <c r="Q330" s="31">
        <f>38330</f>
        <v>38330</v>
      </c>
      <c r="R330" s="32" t="s">
        <v>755</v>
      </c>
      <c r="S330" s="33">
        <f>37345.63</f>
        <v>37345.629999999997</v>
      </c>
      <c r="T330" s="30">
        <f>48</f>
        <v>48</v>
      </c>
      <c r="U330" s="30" t="str">
        <f>"－"</f>
        <v>－</v>
      </c>
      <c r="V330" s="30">
        <f>1794630</f>
        <v>1794630</v>
      </c>
      <c r="W330" s="30" t="str">
        <f>"－"</f>
        <v>－</v>
      </c>
      <c r="X330" s="34">
        <f>16</f>
        <v>16</v>
      </c>
    </row>
    <row r="331" spans="1:24">
      <c r="A331" s="25" t="s">
        <v>1260</v>
      </c>
      <c r="B331" s="25" t="s">
        <v>707</v>
      </c>
      <c r="C331" s="25" t="s">
        <v>1214</v>
      </c>
      <c r="D331" s="25" t="s">
        <v>1213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2848</f>
        <v>2848</v>
      </c>
      <c r="L331" s="32" t="s">
        <v>1085</v>
      </c>
      <c r="M331" s="31">
        <f>2990</f>
        <v>2990</v>
      </c>
      <c r="N331" s="32" t="s">
        <v>755</v>
      </c>
      <c r="O331" s="31">
        <f>2845</f>
        <v>2845</v>
      </c>
      <c r="P331" s="32" t="s">
        <v>756</v>
      </c>
      <c r="Q331" s="31">
        <f>2983</f>
        <v>2983</v>
      </c>
      <c r="R331" s="32" t="s">
        <v>755</v>
      </c>
      <c r="S331" s="33">
        <f>2891.5</f>
        <v>2891.5</v>
      </c>
      <c r="T331" s="30">
        <f>1050</f>
        <v>1050</v>
      </c>
      <c r="U331" s="30">
        <f>1</f>
        <v>1</v>
      </c>
      <c r="V331" s="30">
        <f>3028803</f>
        <v>3028803</v>
      </c>
      <c r="W331" s="30">
        <f>2863</f>
        <v>2863</v>
      </c>
      <c r="X331" s="34">
        <f>10</f>
        <v>10</v>
      </c>
    </row>
    <row r="332" spans="1:24">
      <c r="A332" s="25" t="s">
        <v>1260</v>
      </c>
      <c r="B332" s="25" t="s">
        <v>710</v>
      </c>
      <c r="C332" s="25" t="s">
        <v>711</v>
      </c>
      <c r="D332" s="25" t="s">
        <v>712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1623</f>
        <v>1623</v>
      </c>
      <c r="L332" s="32" t="s">
        <v>1240</v>
      </c>
      <c r="M332" s="31">
        <f>2016</f>
        <v>2016</v>
      </c>
      <c r="N332" s="32" t="s">
        <v>755</v>
      </c>
      <c r="O332" s="31">
        <f>1597</f>
        <v>1597</v>
      </c>
      <c r="P332" s="32" t="s">
        <v>1240</v>
      </c>
      <c r="Q332" s="31">
        <f>1962</f>
        <v>1962</v>
      </c>
      <c r="R332" s="32" t="s">
        <v>755</v>
      </c>
      <c r="S332" s="33">
        <f>1765.81</f>
        <v>1765.81</v>
      </c>
      <c r="T332" s="30">
        <f>17965889</f>
        <v>17965889</v>
      </c>
      <c r="U332" s="30">
        <f>1363013</f>
        <v>1363013</v>
      </c>
      <c r="V332" s="30">
        <f>32441047012</f>
        <v>32441047012</v>
      </c>
      <c r="W332" s="30">
        <f>2497665821</f>
        <v>2497665821</v>
      </c>
      <c r="X332" s="34">
        <f>21</f>
        <v>21</v>
      </c>
    </row>
    <row r="333" spans="1:24">
      <c r="A333" s="25" t="s">
        <v>1260</v>
      </c>
      <c r="B333" s="25" t="s">
        <v>713</v>
      </c>
      <c r="C333" s="25" t="s">
        <v>714</v>
      </c>
      <c r="D333" s="25" t="s">
        <v>715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2580</f>
        <v>2580</v>
      </c>
      <c r="L333" s="32" t="s">
        <v>1240</v>
      </c>
      <c r="M333" s="31">
        <f>2709</f>
        <v>2709</v>
      </c>
      <c r="N333" s="32" t="s">
        <v>755</v>
      </c>
      <c r="O333" s="31">
        <f>2535</f>
        <v>2535</v>
      </c>
      <c r="P333" s="32" t="s">
        <v>738</v>
      </c>
      <c r="Q333" s="31">
        <f>2686</f>
        <v>2686</v>
      </c>
      <c r="R333" s="32" t="s">
        <v>755</v>
      </c>
      <c r="S333" s="33">
        <f>2620.43</f>
        <v>2620.4299999999998</v>
      </c>
      <c r="T333" s="30">
        <f>15235</f>
        <v>15235</v>
      </c>
      <c r="U333" s="30" t="str">
        <f>"－"</f>
        <v>－</v>
      </c>
      <c r="V333" s="30">
        <f>39834174</f>
        <v>39834174</v>
      </c>
      <c r="W333" s="30" t="str">
        <f>"－"</f>
        <v>－</v>
      </c>
      <c r="X333" s="34">
        <f>21</f>
        <v>21</v>
      </c>
    </row>
    <row r="334" spans="1:24">
      <c r="A334" s="25" t="s">
        <v>1260</v>
      </c>
      <c r="B334" s="25" t="s">
        <v>716</v>
      </c>
      <c r="C334" s="25" t="s">
        <v>717</v>
      </c>
      <c r="D334" s="25" t="s">
        <v>718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1657</f>
        <v>1657</v>
      </c>
      <c r="L334" s="32" t="s">
        <v>1240</v>
      </c>
      <c r="M334" s="31">
        <f>1707</f>
        <v>1707</v>
      </c>
      <c r="N334" s="32" t="s">
        <v>755</v>
      </c>
      <c r="O334" s="31">
        <f>1618</f>
        <v>1618</v>
      </c>
      <c r="P334" s="32" t="s">
        <v>756</v>
      </c>
      <c r="Q334" s="31">
        <f>1667</f>
        <v>1667</v>
      </c>
      <c r="R334" s="32" t="s">
        <v>755</v>
      </c>
      <c r="S334" s="33">
        <f>1643.52</f>
        <v>1643.52</v>
      </c>
      <c r="T334" s="30">
        <f>42113</f>
        <v>42113</v>
      </c>
      <c r="U334" s="30" t="str">
        <f>"－"</f>
        <v>－</v>
      </c>
      <c r="V334" s="30">
        <f>70396436</f>
        <v>70396436</v>
      </c>
      <c r="W334" s="30" t="str">
        <f>"－"</f>
        <v>－</v>
      </c>
      <c r="X334" s="34">
        <f>21</f>
        <v>21</v>
      </c>
    </row>
    <row r="335" spans="1:24">
      <c r="A335" s="25" t="s">
        <v>1260</v>
      </c>
      <c r="B335" s="25" t="s">
        <v>719</v>
      </c>
      <c r="C335" s="25" t="s">
        <v>720</v>
      </c>
      <c r="D335" s="25" t="s">
        <v>721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10</v>
      </c>
      <c r="K335" s="31">
        <f>5342</f>
        <v>5342</v>
      </c>
      <c r="L335" s="32" t="s">
        <v>1204</v>
      </c>
      <c r="M335" s="31">
        <f>5505</f>
        <v>5505</v>
      </c>
      <c r="N335" s="32" t="s">
        <v>663</v>
      </c>
      <c r="O335" s="31">
        <f>5328</f>
        <v>5328</v>
      </c>
      <c r="P335" s="32" t="s">
        <v>1209</v>
      </c>
      <c r="Q335" s="31">
        <f>5445</f>
        <v>5445</v>
      </c>
      <c r="R335" s="32" t="s">
        <v>1075</v>
      </c>
      <c r="S335" s="33">
        <f>5381.2</f>
        <v>5381.2</v>
      </c>
      <c r="T335" s="30">
        <f>231130</f>
        <v>231130</v>
      </c>
      <c r="U335" s="30">
        <f>230020</f>
        <v>230020</v>
      </c>
      <c r="V335" s="30">
        <f>1236310400</f>
        <v>1236310400</v>
      </c>
      <c r="W335" s="30">
        <f>1230320500</f>
        <v>1230320500</v>
      </c>
      <c r="X335" s="34">
        <f>15</f>
        <v>15</v>
      </c>
    </row>
    <row r="336" spans="1:24">
      <c r="A336" s="25" t="s">
        <v>1260</v>
      </c>
      <c r="B336" s="25" t="s">
        <v>722</v>
      </c>
      <c r="C336" s="25" t="s">
        <v>723</v>
      </c>
      <c r="D336" s="25" t="s">
        <v>724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10</v>
      </c>
      <c r="K336" s="31">
        <f>3559</f>
        <v>3559</v>
      </c>
      <c r="L336" s="32" t="s">
        <v>1240</v>
      </c>
      <c r="M336" s="31">
        <f>3568</f>
        <v>3568</v>
      </c>
      <c r="N336" s="32" t="s">
        <v>1075</v>
      </c>
      <c r="O336" s="31">
        <f>3497</f>
        <v>3497</v>
      </c>
      <c r="P336" s="32" t="s">
        <v>852</v>
      </c>
      <c r="Q336" s="31">
        <f>3556</f>
        <v>3556</v>
      </c>
      <c r="R336" s="32" t="s">
        <v>755</v>
      </c>
      <c r="S336" s="33">
        <f>3537.33</f>
        <v>3537.33</v>
      </c>
      <c r="T336" s="30">
        <f>33970</f>
        <v>33970</v>
      </c>
      <c r="U336" s="30">
        <f>17030</f>
        <v>17030</v>
      </c>
      <c r="V336" s="30">
        <f>119958266</f>
        <v>119958266</v>
      </c>
      <c r="W336" s="30">
        <f>60011276</f>
        <v>60011276</v>
      </c>
      <c r="X336" s="34">
        <f>18</f>
        <v>18</v>
      </c>
    </row>
    <row r="337" spans="1:24">
      <c r="A337" s="25" t="s">
        <v>1260</v>
      </c>
      <c r="B337" s="25" t="s">
        <v>725</v>
      </c>
      <c r="C337" s="25" t="s">
        <v>726</v>
      </c>
      <c r="D337" s="25" t="s">
        <v>727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598.4</f>
        <v>598.4</v>
      </c>
      <c r="L337" s="32" t="s">
        <v>1204</v>
      </c>
      <c r="M337" s="31">
        <f>610</f>
        <v>610</v>
      </c>
      <c r="N337" s="32" t="s">
        <v>1075</v>
      </c>
      <c r="O337" s="31">
        <f>594.5</f>
        <v>594.5</v>
      </c>
      <c r="P337" s="32" t="s">
        <v>1205</v>
      </c>
      <c r="Q337" s="31">
        <f>607.5</f>
        <v>607.5</v>
      </c>
      <c r="R337" s="32" t="s">
        <v>755</v>
      </c>
      <c r="S337" s="33">
        <f>602.48</f>
        <v>602.48</v>
      </c>
      <c r="T337" s="30">
        <f>2140</f>
        <v>2140</v>
      </c>
      <c r="U337" s="30">
        <f>20</f>
        <v>20</v>
      </c>
      <c r="V337" s="30">
        <f>1290221</f>
        <v>1290221</v>
      </c>
      <c r="W337" s="30">
        <f>12049</f>
        <v>12049</v>
      </c>
      <c r="X337" s="34">
        <f>16</f>
        <v>16</v>
      </c>
    </row>
    <row r="338" spans="1:24">
      <c r="A338" s="25" t="s">
        <v>1260</v>
      </c>
      <c r="B338" s="25" t="s">
        <v>1166</v>
      </c>
      <c r="C338" s="25" t="s">
        <v>1165</v>
      </c>
      <c r="D338" s="25" t="s">
        <v>1164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</v>
      </c>
      <c r="K338" s="31">
        <f>8710</f>
        <v>8710</v>
      </c>
      <c r="L338" s="32" t="s">
        <v>1240</v>
      </c>
      <c r="M338" s="31">
        <f>9073</f>
        <v>9073</v>
      </c>
      <c r="N338" s="32" t="s">
        <v>1212</v>
      </c>
      <c r="O338" s="31">
        <f>8407</f>
        <v>8407</v>
      </c>
      <c r="P338" s="32" t="s">
        <v>1205</v>
      </c>
      <c r="Q338" s="31">
        <f>8934</f>
        <v>8934</v>
      </c>
      <c r="R338" s="32" t="s">
        <v>755</v>
      </c>
      <c r="S338" s="33">
        <f>8670.57</f>
        <v>8670.57</v>
      </c>
      <c r="T338" s="30">
        <f>15400</f>
        <v>15400</v>
      </c>
      <c r="U338" s="30" t="str">
        <f>"－"</f>
        <v>－</v>
      </c>
      <c r="V338" s="30">
        <f>132253619</f>
        <v>132253619</v>
      </c>
      <c r="W338" s="30" t="str">
        <f>"－"</f>
        <v>－</v>
      </c>
      <c r="X338" s="34">
        <f>21</f>
        <v>21</v>
      </c>
    </row>
    <row r="339" spans="1:24">
      <c r="A339" s="25" t="s">
        <v>1260</v>
      </c>
      <c r="B339" s="25" t="s">
        <v>1167</v>
      </c>
      <c r="C339" s="25" t="s">
        <v>1168</v>
      </c>
      <c r="D339" s="25" t="s">
        <v>1169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</v>
      </c>
      <c r="K339" s="31">
        <f>878</f>
        <v>878</v>
      </c>
      <c r="L339" s="32" t="s">
        <v>1240</v>
      </c>
      <c r="M339" s="31">
        <f>1080</f>
        <v>1080</v>
      </c>
      <c r="N339" s="32" t="s">
        <v>755</v>
      </c>
      <c r="O339" s="31">
        <f>859</f>
        <v>859</v>
      </c>
      <c r="P339" s="32" t="s">
        <v>1204</v>
      </c>
      <c r="Q339" s="31">
        <f>1056</f>
        <v>1056</v>
      </c>
      <c r="R339" s="32" t="s">
        <v>755</v>
      </c>
      <c r="S339" s="33">
        <f>955</f>
        <v>955</v>
      </c>
      <c r="T339" s="30">
        <f>822315</f>
        <v>822315</v>
      </c>
      <c r="U339" s="30" t="str">
        <f>"－"</f>
        <v>－</v>
      </c>
      <c r="V339" s="30">
        <f>796021730</f>
        <v>796021730</v>
      </c>
      <c r="W339" s="30" t="str">
        <f>"－"</f>
        <v>－</v>
      </c>
      <c r="X339" s="34">
        <f>21</f>
        <v>21</v>
      </c>
    </row>
    <row r="340" spans="1:24">
      <c r="A340" s="25" t="s">
        <v>1260</v>
      </c>
      <c r="B340" s="25" t="s">
        <v>728</v>
      </c>
      <c r="C340" s="25" t="s">
        <v>729</v>
      </c>
      <c r="D340" s="25" t="s">
        <v>730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3092</f>
        <v>3092</v>
      </c>
      <c r="L340" s="32" t="s">
        <v>1240</v>
      </c>
      <c r="M340" s="31">
        <f>3164</f>
        <v>3164</v>
      </c>
      <c r="N340" s="32" t="s">
        <v>1085</v>
      </c>
      <c r="O340" s="31">
        <f>3018</f>
        <v>3018</v>
      </c>
      <c r="P340" s="32" t="s">
        <v>1211</v>
      </c>
      <c r="Q340" s="31">
        <f>3095</f>
        <v>3095</v>
      </c>
      <c r="R340" s="32" t="s">
        <v>755</v>
      </c>
      <c r="S340" s="33">
        <f>3110.81</f>
        <v>3110.81</v>
      </c>
      <c r="T340" s="30">
        <f>33988</f>
        <v>33988</v>
      </c>
      <c r="U340" s="30" t="str">
        <f>"－"</f>
        <v>－</v>
      </c>
      <c r="V340" s="30">
        <f>105550576</f>
        <v>105550576</v>
      </c>
      <c r="W340" s="30" t="str">
        <f>"－"</f>
        <v>－</v>
      </c>
      <c r="X340" s="34">
        <f>21</f>
        <v>21</v>
      </c>
    </row>
    <row r="341" spans="1:24">
      <c r="A341" s="25" t="s">
        <v>1260</v>
      </c>
      <c r="B341" s="25" t="s">
        <v>731</v>
      </c>
      <c r="C341" s="25" t="s">
        <v>1003</v>
      </c>
      <c r="D341" s="25" t="s">
        <v>1002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2518</f>
        <v>2518</v>
      </c>
      <c r="L341" s="32" t="s">
        <v>1240</v>
      </c>
      <c r="M341" s="31">
        <f>2644</f>
        <v>2644</v>
      </c>
      <c r="N341" s="32" t="s">
        <v>755</v>
      </c>
      <c r="O341" s="31">
        <f>2494</f>
        <v>2494</v>
      </c>
      <c r="P341" s="32" t="s">
        <v>1209</v>
      </c>
      <c r="Q341" s="31">
        <f>2644</f>
        <v>2644</v>
      </c>
      <c r="R341" s="32" t="s">
        <v>755</v>
      </c>
      <c r="S341" s="33">
        <f>2563.71</f>
        <v>2563.71</v>
      </c>
      <c r="T341" s="30">
        <f>261949</f>
        <v>261949</v>
      </c>
      <c r="U341" s="30">
        <f>3</f>
        <v>3</v>
      </c>
      <c r="V341" s="30">
        <f>672611375</f>
        <v>672611375</v>
      </c>
      <c r="W341" s="30">
        <f>7716</f>
        <v>7716</v>
      </c>
      <c r="X341" s="34">
        <f>21</f>
        <v>21</v>
      </c>
    </row>
    <row r="342" spans="1:24">
      <c r="A342" s="25" t="s">
        <v>1260</v>
      </c>
      <c r="B342" s="25" t="s">
        <v>732</v>
      </c>
      <c r="C342" s="25" t="s">
        <v>733</v>
      </c>
      <c r="D342" s="25" t="s">
        <v>734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7980</f>
        <v>7980</v>
      </c>
      <c r="L342" s="32" t="s">
        <v>1240</v>
      </c>
      <c r="M342" s="31">
        <f>8203</f>
        <v>8203</v>
      </c>
      <c r="N342" s="32" t="s">
        <v>756</v>
      </c>
      <c r="O342" s="31">
        <f>7908</f>
        <v>7908</v>
      </c>
      <c r="P342" s="32" t="s">
        <v>1204</v>
      </c>
      <c r="Q342" s="31">
        <f>8087</f>
        <v>8087</v>
      </c>
      <c r="R342" s="32" t="s">
        <v>755</v>
      </c>
      <c r="S342" s="33">
        <f>8048.89</f>
        <v>8048.89</v>
      </c>
      <c r="T342" s="30">
        <f>417759</f>
        <v>417759</v>
      </c>
      <c r="U342" s="30">
        <f>417000</f>
        <v>417000</v>
      </c>
      <c r="V342" s="30">
        <f>3386577646</f>
        <v>3386577646</v>
      </c>
      <c r="W342" s="30">
        <f>3380506850</f>
        <v>3380506850</v>
      </c>
      <c r="X342" s="34">
        <f>19</f>
        <v>19</v>
      </c>
    </row>
    <row r="343" spans="1:24">
      <c r="A343" s="25" t="s">
        <v>1260</v>
      </c>
      <c r="B343" s="25" t="s">
        <v>735</v>
      </c>
      <c r="C343" s="25" t="s">
        <v>736</v>
      </c>
      <c r="D343" s="25" t="s">
        <v>737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5274</f>
        <v>5274</v>
      </c>
      <c r="L343" s="32" t="s">
        <v>1240</v>
      </c>
      <c r="M343" s="31">
        <f>5330</f>
        <v>5330</v>
      </c>
      <c r="N343" s="32" t="s">
        <v>1075</v>
      </c>
      <c r="O343" s="31">
        <f>5230</f>
        <v>5230</v>
      </c>
      <c r="P343" s="32" t="s">
        <v>852</v>
      </c>
      <c r="Q343" s="31">
        <f>5310</f>
        <v>5310</v>
      </c>
      <c r="R343" s="32" t="s">
        <v>755</v>
      </c>
      <c r="S343" s="33">
        <f>5273.72</f>
        <v>5273.72</v>
      </c>
      <c r="T343" s="30">
        <f>908</f>
        <v>908</v>
      </c>
      <c r="U343" s="30" t="str">
        <f>"－"</f>
        <v>－</v>
      </c>
      <c r="V343" s="30">
        <f>4791124</f>
        <v>4791124</v>
      </c>
      <c r="W343" s="30" t="str">
        <f>"－"</f>
        <v>－</v>
      </c>
      <c r="X343" s="34">
        <f>18</f>
        <v>18</v>
      </c>
    </row>
    <row r="344" spans="1:24">
      <c r="A344" s="25" t="s">
        <v>1260</v>
      </c>
      <c r="B344" s="25" t="s">
        <v>1170</v>
      </c>
      <c r="C344" s="25" t="s">
        <v>1171</v>
      </c>
      <c r="D344" s="25" t="s">
        <v>1172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945</f>
        <v>945</v>
      </c>
      <c r="L344" s="32" t="s">
        <v>1240</v>
      </c>
      <c r="M344" s="31">
        <f>1018</f>
        <v>1018</v>
      </c>
      <c r="N344" s="32" t="s">
        <v>755</v>
      </c>
      <c r="O344" s="31">
        <f>931</f>
        <v>931</v>
      </c>
      <c r="P344" s="32" t="s">
        <v>1240</v>
      </c>
      <c r="Q344" s="31">
        <f>1011</f>
        <v>1011</v>
      </c>
      <c r="R344" s="32" t="s">
        <v>755</v>
      </c>
      <c r="S344" s="33">
        <f>983.81</f>
        <v>983.81</v>
      </c>
      <c r="T344" s="30">
        <f>501165</f>
        <v>501165</v>
      </c>
      <c r="U344" s="30" t="str">
        <f>"－"</f>
        <v>－</v>
      </c>
      <c r="V344" s="30">
        <f>490460429</f>
        <v>490460429</v>
      </c>
      <c r="W344" s="30" t="str">
        <f>"－"</f>
        <v>－</v>
      </c>
      <c r="X344" s="34">
        <f>21</f>
        <v>21</v>
      </c>
    </row>
    <row r="345" spans="1:24">
      <c r="A345" s="25" t="s">
        <v>1260</v>
      </c>
      <c r="B345" s="25" t="s">
        <v>740</v>
      </c>
      <c r="C345" s="25" t="s">
        <v>741</v>
      </c>
      <c r="D345" s="25" t="s">
        <v>742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1765</f>
        <v>1765</v>
      </c>
      <c r="L345" s="32" t="s">
        <v>1240</v>
      </c>
      <c r="M345" s="31">
        <f>1891</f>
        <v>1891</v>
      </c>
      <c r="N345" s="32" t="s">
        <v>755</v>
      </c>
      <c r="O345" s="31">
        <f>1750</f>
        <v>1750</v>
      </c>
      <c r="P345" s="32" t="s">
        <v>1240</v>
      </c>
      <c r="Q345" s="31">
        <f>1885</f>
        <v>1885</v>
      </c>
      <c r="R345" s="32" t="s">
        <v>755</v>
      </c>
      <c r="S345" s="33">
        <f>1820.67</f>
        <v>1820.67</v>
      </c>
      <c r="T345" s="30">
        <f>3082364</f>
        <v>3082364</v>
      </c>
      <c r="U345" s="30">
        <f>170942</f>
        <v>170942</v>
      </c>
      <c r="V345" s="30">
        <f>5586852077</f>
        <v>5586852077</v>
      </c>
      <c r="W345" s="30">
        <f>306538884</f>
        <v>306538884</v>
      </c>
      <c r="X345" s="34">
        <f>21</f>
        <v>21</v>
      </c>
    </row>
    <row r="346" spans="1:24">
      <c r="A346" s="25" t="s">
        <v>1260</v>
      </c>
      <c r="B346" s="25" t="s">
        <v>743</v>
      </c>
      <c r="C346" s="25" t="s">
        <v>744</v>
      </c>
      <c r="D346" s="25" t="s">
        <v>745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1269</f>
        <v>1269</v>
      </c>
      <c r="L346" s="32" t="s">
        <v>1240</v>
      </c>
      <c r="M346" s="31">
        <f>1351</f>
        <v>1351</v>
      </c>
      <c r="N346" s="32" t="s">
        <v>755</v>
      </c>
      <c r="O346" s="31">
        <f>1251</f>
        <v>1251</v>
      </c>
      <c r="P346" s="32" t="s">
        <v>1240</v>
      </c>
      <c r="Q346" s="31">
        <f>1350</f>
        <v>1350</v>
      </c>
      <c r="R346" s="32" t="s">
        <v>755</v>
      </c>
      <c r="S346" s="33">
        <f>1300.24</f>
        <v>1300.24</v>
      </c>
      <c r="T346" s="30">
        <f>2887909</f>
        <v>2887909</v>
      </c>
      <c r="U346" s="30">
        <f>947882</f>
        <v>947882</v>
      </c>
      <c r="V346" s="30">
        <f>3743576971</f>
        <v>3743576971</v>
      </c>
      <c r="W346" s="30">
        <f>1217433078</f>
        <v>1217433078</v>
      </c>
      <c r="X346" s="34">
        <f>21</f>
        <v>21</v>
      </c>
    </row>
    <row r="347" spans="1:24">
      <c r="A347" s="25" t="s">
        <v>1260</v>
      </c>
      <c r="B347" s="25" t="s">
        <v>746</v>
      </c>
      <c r="C347" s="25" t="s">
        <v>747</v>
      </c>
      <c r="D347" s="25" t="s">
        <v>748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16755</f>
        <v>16755</v>
      </c>
      <c r="L347" s="32" t="s">
        <v>1240</v>
      </c>
      <c r="M347" s="31">
        <f>16840</f>
        <v>16840</v>
      </c>
      <c r="N347" s="32" t="s">
        <v>1240</v>
      </c>
      <c r="O347" s="31">
        <f>15740</f>
        <v>15740</v>
      </c>
      <c r="P347" s="32" t="s">
        <v>755</v>
      </c>
      <c r="Q347" s="31">
        <f>15750</f>
        <v>15750</v>
      </c>
      <c r="R347" s="32" t="s">
        <v>755</v>
      </c>
      <c r="S347" s="33">
        <f>16333.81</f>
        <v>16333.81</v>
      </c>
      <c r="T347" s="30">
        <f>136115</f>
        <v>136115</v>
      </c>
      <c r="U347" s="30">
        <f>7</f>
        <v>7</v>
      </c>
      <c r="V347" s="30">
        <f>2233632920</f>
        <v>2233632920</v>
      </c>
      <c r="W347" s="30">
        <f>114630</f>
        <v>114630</v>
      </c>
      <c r="X347" s="34">
        <f>21</f>
        <v>21</v>
      </c>
    </row>
    <row r="348" spans="1:24">
      <c r="A348" s="25" t="s">
        <v>1260</v>
      </c>
      <c r="B348" s="25" t="s">
        <v>749</v>
      </c>
      <c r="C348" s="25" t="s">
        <v>750</v>
      </c>
      <c r="D348" s="25" t="s">
        <v>751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</v>
      </c>
      <c r="K348" s="31">
        <f>4019</f>
        <v>4019</v>
      </c>
      <c r="L348" s="32" t="s">
        <v>1240</v>
      </c>
      <c r="M348" s="31">
        <f>4080</f>
        <v>4080</v>
      </c>
      <c r="N348" s="32" t="s">
        <v>1075</v>
      </c>
      <c r="O348" s="31">
        <f>4002</f>
        <v>4002</v>
      </c>
      <c r="P348" s="32" t="s">
        <v>1204</v>
      </c>
      <c r="Q348" s="31">
        <f>4051</f>
        <v>4051</v>
      </c>
      <c r="R348" s="32" t="s">
        <v>755</v>
      </c>
      <c r="S348" s="33">
        <f>4031.44</f>
        <v>4031.44</v>
      </c>
      <c r="T348" s="30">
        <f>566801</f>
        <v>566801</v>
      </c>
      <c r="U348" s="30">
        <f>546360</f>
        <v>546360</v>
      </c>
      <c r="V348" s="30">
        <f>2290323654</f>
        <v>2290323654</v>
      </c>
      <c r="W348" s="30">
        <f>2208162440</f>
        <v>2208162440</v>
      </c>
      <c r="X348" s="34">
        <f>16</f>
        <v>16</v>
      </c>
    </row>
    <row r="349" spans="1:24">
      <c r="A349" s="25" t="s">
        <v>1260</v>
      </c>
      <c r="B349" s="25" t="s">
        <v>752</v>
      </c>
      <c r="C349" s="25" t="s">
        <v>753</v>
      </c>
      <c r="D349" s="25" t="s">
        <v>754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</v>
      </c>
      <c r="K349" s="31">
        <f>4878</f>
        <v>4878</v>
      </c>
      <c r="L349" s="32" t="s">
        <v>1240</v>
      </c>
      <c r="M349" s="31">
        <f>5047</f>
        <v>5047</v>
      </c>
      <c r="N349" s="32" t="s">
        <v>1075</v>
      </c>
      <c r="O349" s="31">
        <f>4844</f>
        <v>4844</v>
      </c>
      <c r="P349" s="32" t="s">
        <v>1204</v>
      </c>
      <c r="Q349" s="31">
        <f>4999</f>
        <v>4999</v>
      </c>
      <c r="R349" s="32" t="s">
        <v>755</v>
      </c>
      <c r="S349" s="33">
        <f>4953.24</f>
        <v>4953.24</v>
      </c>
      <c r="T349" s="30">
        <f>38207</f>
        <v>38207</v>
      </c>
      <c r="U349" s="30" t="str">
        <f>"－"</f>
        <v>－</v>
      </c>
      <c r="V349" s="30">
        <f>188845813</f>
        <v>188845813</v>
      </c>
      <c r="W349" s="30" t="str">
        <f>"－"</f>
        <v>－</v>
      </c>
      <c r="X349" s="34">
        <f>21</f>
        <v>21</v>
      </c>
    </row>
    <row r="350" spans="1:24">
      <c r="A350" s="25" t="s">
        <v>1260</v>
      </c>
      <c r="B350" s="25" t="s">
        <v>764</v>
      </c>
      <c r="C350" s="25" t="s">
        <v>765</v>
      </c>
      <c r="D350" s="25" t="s">
        <v>766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2670</f>
        <v>2670</v>
      </c>
      <c r="L350" s="32" t="s">
        <v>1240</v>
      </c>
      <c r="M350" s="31">
        <f>2829</f>
        <v>2829</v>
      </c>
      <c r="N350" s="32" t="s">
        <v>755</v>
      </c>
      <c r="O350" s="31">
        <f>2645</f>
        <v>2645</v>
      </c>
      <c r="P350" s="32" t="s">
        <v>1240</v>
      </c>
      <c r="Q350" s="31">
        <f>2828</f>
        <v>2828</v>
      </c>
      <c r="R350" s="32" t="s">
        <v>755</v>
      </c>
      <c r="S350" s="33">
        <f>2726.67</f>
        <v>2726.67</v>
      </c>
      <c r="T350" s="30">
        <f>2331140</f>
        <v>2331140</v>
      </c>
      <c r="U350" s="30">
        <f>1050090</f>
        <v>1050090</v>
      </c>
      <c r="V350" s="30">
        <f>6453638060</f>
        <v>6453638060</v>
      </c>
      <c r="W350" s="30">
        <f>2969010805</f>
        <v>2969010805</v>
      </c>
      <c r="X350" s="34">
        <f>21</f>
        <v>21</v>
      </c>
    </row>
    <row r="351" spans="1:24">
      <c r="A351" s="25" t="s">
        <v>1260</v>
      </c>
      <c r="B351" s="25" t="s">
        <v>767</v>
      </c>
      <c r="C351" s="25" t="s">
        <v>768</v>
      </c>
      <c r="D351" s="25" t="s">
        <v>769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2118</f>
        <v>2118</v>
      </c>
      <c r="L351" s="32" t="s">
        <v>1240</v>
      </c>
      <c r="M351" s="31">
        <f>2216</f>
        <v>2216</v>
      </c>
      <c r="N351" s="32" t="s">
        <v>755</v>
      </c>
      <c r="O351" s="31">
        <f>2112.5</f>
        <v>2112.5</v>
      </c>
      <c r="P351" s="32" t="s">
        <v>756</v>
      </c>
      <c r="Q351" s="31">
        <f>2214.5</f>
        <v>2214.5</v>
      </c>
      <c r="R351" s="32" t="s">
        <v>755</v>
      </c>
      <c r="S351" s="33">
        <f>2142.95</f>
        <v>2142.9499999999998</v>
      </c>
      <c r="T351" s="30">
        <f>2138240</f>
        <v>2138240</v>
      </c>
      <c r="U351" s="30">
        <f>1269000</f>
        <v>1269000</v>
      </c>
      <c r="V351" s="30">
        <f>4612374799</f>
        <v>4612374799</v>
      </c>
      <c r="W351" s="30">
        <f>2736944739</f>
        <v>2736944739</v>
      </c>
      <c r="X351" s="34">
        <f>21</f>
        <v>21</v>
      </c>
    </row>
    <row r="352" spans="1:24">
      <c r="A352" s="25" t="s">
        <v>1260</v>
      </c>
      <c r="B352" s="25" t="s">
        <v>770</v>
      </c>
      <c r="C352" s="25" t="s">
        <v>771</v>
      </c>
      <c r="D352" s="25" t="s">
        <v>772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</v>
      </c>
      <c r="K352" s="31">
        <f>1968</f>
        <v>1968</v>
      </c>
      <c r="L352" s="32" t="s">
        <v>1240</v>
      </c>
      <c r="M352" s="31">
        <f>2057</f>
        <v>2057</v>
      </c>
      <c r="N352" s="32" t="s">
        <v>755</v>
      </c>
      <c r="O352" s="31">
        <f>1919</f>
        <v>1919</v>
      </c>
      <c r="P352" s="32" t="s">
        <v>1209</v>
      </c>
      <c r="Q352" s="31">
        <f>2057</f>
        <v>2057</v>
      </c>
      <c r="R352" s="32" t="s">
        <v>755</v>
      </c>
      <c r="S352" s="33">
        <f>1970.62</f>
        <v>1970.62</v>
      </c>
      <c r="T352" s="30">
        <f>3374</f>
        <v>3374</v>
      </c>
      <c r="U352" s="30" t="str">
        <f>"－"</f>
        <v>－</v>
      </c>
      <c r="V352" s="30">
        <f>6612084</f>
        <v>6612084</v>
      </c>
      <c r="W352" s="30" t="str">
        <f>"－"</f>
        <v>－</v>
      </c>
      <c r="X352" s="34">
        <f>21</f>
        <v>21</v>
      </c>
    </row>
    <row r="353" spans="1:24">
      <c r="A353" s="25" t="s">
        <v>1260</v>
      </c>
      <c r="B353" s="25" t="s">
        <v>773</v>
      </c>
      <c r="C353" s="25" t="s">
        <v>774</v>
      </c>
      <c r="D353" s="25" t="s">
        <v>775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</v>
      </c>
      <c r="K353" s="31">
        <f>2120</f>
        <v>2120</v>
      </c>
      <c r="L353" s="32" t="s">
        <v>1240</v>
      </c>
      <c r="M353" s="31">
        <f>2197</f>
        <v>2197</v>
      </c>
      <c r="N353" s="32" t="s">
        <v>755</v>
      </c>
      <c r="O353" s="31">
        <f>2105</f>
        <v>2105</v>
      </c>
      <c r="P353" s="32" t="s">
        <v>756</v>
      </c>
      <c r="Q353" s="31">
        <f>2192</f>
        <v>2192</v>
      </c>
      <c r="R353" s="32" t="s">
        <v>755</v>
      </c>
      <c r="S353" s="33">
        <f>2124.75</f>
        <v>2124.75</v>
      </c>
      <c r="T353" s="30">
        <f>3918</f>
        <v>3918</v>
      </c>
      <c r="U353" s="30" t="str">
        <f>"－"</f>
        <v>－</v>
      </c>
      <c r="V353" s="30">
        <f>8296838</f>
        <v>8296838</v>
      </c>
      <c r="W353" s="30" t="str">
        <f>"－"</f>
        <v>－</v>
      </c>
      <c r="X353" s="34">
        <f>20</f>
        <v>20</v>
      </c>
    </row>
    <row r="354" spans="1:24">
      <c r="A354" s="25" t="s">
        <v>1260</v>
      </c>
      <c r="B354" s="25" t="s">
        <v>776</v>
      </c>
      <c r="C354" s="25" t="s">
        <v>777</v>
      </c>
      <c r="D354" s="25" t="s">
        <v>778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4548</f>
        <v>4548</v>
      </c>
      <c r="L354" s="32" t="s">
        <v>1240</v>
      </c>
      <c r="M354" s="31">
        <f>4646</f>
        <v>4646</v>
      </c>
      <c r="N354" s="32" t="s">
        <v>755</v>
      </c>
      <c r="O354" s="31">
        <f>4435</f>
        <v>4435</v>
      </c>
      <c r="P354" s="32" t="s">
        <v>756</v>
      </c>
      <c r="Q354" s="31">
        <f>4630</f>
        <v>4630</v>
      </c>
      <c r="R354" s="32" t="s">
        <v>755</v>
      </c>
      <c r="S354" s="33">
        <f>4525.19</f>
        <v>4525.1899999999996</v>
      </c>
      <c r="T354" s="30">
        <f>58937</f>
        <v>58937</v>
      </c>
      <c r="U354" s="30">
        <f>2</f>
        <v>2</v>
      </c>
      <c r="V354" s="30">
        <f>263952059</f>
        <v>263952059</v>
      </c>
      <c r="W354" s="30">
        <f>8974</f>
        <v>8974</v>
      </c>
      <c r="X354" s="34">
        <f>21</f>
        <v>21</v>
      </c>
    </row>
    <row r="355" spans="1:24">
      <c r="A355" s="25" t="s">
        <v>1260</v>
      </c>
      <c r="B355" s="25" t="s">
        <v>779</v>
      </c>
      <c r="C355" s="25" t="s">
        <v>780</v>
      </c>
      <c r="D355" s="25" t="s">
        <v>781</v>
      </c>
      <c r="E355" s="26" t="s">
        <v>1261</v>
      </c>
      <c r="F355" s="27" t="s">
        <v>1262</v>
      </c>
      <c r="G355" s="28" t="s">
        <v>1263</v>
      </c>
      <c r="H355" s="29" t="s">
        <v>1259</v>
      </c>
      <c r="I355" s="29"/>
      <c r="J355" s="30">
        <v>10</v>
      </c>
      <c r="K355" s="31">
        <f>1990.5</f>
        <v>1990.5</v>
      </c>
      <c r="L355" s="32" t="s">
        <v>1240</v>
      </c>
      <c r="M355" s="31">
        <f>2005</f>
        <v>2005</v>
      </c>
      <c r="N355" s="32" t="s">
        <v>1208</v>
      </c>
      <c r="O355" s="31">
        <f>1913.5</f>
        <v>1913.5</v>
      </c>
      <c r="P355" s="32" t="s">
        <v>1240</v>
      </c>
      <c r="Q355" s="31">
        <f>1985</f>
        <v>1985</v>
      </c>
      <c r="R355" s="32" t="s">
        <v>1085</v>
      </c>
      <c r="S355" s="33">
        <f>1972.6</f>
        <v>1972.6</v>
      </c>
      <c r="T355" s="30">
        <f>24340</f>
        <v>24340</v>
      </c>
      <c r="U355" s="30" t="str">
        <f>"－"</f>
        <v>－</v>
      </c>
      <c r="V355" s="30">
        <f>48437470</f>
        <v>48437470</v>
      </c>
      <c r="W355" s="30" t="str">
        <f>"－"</f>
        <v>－</v>
      </c>
      <c r="X355" s="34">
        <f>5</f>
        <v>5</v>
      </c>
    </row>
    <row r="356" spans="1:24">
      <c r="A356" s="25" t="s">
        <v>1260</v>
      </c>
      <c r="B356" s="25" t="s">
        <v>788</v>
      </c>
      <c r="C356" s="25" t="s">
        <v>789</v>
      </c>
      <c r="D356" s="25" t="s">
        <v>790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10</v>
      </c>
      <c r="K356" s="31">
        <f>288.2</f>
        <v>288.2</v>
      </c>
      <c r="L356" s="32" t="s">
        <v>1240</v>
      </c>
      <c r="M356" s="31">
        <f>295</f>
        <v>295</v>
      </c>
      <c r="N356" s="32" t="s">
        <v>755</v>
      </c>
      <c r="O356" s="31">
        <f>278.6</f>
        <v>278.60000000000002</v>
      </c>
      <c r="P356" s="32" t="s">
        <v>756</v>
      </c>
      <c r="Q356" s="31">
        <f>294.1</f>
        <v>294.10000000000002</v>
      </c>
      <c r="R356" s="32" t="s">
        <v>755</v>
      </c>
      <c r="S356" s="33">
        <f>284.69</f>
        <v>284.69</v>
      </c>
      <c r="T356" s="30">
        <f>190220</f>
        <v>190220</v>
      </c>
      <c r="U356" s="30">
        <f>10</f>
        <v>10</v>
      </c>
      <c r="V356" s="30">
        <f>54404293</f>
        <v>54404293</v>
      </c>
      <c r="W356" s="30">
        <f>2941</f>
        <v>2941</v>
      </c>
      <c r="X356" s="34">
        <f>19</f>
        <v>19</v>
      </c>
    </row>
    <row r="357" spans="1:24">
      <c r="A357" s="25" t="s">
        <v>1260</v>
      </c>
      <c r="B357" s="25" t="s">
        <v>782</v>
      </c>
      <c r="C357" s="25" t="s">
        <v>783</v>
      </c>
      <c r="D357" s="25" t="s">
        <v>784</v>
      </c>
      <c r="E357" s="26" t="s">
        <v>43</v>
      </c>
      <c r="F357" s="27" t="s">
        <v>43</v>
      </c>
      <c r="G357" s="28" t="s">
        <v>43</v>
      </c>
      <c r="H357" s="29"/>
      <c r="I357" s="29" t="s">
        <v>44</v>
      </c>
      <c r="J357" s="30">
        <v>10</v>
      </c>
      <c r="K357" s="31">
        <f>170.8</f>
        <v>170.8</v>
      </c>
      <c r="L357" s="32" t="s">
        <v>1240</v>
      </c>
      <c r="M357" s="31">
        <f>177</f>
        <v>177</v>
      </c>
      <c r="N357" s="32" t="s">
        <v>1075</v>
      </c>
      <c r="O357" s="31">
        <f>165</f>
        <v>165</v>
      </c>
      <c r="P357" s="32" t="s">
        <v>739</v>
      </c>
      <c r="Q357" s="31">
        <f>174.9</f>
        <v>174.9</v>
      </c>
      <c r="R357" s="32" t="s">
        <v>755</v>
      </c>
      <c r="S357" s="33">
        <f>173.36</f>
        <v>173.36</v>
      </c>
      <c r="T357" s="30">
        <f>583160</f>
        <v>583160</v>
      </c>
      <c r="U357" s="30">
        <f>32900</f>
        <v>32900</v>
      </c>
      <c r="V357" s="30">
        <f>102003572</f>
        <v>102003572</v>
      </c>
      <c r="W357" s="30">
        <f>5724510</f>
        <v>5724510</v>
      </c>
      <c r="X357" s="34">
        <f>21</f>
        <v>21</v>
      </c>
    </row>
    <row r="358" spans="1:24">
      <c r="A358" s="25" t="s">
        <v>1260</v>
      </c>
      <c r="B358" s="25" t="s">
        <v>785</v>
      </c>
      <c r="C358" s="25" t="s">
        <v>786</v>
      </c>
      <c r="D358" s="25" t="s">
        <v>787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640.1</f>
        <v>640.1</v>
      </c>
      <c r="L358" s="32" t="s">
        <v>1204</v>
      </c>
      <c r="M358" s="31">
        <f>663.1</f>
        <v>663.1</v>
      </c>
      <c r="N358" s="32" t="s">
        <v>1212</v>
      </c>
      <c r="O358" s="31">
        <f>640.1</f>
        <v>640.1</v>
      </c>
      <c r="P358" s="32" t="s">
        <v>1204</v>
      </c>
      <c r="Q358" s="31">
        <f>650</f>
        <v>650</v>
      </c>
      <c r="R358" s="32" t="s">
        <v>755</v>
      </c>
      <c r="S358" s="33">
        <f>658.81</f>
        <v>658.81</v>
      </c>
      <c r="T358" s="30">
        <f>560</f>
        <v>560</v>
      </c>
      <c r="U358" s="30" t="str">
        <f>"－"</f>
        <v>－</v>
      </c>
      <c r="V358" s="30">
        <f>368416</f>
        <v>368416</v>
      </c>
      <c r="W358" s="30" t="str">
        <f>"－"</f>
        <v>－</v>
      </c>
      <c r="X358" s="34">
        <f>11</f>
        <v>11</v>
      </c>
    </row>
    <row r="359" spans="1:24">
      <c r="A359" s="25" t="s">
        <v>1260</v>
      </c>
      <c r="B359" s="25" t="s">
        <v>791</v>
      </c>
      <c r="C359" s="25" t="s">
        <v>792</v>
      </c>
      <c r="D359" s="25" t="s">
        <v>793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</v>
      </c>
      <c r="K359" s="31">
        <f>1577</f>
        <v>1577</v>
      </c>
      <c r="L359" s="32" t="s">
        <v>1240</v>
      </c>
      <c r="M359" s="31">
        <f>1709</f>
        <v>1709</v>
      </c>
      <c r="N359" s="32" t="s">
        <v>755</v>
      </c>
      <c r="O359" s="31">
        <f>1552</f>
        <v>1552</v>
      </c>
      <c r="P359" s="32" t="s">
        <v>1211</v>
      </c>
      <c r="Q359" s="31">
        <f>1689</f>
        <v>1689</v>
      </c>
      <c r="R359" s="32" t="s">
        <v>755</v>
      </c>
      <c r="S359" s="33">
        <f>1596.43</f>
        <v>1596.43</v>
      </c>
      <c r="T359" s="30">
        <f>140275</f>
        <v>140275</v>
      </c>
      <c r="U359" s="30">
        <f>80</f>
        <v>80</v>
      </c>
      <c r="V359" s="30">
        <f>223406048</f>
        <v>223406048</v>
      </c>
      <c r="W359" s="30">
        <f>124720</f>
        <v>124720</v>
      </c>
      <c r="X359" s="34">
        <f>21</f>
        <v>21</v>
      </c>
    </row>
    <row r="360" spans="1:24">
      <c r="A360" s="25" t="s">
        <v>1260</v>
      </c>
      <c r="B360" s="25" t="s">
        <v>794</v>
      </c>
      <c r="C360" s="25" t="s">
        <v>795</v>
      </c>
      <c r="D360" s="25" t="s">
        <v>796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</v>
      </c>
      <c r="K360" s="31">
        <f>913</f>
        <v>913</v>
      </c>
      <c r="L360" s="32" t="s">
        <v>1240</v>
      </c>
      <c r="M360" s="31">
        <f>943</f>
        <v>943</v>
      </c>
      <c r="N360" s="32" t="s">
        <v>755</v>
      </c>
      <c r="O360" s="31">
        <f>913</f>
        <v>913</v>
      </c>
      <c r="P360" s="32" t="s">
        <v>1240</v>
      </c>
      <c r="Q360" s="31">
        <f>928</f>
        <v>928</v>
      </c>
      <c r="R360" s="32" t="s">
        <v>755</v>
      </c>
      <c r="S360" s="33">
        <f>927.86</f>
        <v>927.86</v>
      </c>
      <c r="T360" s="30">
        <f>588539</f>
        <v>588539</v>
      </c>
      <c r="U360" s="30">
        <f>1</f>
        <v>1</v>
      </c>
      <c r="V360" s="30">
        <f>549133561</f>
        <v>549133561</v>
      </c>
      <c r="W360" s="30">
        <f>928</f>
        <v>928</v>
      </c>
      <c r="X360" s="34">
        <f>21</f>
        <v>21</v>
      </c>
    </row>
    <row r="361" spans="1:24">
      <c r="A361" s="25" t="s">
        <v>1260</v>
      </c>
      <c r="B361" s="25" t="s">
        <v>797</v>
      </c>
      <c r="C361" s="25" t="s">
        <v>798</v>
      </c>
      <c r="D361" s="25" t="s">
        <v>799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10</v>
      </c>
      <c r="K361" s="31">
        <f>684.4</f>
        <v>684.4</v>
      </c>
      <c r="L361" s="32" t="s">
        <v>1240</v>
      </c>
      <c r="M361" s="31">
        <f>689</f>
        <v>689</v>
      </c>
      <c r="N361" s="32" t="s">
        <v>1075</v>
      </c>
      <c r="O361" s="31">
        <f>679</f>
        <v>679</v>
      </c>
      <c r="P361" s="32" t="s">
        <v>662</v>
      </c>
      <c r="Q361" s="31">
        <f>688.6</f>
        <v>688.6</v>
      </c>
      <c r="R361" s="32" t="s">
        <v>755</v>
      </c>
      <c r="S361" s="33">
        <f>683.72</f>
        <v>683.72</v>
      </c>
      <c r="T361" s="30">
        <f>3707910</f>
        <v>3707910</v>
      </c>
      <c r="U361" s="30">
        <f>2940000</f>
        <v>2940000</v>
      </c>
      <c r="V361" s="30">
        <f>2523147060</f>
        <v>2523147060</v>
      </c>
      <c r="W361" s="30">
        <f>1998171000</f>
        <v>1998171000</v>
      </c>
      <c r="X361" s="34">
        <f>21</f>
        <v>21</v>
      </c>
    </row>
    <row r="362" spans="1:24">
      <c r="A362" s="25" t="s">
        <v>1260</v>
      </c>
      <c r="B362" s="25" t="s">
        <v>800</v>
      </c>
      <c r="C362" s="25" t="s">
        <v>801</v>
      </c>
      <c r="D362" s="25" t="s">
        <v>802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10</v>
      </c>
      <c r="K362" s="31">
        <f>663.9</f>
        <v>663.9</v>
      </c>
      <c r="L362" s="32" t="s">
        <v>1240</v>
      </c>
      <c r="M362" s="31">
        <f>670</f>
        <v>670</v>
      </c>
      <c r="N362" s="32" t="s">
        <v>1220</v>
      </c>
      <c r="O362" s="31">
        <f>660</f>
        <v>660</v>
      </c>
      <c r="P362" s="32" t="s">
        <v>1085</v>
      </c>
      <c r="Q362" s="31">
        <f>660</f>
        <v>660</v>
      </c>
      <c r="R362" s="32" t="s">
        <v>755</v>
      </c>
      <c r="S362" s="33">
        <f>663.22</f>
        <v>663.22</v>
      </c>
      <c r="T362" s="30">
        <f>7671600</f>
        <v>7671600</v>
      </c>
      <c r="U362" s="30">
        <f>7184730</f>
        <v>7184730</v>
      </c>
      <c r="V362" s="30">
        <f>5093666052</f>
        <v>5093666052</v>
      </c>
      <c r="W362" s="30">
        <f>4769633255</f>
        <v>4769633255</v>
      </c>
      <c r="X362" s="34">
        <f>21</f>
        <v>21</v>
      </c>
    </row>
    <row r="363" spans="1:24">
      <c r="A363" s="25" t="s">
        <v>1260</v>
      </c>
      <c r="B363" s="25" t="s">
        <v>803</v>
      </c>
      <c r="C363" s="25" t="s">
        <v>804</v>
      </c>
      <c r="D363" s="25" t="s">
        <v>805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</v>
      </c>
      <c r="K363" s="31">
        <f>1197</f>
        <v>1197</v>
      </c>
      <c r="L363" s="32" t="s">
        <v>1240</v>
      </c>
      <c r="M363" s="31">
        <f>1217</f>
        <v>1217</v>
      </c>
      <c r="N363" s="32" t="s">
        <v>755</v>
      </c>
      <c r="O363" s="31">
        <f>1167</f>
        <v>1167</v>
      </c>
      <c r="P363" s="32" t="s">
        <v>1211</v>
      </c>
      <c r="Q363" s="31">
        <f>1201</f>
        <v>1201</v>
      </c>
      <c r="R363" s="32" t="s">
        <v>755</v>
      </c>
      <c r="S363" s="33">
        <f>1186.57</f>
        <v>1186.57</v>
      </c>
      <c r="T363" s="30">
        <f>7008</f>
        <v>7008</v>
      </c>
      <c r="U363" s="30" t="str">
        <f>"－"</f>
        <v>－</v>
      </c>
      <c r="V363" s="30">
        <f>8369178</f>
        <v>8369178</v>
      </c>
      <c r="W363" s="30" t="str">
        <f>"－"</f>
        <v>－</v>
      </c>
      <c r="X363" s="34">
        <f>21</f>
        <v>21</v>
      </c>
    </row>
    <row r="364" spans="1:24">
      <c r="A364" s="25" t="s">
        <v>1260</v>
      </c>
      <c r="B364" s="25" t="s">
        <v>812</v>
      </c>
      <c r="C364" s="25" t="s">
        <v>813</v>
      </c>
      <c r="D364" s="25" t="s">
        <v>814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2783</f>
        <v>2783</v>
      </c>
      <c r="L364" s="32" t="s">
        <v>1240</v>
      </c>
      <c r="M364" s="31">
        <f>2815.5</f>
        <v>2815.5</v>
      </c>
      <c r="N364" s="32" t="s">
        <v>1208</v>
      </c>
      <c r="O364" s="31">
        <f>2636.5</f>
        <v>2636.5</v>
      </c>
      <c r="P364" s="32" t="s">
        <v>756</v>
      </c>
      <c r="Q364" s="31">
        <f>2719</f>
        <v>2719</v>
      </c>
      <c r="R364" s="32" t="s">
        <v>755</v>
      </c>
      <c r="S364" s="33">
        <f>2719.33</f>
        <v>2719.33</v>
      </c>
      <c r="T364" s="30">
        <f>303290</f>
        <v>303290</v>
      </c>
      <c r="U364" s="30">
        <f>16080</f>
        <v>16080</v>
      </c>
      <c r="V364" s="30">
        <f>821019265</f>
        <v>821019265</v>
      </c>
      <c r="W364" s="30">
        <f>43299445</f>
        <v>43299445</v>
      </c>
      <c r="X364" s="34">
        <f>21</f>
        <v>21</v>
      </c>
    </row>
    <row r="365" spans="1:24">
      <c r="A365" s="25" t="s">
        <v>1260</v>
      </c>
      <c r="B365" s="25" t="s">
        <v>815</v>
      </c>
      <c r="C365" s="25" t="s">
        <v>816</v>
      </c>
      <c r="D365" s="25" t="s">
        <v>817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10</v>
      </c>
      <c r="K365" s="31">
        <f>3214</f>
        <v>3214</v>
      </c>
      <c r="L365" s="32" t="s">
        <v>1240</v>
      </c>
      <c r="M365" s="31">
        <f>3274</f>
        <v>3274</v>
      </c>
      <c r="N365" s="32" t="s">
        <v>1209</v>
      </c>
      <c r="O365" s="31">
        <f>3020</f>
        <v>3020</v>
      </c>
      <c r="P365" s="32" t="s">
        <v>1081</v>
      </c>
      <c r="Q365" s="31">
        <f>3160</f>
        <v>3160</v>
      </c>
      <c r="R365" s="32" t="s">
        <v>755</v>
      </c>
      <c r="S365" s="33">
        <f>3118.76</f>
        <v>3118.76</v>
      </c>
      <c r="T365" s="30">
        <f>2916850</f>
        <v>2916850</v>
      </c>
      <c r="U365" s="30">
        <f>10</f>
        <v>10</v>
      </c>
      <c r="V365" s="30">
        <f>8989409770</f>
        <v>8989409770</v>
      </c>
      <c r="W365" s="30">
        <f>31050</f>
        <v>31050</v>
      </c>
      <c r="X365" s="34">
        <f>21</f>
        <v>21</v>
      </c>
    </row>
    <row r="366" spans="1:24">
      <c r="A366" s="25" t="s">
        <v>1260</v>
      </c>
      <c r="B366" s="25" t="s">
        <v>806</v>
      </c>
      <c r="C366" s="25" t="s">
        <v>807</v>
      </c>
      <c r="D366" s="25" t="s">
        <v>808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</v>
      </c>
      <c r="K366" s="31">
        <f>5356</f>
        <v>5356</v>
      </c>
      <c r="L366" s="32" t="s">
        <v>1204</v>
      </c>
      <c r="M366" s="31">
        <f>5529</f>
        <v>5529</v>
      </c>
      <c r="N366" s="32" t="s">
        <v>1212</v>
      </c>
      <c r="O366" s="31">
        <f>5345</f>
        <v>5345</v>
      </c>
      <c r="P366" s="32" t="s">
        <v>1085</v>
      </c>
      <c r="Q366" s="31">
        <f>5515</f>
        <v>5515</v>
      </c>
      <c r="R366" s="32" t="s">
        <v>755</v>
      </c>
      <c r="S366" s="33">
        <f>5439.18</f>
        <v>5439.18</v>
      </c>
      <c r="T366" s="30">
        <f>281901</f>
        <v>281901</v>
      </c>
      <c r="U366" s="30">
        <f>280500</f>
        <v>280500</v>
      </c>
      <c r="V366" s="30">
        <f>1519138526</f>
        <v>1519138526</v>
      </c>
      <c r="W366" s="30">
        <f>1511499720</f>
        <v>1511499720</v>
      </c>
      <c r="X366" s="34">
        <f>17</f>
        <v>17</v>
      </c>
    </row>
    <row r="367" spans="1:24">
      <c r="A367" s="25" t="s">
        <v>1260</v>
      </c>
      <c r="B367" s="25" t="s">
        <v>809</v>
      </c>
      <c r="C367" s="25" t="s">
        <v>810</v>
      </c>
      <c r="D367" s="25" t="s">
        <v>811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</v>
      </c>
      <c r="K367" s="31">
        <f>4135</f>
        <v>4135</v>
      </c>
      <c r="L367" s="32" t="s">
        <v>1240</v>
      </c>
      <c r="M367" s="31">
        <f>4135</f>
        <v>4135</v>
      </c>
      <c r="N367" s="32" t="s">
        <v>1240</v>
      </c>
      <c r="O367" s="31">
        <f>4121</f>
        <v>4121</v>
      </c>
      <c r="P367" s="32" t="s">
        <v>852</v>
      </c>
      <c r="Q367" s="31">
        <f>4126</f>
        <v>4126</v>
      </c>
      <c r="R367" s="32" t="s">
        <v>1075</v>
      </c>
      <c r="S367" s="33">
        <f>4124.83</f>
        <v>4124.83</v>
      </c>
      <c r="T367" s="30">
        <f>194</f>
        <v>194</v>
      </c>
      <c r="U367" s="30" t="str">
        <f>"－"</f>
        <v>－</v>
      </c>
      <c r="V367" s="30">
        <f>800430</f>
        <v>800430</v>
      </c>
      <c r="W367" s="30" t="str">
        <f>"－"</f>
        <v>－</v>
      </c>
      <c r="X367" s="34">
        <f>6</f>
        <v>6</v>
      </c>
    </row>
    <row r="368" spans="1:24">
      <c r="A368" s="25" t="s">
        <v>1260</v>
      </c>
      <c r="B368" s="25" t="s">
        <v>818</v>
      </c>
      <c r="C368" s="25" t="s">
        <v>819</v>
      </c>
      <c r="D368" s="25" t="s">
        <v>820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1870</f>
        <v>1870</v>
      </c>
      <c r="L368" s="32" t="s">
        <v>1204</v>
      </c>
      <c r="M368" s="31">
        <f>1870</f>
        <v>1870</v>
      </c>
      <c r="N368" s="32" t="s">
        <v>1204</v>
      </c>
      <c r="O368" s="31">
        <f>1828</f>
        <v>1828</v>
      </c>
      <c r="P368" s="32" t="s">
        <v>1209</v>
      </c>
      <c r="Q368" s="31">
        <f>1868</f>
        <v>1868</v>
      </c>
      <c r="R368" s="32" t="s">
        <v>1205</v>
      </c>
      <c r="S368" s="33">
        <f>1864.8</f>
        <v>1864.8</v>
      </c>
      <c r="T368" s="30">
        <f>470</f>
        <v>470</v>
      </c>
      <c r="U368" s="30" t="str">
        <f>"－"</f>
        <v>－</v>
      </c>
      <c r="V368" s="30">
        <f>877315</f>
        <v>877315</v>
      </c>
      <c r="W368" s="30" t="str">
        <f>"－"</f>
        <v>－</v>
      </c>
      <c r="X368" s="34">
        <f>5</f>
        <v>5</v>
      </c>
    </row>
    <row r="369" spans="1:24">
      <c r="A369" s="25" t="s">
        <v>1260</v>
      </c>
      <c r="B369" s="25" t="s">
        <v>821</v>
      </c>
      <c r="C369" s="25" t="s">
        <v>822</v>
      </c>
      <c r="D369" s="25" t="s">
        <v>823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</v>
      </c>
      <c r="K369" s="31">
        <f>1135</f>
        <v>1135</v>
      </c>
      <c r="L369" s="32" t="s">
        <v>1240</v>
      </c>
      <c r="M369" s="31">
        <f>1196</f>
        <v>1196</v>
      </c>
      <c r="N369" s="32" t="s">
        <v>1075</v>
      </c>
      <c r="O369" s="31">
        <f>1119</f>
        <v>1119</v>
      </c>
      <c r="P369" s="32" t="s">
        <v>1240</v>
      </c>
      <c r="Q369" s="31">
        <f>1150</f>
        <v>1150</v>
      </c>
      <c r="R369" s="32" t="s">
        <v>755</v>
      </c>
      <c r="S369" s="33">
        <f>1150.57</f>
        <v>1150.57</v>
      </c>
      <c r="T369" s="30">
        <f>8256</f>
        <v>8256</v>
      </c>
      <c r="U369" s="30" t="str">
        <f>"－"</f>
        <v>－</v>
      </c>
      <c r="V369" s="30">
        <f>9445152</f>
        <v>9445152</v>
      </c>
      <c r="W369" s="30" t="str">
        <f>"－"</f>
        <v>－</v>
      </c>
      <c r="X369" s="34">
        <f>21</f>
        <v>21</v>
      </c>
    </row>
    <row r="370" spans="1:24">
      <c r="A370" s="25" t="s">
        <v>1260</v>
      </c>
      <c r="B370" s="25" t="s">
        <v>824</v>
      </c>
      <c r="C370" s="25" t="s">
        <v>825</v>
      </c>
      <c r="D370" s="25" t="s">
        <v>826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</v>
      </c>
      <c r="K370" s="31">
        <f>1038</f>
        <v>1038</v>
      </c>
      <c r="L370" s="32" t="s">
        <v>1240</v>
      </c>
      <c r="M370" s="31">
        <f>1073</f>
        <v>1073</v>
      </c>
      <c r="N370" s="32" t="s">
        <v>663</v>
      </c>
      <c r="O370" s="31">
        <f>1030</f>
        <v>1030</v>
      </c>
      <c r="P370" s="32" t="s">
        <v>1240</v>
      </c>
      <c r="Q370" s="31">
        <f>1061</f>
        <v>1061</v>
      </c>
      <c r="R370" s="32" t="s">
        <v>755</v>
      </c>
      <c r="S370" s="33">
        <f>1051</f>
        <v>1051</v>
      </c>
      <c r="T370" s="30">
        <f>4486931</f>
        <v>4486931</v>
      </c>
      <c r="U370" s="30">
        <f>71</f>
        <v>71</v>
      </c>
      <c r="V370" s="30">
        <f>4714934717</f>
        <v>4714934717</v>
      </c>
      <c r="W370" s="30">
        <f>75495</f>
        <v>75495</v>
      </c>
      <c r="X370" s="34">
        <f>21</f>
        <v>21</v>
      </c>
    </row>
    <row r="371" spans="1:24">
      <c r="A371" s="25" t="s">
        <v>1260</v>
      </c>
      <c r="B371" s="25" t="s">
        <v>827</v>
      </c>
      <c r="C371" s="25" t="s">
        <v>828</v>
      </c>
      <c r="D371" s="25" t="s">
        <v>829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904</f>
        <v>904</v>
      </c>
      <c r="L371" s="32" t="s">
        <v>1240</v>
      </c>
      <c r="M371" s="31">
        <f>920</f>
        <v>920</v>
      </c>
      <c r="N371" s="32" t="s">
        <v>756</v>
      </c>
      <c r="O371" s="31">
        <f>893</f>
        <v>893</v>
      </c>
      <c r="P371" s="32" t="s">
        <v>1211</v>
      </c>
      <c r="Q371" s="31">
        <f>913</f>
        <v>913</v>
      </c>
      <c r="R371" s="32" t="s">
        <v>755</v>
      </c>
      <c r="S371" s="33">
        <f>908.67</f>
        <v>908.67</v>
      </c>
      <c r="T371" s="30">
        <f>1145967</f>
        <v>1145967</v>
      </c>
      <c r="U371" s="30">
        <f>4</f>
        <v>4</v>
      </c>
      <c r="V371" s="30">
        <f>1038178014</f>
        <v>1038178014</v>
      </c>
      <c r="W371" s="30">
        <f>3656</f>
        <v>3656</v>
      </c>
      <c r="X371" s="34">
        <f>21</f>
        <v>21</v>
      </c>
    </row>
    <row r="372" spans="1:24">
      <c r="A372" s="25" t="s">
        <v>1260</v>
      </c>
      <c r="B372" s="25" t="s">
        <v>834</v>
      </c>
      <c r="C372" s="25" t="s">
        <v>835</v>
      </c>
      <c r="D372" s="25" t="s">
        <v>836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1010</f>
        <v>1010</v>
      </c>
      <c r="L372" s="32" t="s">
        <v>1240</v>
      </c>
      <c r="M372" s="31">
        <f>1064</f>
        <v>1064</v>
      </c>
      <c r="N372" s="32" t="s">
        <v>755</v>
      </c>
      <c r="O372" s="31">
        <f>975</f>
        <v>975</v>
      </c>
      <c r="P372" s="32" t="s">
        <v>1240</v>
      </c>
      <c r="Q372" s="31">
        <f>1045</f>
        <v>1045</v>
      </c>
      <c r="R372" s="32" t="s">
        <v>755</v>
      </c>
      <c r="S372" s="33">
        <f>1022.38</f>
        <v>1022.38</v>
      </c>
      <c r="T372" s="30">
        <f>11693</f>
        <v>11693</v>
      </c>
      <c r="U372" s="30" t="str">
        <f>"－"</f>
        <v>－</v>
      </c>
      <c r="V372" s="30">
        <f>11782401</f>
        <v>11782401</v>
      </c>
      <c r="W372" s="30" t="str">
        <f>"－"</f>
        <v>－</v>
      </c>
      <c r="X372" s="34">
        <f>21</f>
        <v>21</v>
      </c>
    </row>
    <row r="373" spans="1:24">
      <c r="A373" s="25" t="s">
        <v>1260</v>
      </c>
      <c r="B373" s="25" t="s">
        <v>837</v>
      </c>
      <c r="C373" s="25" t="s">
        <v>838</v>
      </c>
      <c r="D373" s="25" t="s">
        <v>839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957</f>
        <v>957</v>
      </c>
      <c r="L373" s="32" t="s">
        <v>1240</v>
      </c>
      <c r="M373" s="31">
        <f>985</f>
        <v>985</v>
      </c>
      <c r="N373" s="32" t="s">
        <v>663</v>
      </c>
      <c r="O373" s="31">
        <f>950</f>
        <v>950</v>
      </c>
      <c r="P373" s="32" t="s">
        <v>1240</v>
      </c>
      <c r="Q373" s="31">
        <f>974</f>
        <v>974</v>
      </c>
      <c r="R373" s="32" t="s">
        <v>755</v>
      </c>
      <c r="S373" s="33">
        <f>968.05</f>
        <v>968.05</v>
      </c>
      <c r="T373" s="30">
        <f>854739</f>
        <v>854739</v>
      </c>
      <c r="U373" s="30">
        <f>70</f>
        <v>70</v>
      </c>
      <c r="V373" s="30">
        <f>827956717</f>
        <v>827956717</v>
      </c>
      <c r="W373" s="30">
        <f>66962</f>
        <v>66962</v>
      </c>
      <c r="X373" s="34">
        <f>21</f>
        <v>21</v>
      </c>
    </row>
    <row r="374" spans="1:24">
      <c r="A374" s="25" t="s">
        <v>1260</v>
      </c>
      <c r="B374" s="25" t="s">
        <v>840</v>
      </c>
      <c r="C374" s="25" t="s">
        <v>841</v>
      </c>
      <c r="D374" s="25" t="s">
        <v>922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44440</f>
        <v>44440</v>
      </c>
      <c r="L374" s="32" t="s">
        <v>1240</v>
      </c>
      <c r="M374" s="31">
        <f>50240</f>
        <v>50240</v>
      </c>
      <c r="N374" s="32" t="s">
        <v>755</v>
      </c>
      <c r="O374" s="31">
        <f>44010</f>
        <v>44010</v>
      </c>
      <c r="P374" s="32" t="s">
        <v>1240</v>
      </c>
      <c r="Q374" s="31">
        <f>50240</f>
        <v>50240</v>
      </c>
      <c r="R374" s="32" t="s">
        <v>755</v>
      </c>
      <c r="S374" s="33">
        <f>46710.48</f>
        <v>46710.48</v>
      </c>
      <c r="T374" s="30">
        <f>315828</f>
        <v>315828</v>
      </c>
      <c r="U374" s="30">
        <f>463</f>
        <v>463</v>
      </c>
      <c r="V374" s="30">
        <f>14782874135</f>
        <v>14782874135</v>
      </c>
      <c r="W374" s="30">
        <f>21558935</f>
        <v>21558935</v>
      </c>
      <c r="X374" s="34">
        <f>21</f>
        <v>21</v>
      </c>
    </row>
    <row r="375" spans="1:24">
      <c r="A375" s="25" t="s">
        <v>1260</v>
      </c>
      <c r="B375" s="25" t="s">
        <v>842</v>
      </c>
      <c r="C375" s="25" t="s">
        <v>843</v>
      </c>
      <c r="D375" s="25" t="s">
        <v>923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15090</f>
        <v>15090</v>
      </c>
      <c r="L375" s="32" t="s">
        <v>1240</v>
      </c>
      <c r="M375" s="31">
        <f>15235</f>
        <v>15235</v>
      </c>
      <c r="N375" s="32" t="s">
        <v>1240</v>
      </c>
      <c r="O375" s="31">
        <f>13285</f>
        <v>13285</v>
      </c>
      <c r="P375" s="32" t="s">
        <v>755</v>
      </c>
      <c r="Q375" s="31">
        <f>13290</f>
        <v>13290</v>
      </c>
      <c r="R375" s="32" t="s">
        <v>755</v>
      </c>
      <c r="S375" s="33">
        <f>14349.29</f>
        <v>14349.29</v>
      </c>
      <c r="T375" s="30">
        <f>748903</f>
        <v>748903</v>
      </c>
      <c r="U375" s="30">
        <f>131358</f>
        <v>131358</v>
      </c>
      <c r="V375" s="30">
        <f>10620372123</f>
        <v>10620372123</v>
      </c>
      <c r="W375" s="30">
        <f>1777267543</f>
        <v>1777267543</v>
      </c>
      <c r="X375" s="34">
        <f>21</f>
        <v>21</v>
      </c>
    </row>
    <row r="376" spans="1:24">
      <c r="A376" s="25" t="s">
        <v>1260</v>
      </c>
      <c r="B376" s="25" t="s">
        <v>1173</v>
      </c>
      <c r="C376" s="25" t="s">
        <v>1174</v>
      </c>
      <c r="D376" s="25" t="s">
        <v>1175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2081</f>
        <v>2081</v>
      </c>
      <c r="L376" s="32" t="s">
        <v>1240</v>
      </c>
      <c r="M376" s="31">
        <f>2150</f>
        <v>2150</v>
      </c>
      <c r="N376" s="32" t="s">
        <v>755</v>
      </c>
      <c r="O376" s="31">
        <f>2033</f>
        <v>2033</v>
      </c>
      <c r="P376" s="32" t="s">
        <v>756</v>
      </c>
      <c r="Q376" s="31">
        <f>2136</f>
        <v>2136</v>
      </c>
      <c r="R376" s="32" t="s">
        <v>755</v>
      </c>
      <c r="S376" s="33">
        <f>2071.42</f>
        <v>2071.42</v>
      </c>
      <c r="T376" s="30">
        <f>709</f>
        <v>709</v>
      </c>
      <c r="U376" s="30" t="str">
        <f>"－"</f>
        <v>－</v>
      </c>
      <c r="V376" s="30">
        <f>1473074</f>
        <v>1473074</v>
      </c>
      <c r="W376" s="30" t="str">
        <f>"－"</f>
        <v>－</v>
      </c>
      <c r="X376" s="34">
        <f>19</f>
        <v>19</v>
      </c>
    </row>
    <row r="377" spans="1:24">
      <c r="A377" s="25" t="s">
        <v>1260</v>
      </c>
      <c r="B377" s="25" t="s">
        <v>1176</v>
      </c>
      <c r="C377" s="25" t="s">
        <v>1177</v>
      </c>
      <c r="D377" s="25" t="s">
        <v>1178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8750</f>
        <v>8750</v>
      </c>
      <c r="L377" s="32" t="s">
        <v>1240</v>
      </c>
      <c r="M377" s="31">
        <f>9120</f>
        <v>9120</v>
      </c>
      <c r="N377" s="32" t="s">
        <v>755</v>
      </c>
      <c r="O377" s="31">
        <f>8500</f>
        <v>8500</v>
      </c>
      <c r="P377" s="32" t="s">
        <v>663</v>
      </c>
      <c r="Q377" s="31">
        <f>9110</f>
        <v>9110</v>
      </c>
      <c r="R377" s="32" t="s">
        <v>755</v>
      </c>
      <c r="S377" s="33">
        <f>8839.67</f>
        <v>8839.67</v>
      </c>
      <c r="T377" s="30">
        <f>13512</f>
        <v>13512</v>
      </c>
      <c r="U377" s="30">
        <f>5</f>
        <v>5</v>
      </c>
      <c r="V377" s="30">
        <f>117359102</f>
        <v>117359102</v>
      </c>
      <c r="W377" s="30">
        <f>43739</f>
        <v>43739</v>
      </c>
      <c r="X377" s="34">
        <f>21</f>
        <v>21</v>
      </c>
    </row>
    <row r="378" spans="1:24">
      <c r="A378" s="25" t="s">
        <v>1260</v>
      </c>
      <c r="B378" s="25" t="s">
        <v>1180</v>
      </c>
      <c r="C378" s="25" t="s">
        <v>1181</v>
      </c>
      <c r="D378" s="25" t="s">
        <v>1182</v>
      </c>
      <c r="E378" s="26" t="s">
        <v>43</v>
      </c>
      <c r="F378" s="27" t="s">
        <v>43</v>
      </c>
      <c r="G378" s="28" t="s">
        <v>43</v>
      </c>
      <c r="H378" s="29"/>
      <c r="I378" s="29" t="s">
        <v>44</v>
      </c>
      <c r="J378" s="30">
        <v>10</v>
      </c>
      <c r="K378" s="31">
        <f>182.9</f>
        <v>182.9</v>
      </c>
      <c r="L378" s="32" t="s">
        <v>1240</v>
      </c>
      <c r="M378" s="31">
        <f>194.5</f>
        <v>194.5</v>
      </c>
      <c r="N378" s="32" t="s">
        <v>755</v>
      </c>
      <c r="O378" s="31">
        <f>181.3</f>
        <v>181.3</v>
      </c>
      <c r="P378" s="32" t="s">
        <v>1240</v>
      </c>
      <c r="Q378" s="31">
        <f>194</f>
        <v>194</v>
      </c>
      <c r="R378" s="32" t="s">
        <v>755</v>
      </c>
      <c r="S378" s="33">
        <f>187.63</f>
        <v>187.63</v>
      </c>
      <c r="T378" s="30">
        <f>5645440</f>
        <v>5645440</v>
      </c>
      <c r="U378" s="30">
        <f>50</f>
        <v>50</v>
      </c>
      <c r="V378" s="30">
        <f>1060716271</f>
        <v>1060716271</v>
      </c>
      <c r="W378" s="30">
        <f>9225</f>
        <v>9225</v>
      </c>
      <c r="X378" s="34">
        <f>21</f>
        <v>21</v>
      </c>
    </row>
    <row r="379" spans="1:24">
      <c r="A379" s="25" t="s">
        <v>1260</v>
      </c>
      <c r="B379" s="25" t="s">
        <v>1184</v>
      </c>
      <c r="C379" s="25" t="s">
        <v>1185</v>
      </c>
      <c r="D379" s="25" t="s">
        <v>1186</v>
      </c>
      <c r="E379" s="26" t="s">
        <v>43</v>
      </c>
      <c r="F379" s="27" t="s">
        <v>43</v>
      </c>
      <c r="G379" s="28" t="s">
        <v>43</v>
      </c>
      <c r="H379" s="29"/>
      <c r="I379" s="29" t="s">
        <v>44</v>
      </c>
      <c r="J379" s="30">
        <v>10</v>
      </c>
      <c r="K379" s="31">
        <f>226.5</f>
        <v>226.5</v>
      </c>
      <c r="L379" s="32" t="s">
        <v>1240</v>
      </c>
      <c r="M379" s="31">
        <f>236.9</f>
        <v>236.9</v>
      </c>
      <c r="N379" s="32" t="s">
        <v>739</v>
      </c>
      <c r="O379" s="31">
        <f>223.9</f>
        <v>223.9</v>
      </c>
      <c r="P379" s="32" t="s">
        <v>755</v>
      </c>
      <c r="Q379" s="31">
        <f>225</f>
        <v>225</v>
      </c>
      <c r="R379" s="32" t="s">
        <v>755</v>
      </c>
      <c r="S379" s="33">
        <f>230.05</f>
        <v>230.05</v>
      </c>
      <c r="T379" s="30">
        <f>24971520</f>
        <v>24971520</v>
      </c>
      <c r="U379" s="30">
        <f>983520</f>
        <v>983520</v>
      </c>
      <c r="V379" s="30">
        <f>5753500144</f>
        <v>5753500144</v>
      </c>
      <c r="W379" s="30">
        <f>226138195</f>
        <v>226138195</v>
      </c>
      <c r="X379" s="34">
        <f>21</f>
        <v>21</v>
      </c>
    </row>
    <row r="380" spans="1:24">
      <c r="A380" s="25" t="s">
        <v>1260</v>
      </c>
      <c r="B380" s="25" t="s">
        <v>1187</v>
      </c>
      <c r="C380" s="25" t="s">
        <v>1188</v>
      </c>
      <c r="D380" s="25" t="s">
        <v>1189</v>
      </c>
      <c r="E380" s="26" t="s">
        <v>43</v>
      </c>
      <c r="F380" s="27" t="s">
        <v>43</v>
      </c>
      <c r="G380" s="28" t="s">
        <v>43</v>
      </c>
      <c r="H380" s="29"/>
      <c r="I380" s="29" t="s">
        <v>44</v>
      </c>
      <c r="J380" s="30">
        <v>1</v>
      </c>
      <c r="K380" s="31">
        <f>1010</f>
        <v>1010</v>
      </c>
      <c r="L380" s="32" t="s">
        <v>1240</v>
      </c>
      <c r="M380" s="31">
        <f>1012</f>
        <v>1012</v>
      </c>
      <c r="N380" s="32" t="s">
        <v>1208</v>
      </c>
      <c r="O380" s="31">
        <f>976</f>
        <v>976</v>
      </c>
      <c r="P380" s="32" t="s">
        <v>1211</v>
      </c>
      <c r="Q380" s="31">
        <f>1001</f>
        <v>1001</v>
      </c>
      <c r="R380" s="32" t="s">
        <v>755</v>
      </c>
      <c r="S380" s="33">
        <f>993.57</f>
        <v>993.57</v>
      </c>
      <c r="T380" s="30">
        <f>571224</f>
        <v>571224</v>
      </c>
      <c r="U380" s="30" t="str">
        <f>"－"</f>
        <v>－</v>
      </c>
      <c r="V380" s="30">
        <f>568040857</f>
        <v>568040857</v>
      </c>
      <c r="W380" s="30" t="str">
        <f>"－"</f>
        <v>－</v>
      </c>
      <c r="X380" s="34">
        <f>21</f>
        <v>21</v>
      </c>
    </row>
    <row r="381" spans="1:24">
      <c r="A381" s="25" t="s">
        <v>1260</v>
      </c>
      <c r="B381" s="25" t="s">
        <v>1191</v>
      </c>
      <c r="C381" s="25" t="s">
        <v>1192</v>
      </c>
      <c r="D381" s="25" t="s">
        <v>1193</v>
      </c>
      <c r="E381" s="26" t="s">
        <v>43</v>
      </c>
      <c r="F381" s="27" t="s">
        <v>43</v>
      </c>
      <c r="G381" s="28" t="s">
        <v>43</v>
      </c>
      <c r="H381" s="29"/>
      <c r="I381" s="29" t="s">
        <v>44</v>
      </c>
      <c r="J381" s="30">
        <v>1</v>
      </c>
      <c r="K381" s="31">
        <f>1836</f>
        <v>1836</v>
      </c>
      <c r="L381" s="32" t="s">
        <v>1240</v>
      </c>
      <c r="M381" s="31">
        <f>2007</f>
        <v>2007</v>
      </c>
      <c r="N381" s="32" t="s">
        <v>755</v>
      </c>
      <c r="O381" s="31">
        <f>1817</f>
        <v>1817</v>
      </c>
      <c r="P381" s="32" t="s">
        <v>1240</v>
      </c>
      <c r="Q381" s="31">
        <f>2006</f>
        <v>2006</v>
      </c>
      <c r="R381" s="32" t="s">
        <v>755</v>
      </c>
      <c r="S381" s="33">
        <f>1905.95</f>
        <v>1905.95</v>
      </c>
      <c r="T381" s="30">
        <f>7922504</f>
        <v>7922504</v>
      </c>
      <c r="U381" s="30">
        <f>1895</f>
        <v>1895</v>
      </c>
      <c r="V381" s="30">
        <f>15115643527</f>
        <v>15115643527</v>
      </c>
      <c r="W381" s="30">
        <f>3649402</f>
        <v>3649402</v>
      </c>
      <c r="X381" s="34">
        <f>21</f>
        <v>21</v>
      </c>
    </row>
    <row r="382" spans="1:24">
      <c r="A382" s="25" t="s">
        <v>1260</v>
      </c>
      <c r="B382" s="25" t="s">
        <v>1195</v>
      </c>
      <c r="C382" s="25" t="s">
        <v>1196</v>
      </c>
      <c r="D382" s="25" t="s">
        <v>1197</v>
      </c>
      <c r="E382" s="26" t="s">
        <v>43</v>
      </c>
      <c r="F382" s="27" t="s">
        <v>43</v>
      </c>
      <c r="G382" s="28" t="s">
        <v>43</v>
      </c>
      <c r="H382" s="29"/>
      <c r="I382" s="29" t="s">
        <v>44</v>
      </c>
      <c r="J382" s="30">
        <v>10</v>
      </c>
      <c r="K382" s="31">
        <f>1021.5</f>
        <v>1021.5</v>
      </c>
      <c r="L382" s="32" t="s">
        <v>1240</v>
      </c>
      <c r="M382" s="31">
        <f>1082</f>
        <v>1082</v>
      </c>
      <c r="N382" s="32" t="s">
        <v>1211</v>
      </c>
      <c r="O382" s="31">
        <f>897.1</f>
        <v>897.1</v>
      </c>
      <c r="P382" s="32" t="s">
        <v>755</v>
      </c>
      <c r="Q382" s="31">
        <f>898</f>
        <v>898</v>
      </c>
      <c r="R382" s="32" t="s">
        <v>755</v>
      </c>
      <c r="S382" s="33">
        <f>980.28</f>
        <v>980.28</v>
      </c>
      <c r="T382" s="30">
        <f>19727020</f>
        <v>19727020</v>
      </c>
      <c r="U382" s="30">
        <f>1600</f>
        <v>1600</v>
      </c>
      <c r="V382" s="30">
        <f>19513404730</f>
        <v>19513404730</v>
      </c>
      <c r="W382" s="30">
        <f>1612661</f>
        <v>1612661</v>
      </c>
      <c r="X382" s="34">
        <f>21</f>
        <v>21</v>
      </c>
    </row>
    <row r="383" spans="1:24">
      <c r="A383" s="25" t="s">
        <v>1260</v>
      </c>
      <c r="B383" s="25" t="s">
        <v>1202</v>
      </c>
      <c r="C383" s="25" t="s">
        <v>1201</v>
      </c>
      <c r="D383" s="25" t="s">
        <v>1200</v>
      </c>
      <c r="E383" s="26" t="s">
        <v>43</v>
      </c>
      <c r="F383" s="27" t="s">
        <v>43</v>
      </c>
      <c r="G383" s="28" t="s">
        <v>43</v>
      </c>
      <c r="H383" s="29"/>
      <c r="I383" s="29" t="s">
        <v>44</v>
      </c>
      <c r="J383" s="30">
        <v>1</v>
      </c>
      <c r="K383" s="31">
        <f>1118</f>
        <v>1118</v>
      </c>
      <c r="L383" s="32" t="s">
        <v>1240</v>
      </c>
      <c r="M383" s="31">
        <f>1118</f>
        <v>1118</v>
      </c>
      <c r="N383" s="32" t="s">
        <v>1240</v>
      </c>
      <c r="O383" s="31">
        <f>1075</f>
        <v>1075</v>
      </c>
      <c r="P383" s="32" t="s">
        <v>1212</v>
      </c>
      <c r="Q383" s="31">
        <f>1097</f>
        <v>1097</v>
      </c>
      <c r="R383" s="32" t="s">
        <v>755</v>
      </c>
      <c r="S383" s="33">
        <f>1094.52</f>
        <v>1094.52</v>
      </c>
      <c r="T383" s="30">
        <f>8946</f>
        <v>8946</v>
      </c>
      <c r="U383" s="30" t="str">
        <f>"－"</f>
        <v>－</v>
      </c>
      <c r="V383" s="30">
        <f>9812038</f>
        <v>9812038</v>
      </c>
      <c r="W383" s="30" t="str">
        <f>"－"</f>
        <v>－</v>
      </c>
      <c r="X383" s="34">
        <f>21</f>
        <v>21</v>
      </c>
    </row>
    <row r="384" spans="1:24">
      <c r="A384" s="25" t="s">
        <v>1260</v>
      </c>
      <c r="B384" s="25" t="s">
        <v>1223</v>
      </c>
      <c r="C384" s="25" t="s">
        <v>1224</v>
      </c>
      <c r="D384" s="25" t="s">
        <v>1225</v>
      </c>
      <c r="E384" s="26" t="s">
        <v>43</v>
      </c>
      <c r="F384" s="27" t="s">
        <v>43</v>
      </c>
      <c r="G384" s="28" t="s">
        <v>43</v>
      </c>
      <c r="H384" s="29"/>
      <c r="I384" s="29" t="s">
        <v>452</v>
      </c>
      <c r="J384" s="30">
        <v>1</v>
      </c>
      <c r="K384" s="31">
        <f>10170</f>
        <v>10170</v>
      </c>
      <c r="L384" s="32" t="s">
        <v>1240</v>
      </c>
      <c r="M384" s="31">
        <f>10305</f>
        <v>10305</v>
      </c>
      <c r="N384" s="32" t="s">
        <v>755</v>
      </c>
      <c r="O384" s="31">
        <f>10000</f>
        <v>10000</v>
      </c>
      <c r="P384" s="32" t="s">
        <v>1211</v>
      </c>
      <c r="Q384" s="31">
        <f>10305</f>
        <v>10305</v>
      </c>
      <c r="R384" s="32" t="s">
        <v>755</v>
      </c>
      <c r="S384" s="33">
        <f>10097.65</f>
        <v>10097.65</v>
      </c>
      <c r="T384" s="30">
        <f>6282</f>
        <v>6282</v>
      </c>
      <c r="U384" s="30" t="str">
        <f>"－"</f>
        <v>－</v>
      </c>
      <c r="V384" s="30">
        <f>63370095</f>
        <v>63370095</v>
      </c>
      <c r="W384" s="30" t="str">
        <f>"－"</f>
        <v>－</v>
      </c>
      <c r="X384" s="34">
        <f>17</f>
        <v>17</v>
      </c>
    </row>
    <row r="385" spans="1:24">
      <c r="A385" s="25" t="s">
        <v>1260</v>
      </c>
      <c r="B385" s="25" t="s">
        <v>1227</v>
      </c>
      <c r="C385" s="25" t="s">
        <v>1228</v>
      </c>
      <c r="D385" s="25" t="s">
        <v>1229</v>
      </c>
      <c r="E385" s="26" t="s">
        <v>43</v>
      </c>
      <c r="F385" s="27" t="s">
        <v>43</v>
      </c>
      <c r="G385" s="28" t="s">
        <v>43</v>
      </c>
      <c r="H385" s="29"/>
      <c r="I385" s="29" t="s">
        <v>44</v>
      </c>
      <c r="J385" s="30">
        <v>1</v>
      </c>
      <c r="K385" s="31">
        <f>2129</f>
        <v>2129</v>
      </c>
      <c r="L385" s="32" t="s">
        <v>1240</v>
      </c>
      <c r="M385" s="31">
        <f>2489</f>
        <v>2489</v>
      </c>
      <c r="N385" s="32" t="s">
        <v>755</v>
      </c>
      <c r="O385" s="31">
        <f>2070</f>
        <v>2070</v>
      </c>
      <c r="P385" s="32" t="s">
        <v>1240</v>
      </c>
      <c r="Q385" s="31">
        <f>2460</f>
        <v>2460</v>
      </c>
      <c r="R385" s="32" t="s">
        <v>755</v>
      </c>
      <c r="S385" s="33">
        <f>2274.48</f>
        <v>2274.48</v>
      </c>
      <c r="T385" s="30">
        <f>183245</f>
        <v>183245</v>
      </c>
      <c r="U385" s="30" t="str">
        <f>"－"</f>
        <v>－</v>
      </c>
      <c r="V385" s="30">
        <f>421873534</f>
        <v>421873534</v>
      </c>
      <c r="W385" s="30" t="str">
        <f>"－"</f>
        <v>－</v>
      </c>
      <c r="X385" s="34">
        <f>21</f>
        <v>21</v>
      </c>
    </row>
    <row r="386" spans="1:24">
      <c r="A386" s="25" t="s">
        <v>1260</v>
      </c>
      <c r="B386" s="25" t="s">
        <v>1231</v>
      </c>
      <c r="C386" s="25" t="s">
        <v>1232</v>
      </c>
      <c r="D386" s="25" t="s">
        <v>1233</v>
      </c>
      <c r="E386" s="26" t="s">
        <v>43</v>
      </c>
      <c r="F386" s="27" t="s">
        <v>43</v>
      </c>
      <c r="G386" s="28" t="s">
        <v>43</v>
      </c>
      <c r="H386" s="29"/>
      <c r="I386" s="29" t="s">
        <v>44</v>
      </c>
      <c r="J386" s="30">
        <v>10</v>
      </c>
      <c r="K386" s="31">
        <f>200</f>
        <v>200</v>
      </c>
      <c r="L386" s="32" t="s">
        <v>1240</v>
      </c>
      <c r="M386" s="31">
        <f>208.5</f>
        <v>208.5</v>
      </c>
      <c r="N386" s="32" t="s">
        <v>755</v>
      </c>
      <c r="O386" s="31">
        <f>199.3</f>
        <v>199.3</v>
      </c>
      <c r="P386" s="32" t="s">
        <v>1209</v>
      </c>
      <c r="Q386" s="31">
        <f>207.5</f>
        <v>207.5</v>
      </c>
      <c r="R386" s="32" t="s">
        <v>755</v>
      </c>
      <c r="S386" s="33">
        <f>202.1</f>
        <v>202.1</v>
      </c>
      <c r="T386" s="30">
        <f>422230</f>
        <v>422230</v>
      </c>
      <c r="U386" s="30">
        <f>430</f>
        <v>430</v>
      </c>
      <c r="V386" s="30">
        <f>85417096</f>
        <v>85417096</v>
      </c>
      <c r="W386" s="30">
        <f>83658</f>
        <v>83658</v>
      </c>
      <c r="X386" s="34">
        <f>21</f>
        <v>21</v>
      </c>
    </row>
    <row r="387" spans="1:24">
      <c r="A387" s="25" t="s">
        <v>1260</v>
      </c>
      <c r="B387" s="25" t="s">
        <v>1234</v>
      </c>
      <c r="C387" s="25" t="s">
        <v>1235</v>
      </c>
      <c r="D387" s="25" t="s">
        <v>1236</v>
      </c>
      <c r="E387" s="26" t="s">
        <v>43</v>
      </c>
      <c r="F387" s="27" t="s">
        <v>43</v>
      </c>
      <c r="G387" s="28" t="s">
        <v>43</v>
      </c>
      <c r="H387" s="29"/>
      <c r="I387" s="29" t="s">
        <v>44</v>
      </c>
      <c r="J387" s="30">
        <v>10</v>
      </c>
      <c r="K387" s="31">
        <f>508</f>
        <v>508</v>
      </c>
      <c r="L387" s="32" t="s">
        <v>1240</v>
      </c>
      <c r="M387" s="31">
        <f>585</f>
        <v>585</v>
      </c>
      <c r="N387" s="32" t="s">
        <v>1206</v>
      </c>
      <c r="O387" s="31">
        <f>508</f>
        <v>508</v>
      </c>
      <c r="P387" s="32" t="s">
        <v>1240</v>
      </c>
      <c r="Q387" s="31">
        <f>543.9</f>
        <v>543.9</v>
      </c>
      <c r="R387" s="32" t="s">
        <v>755</v>
      </c>
      <c r="S387" s="33">
        <f>528.64</f>
        <v>528.64</v>
      </c>
      <c r="T387" s="30">
        <f>271500</f>
        <v>271500</v>
      </c>
      <c r="U387" s="30" t="str">
        <f>"－"</f>
        <v>－</v>
      </c>
      <c r="V387" s="30">
        <f>141663188</f>
        <v>141663188</v>
      </c>
      <c r="W387" s="30" t="str">
        <f>"－"</f>
        <v>－</v>
      </c>
      <c r="X387" s="34">
        <f>21</f>
        <v>21</v>
      </c>
    </row>
    <row r="388" spans="1:24">
      <c r="A388" s="25" t="s">
        <v>1260</v>
      </c>
      <c r="B388" s="25" t="s">
        <v>1242</v>
      </c>
      <c r="C388" s="25" t="s">
        <v>1243</v>
      </c>
      <c r="D388" s="25" t="s">
        <v>1244</v>
      </c>
      <c r="E388" s="26" t="s">
        <v>43</v>
      </c>
      <c r="F388" s="27" t="s">
        <v>43</v>
      </c>
      <c r="G388" s="28" t="s">
        <v>43</v>
      </c>
      <c r="H388" s="29"/>
      <c r="I388" s="29" t="s">
        <v>44</v>
      </c>
      <c r="J388" s="30">
        <v>1</v>
      </c>
      <c r="K388" s="31">
        <f>2194</f>
        <v>2194</v>
      </c>
      <c r="L388" s="32" t="s">
        <v>1240</v>
      </c>
      <c r="M388" s="31">
        <f>2250</f>
        <v>2250</v>
      </c>
      <c r="N388" s="32" t="s">
        <v>1205</v>
      </c>
      <c r="O388" s="31">
        <f>2149</f>
        <v>2149</v>
      </c>
      <c r="P388" s="32" t="s">
        <v>756</v>
      </c>
      <c r="Q388" s="31">
        <f>2240</f>
        <v>2240</v>
      </c>
      <c r="R388" s="32" t="s">
        <v>755</v>
      </c>
      <c r="S388" s="33">
        <f>2184.52</f>
        <v>2184.52</v>
      </c>
      <c r="T388" s="30">
        <f>573471</f>
        <v>573471</v>
      </c>
      <c r="U388" s="30">
        <f>269074</f>
        <v>269074</v>
      </c>
      <c r="V388" s="30">
        <f>1244571527</f>
        <v>1244571527</v>
      </c>
      <c r="W388" s="30">
        <f>582403621</f>
        <v>582403621</v>
      </c>
      <c r="X388" s="34">
        <f>21</f>
        <v>21</v>
      </c>
    </row>
    <row r="389" spans="1:24">
      <c r="A389" s="25" t="s">
        <v>1260</v>
      </c>
      <c r="B389" s="25" t="s">
        <v>1246</v>
      </c>
      <c r="C389" s="25" t="s">
        <v>1247</v>
      </c>
      <c r="D389" s="25" t="s">
        <v>1248</v>
      </c>
      <c r="E389" s="26" t="s">
        <v>43</v>
      </c>
      <c r="F389" s="27" t="s">
        <v>43</v>
      </c>
      <c r="G389" s="28" t="s">
        <v>43</v>
      </c>
      <c r="H389" s="29"/>
      <c r="I389" s="29" t="s">
        <v>44</v>
      </c>
      <c r="J389" s="30">
        <v>1</v>
      </c>
      <c r="K389" s="31">
        <f>1116</f>
        <v>1116</v>
      </c>
      <c r="L389" s="32" t="s">
        <v>1240</v>
      </c>
      <c r="M389" s="31">
        <f>1165</f>
        <v>1165</v>
      </c>
      <c r="N389" s="32" t="s">
        <v>755</v>
      </c>
      <c r="O389" s="31">
        <f>1107</f>
        <v>1107</v>
      </c>
      <c r="P389" s="32" t="s">
        <v>1240</v>
      </c>
      <c r="Q389" s="31">
        <f>1161</f>
        <v>1161</v>
      </c>
      <c r="R389" s="32" t="s">
        <v>755</v>
      </c>
      <c r="S389" s="33">
        <f>1137.9</f>
        <v>1137.9000000000001</v>
      </c>
      <c r="T389" s="30">
        <f>169725</f>
        <v>169725</v>
      </c>
      <c r="U389" s="30">
        <f>43600</f>
        <v>43600</v>
      </c>
      <c r="V389" s="30">
        <f>193825985</f>
        <v>193825985</v>
      </c>
      <c r="W389" s="30">
        <f>50031488</f>
        <v>50031488</v>
      </c>
      <c r="X389" s="34">
        <f>21</f>
        <v>21</v>
      </c>
    </row>
    <row r="390" spans="1:24">
      <c r="A390" s="25" t="s">
        <v>1260</v>
      </c>
      <c r="B390" s="25" t="s">
        <v>1258</v>
      </c>
      <c r="C390" s="25" t="s">
        <v>1257</v>
      </c>
      <c r="D390" s="25" t="s">
        <v>1256</v>
      </c>
      <c r="E390" s="26" t="s">
        <v>43</v>
      </c>
      <c r="F390" s="27" t="s">
        <v>43</v>
      </c>
      <c r="G390" s="28" t="s">
        <v>43</v>
      </c>
      <c r="H390" s="29"/>
      <c r="I390" s="29" t="s">
        <v>44</v>
      </c>
      <c r="J390" s="30">
        <v>10</v>
      </c>
      <c r="K390" s="31">
        <f>1026</f>
        <v>1026</v>
      </c>
      <c r="L390" s="32" t="s">
        <v>1240</v>
      </c>
      <c r="M390" s="31">
        <f>1062</f>
        <v>1062</v>
      </c>
      <c r="N390" s="32" t="s">
        <v>739</v>
      </c>
      <c r="O390" s="31">
        <f>1025.5</f>
        <v>1025.5</v>
      </c>
      <c r="P390" s="32" t="s">
        <v>1240</v>
      </c>
      <c r="Q390" s="31">
        <f>1051</f>
        <v>1051</v>
      </c>
      <c r="R390" s="32" t="s">
        <v>755</v>
      </c>
      <c r="S390" s="33">
        <f>1043.03</f>
        <v>1043.03</v>
      </c>
      <c r="T390" s="30">
        <f>3960</f>
        <v>3960</v>
      </c>
      <c r="U390" s="30" t="str">
        <f t="shared" ref="U390:U397" si="4">"－"</f>
        <v>－</v>
      </c>
      <c r="V390" s="30">
        <f>4128885</f>
        <v>4128885</v>
      </c>
      <c r="W390" s="30" t="str">
        <f t="shared" ref="W390:W397" si="5">"－"</f>
        <v>－</v>
      </c>
      <c r="X390" s="34">
        <f>18</f>
        <v>18</v>
      </c>
    </row>
    <row r="391" spans="1:24">
      <c r="A391" s="25" t="s">
        <v>1260</v>
      </c>
      <c r="B391" s="25" t="s">
        <v>1253</v>
      </c>
      <c r="C391" s="25" t="s">
        <v>1252</v>
      </c>
      <c r="D391" s="25" t="s">
        <v>1251</v>
      </c>
      <c r="E391" s="26" t="s">
        <v>43</v>
      </c>
      <c r="F391" s="27" t="s">
        <v>43</v>
      </c>
      <c r="G391" s="28" t="s">
        <v>43</v>
      </c>
      <c r="H391" s="29"/>
      <c r="I391" s="29" t="s">
        <v>44</v>
      </c>
      <c r="J391" s="30">
        <v>1</v>
      </c>
      <c r="K391" s="31">
        <f>2000</f>
        <v>2000</v>
      </c>
      <c r="L391" s="32" t="s">
        <v>1240</v>
      </c>
      <c r="M391" s="31">
        <f>2067</f>
        <v>2067</v>
      </c>
      <c r="N391" s="32" t="s">
        <v>663</v>
      </c>
      <c r="O391" s="31">
        <f>1981</f>
        <v>1981</v>
      </c>
      <c r="P391" s="32" t="s">
        <v>1204</v>
      </c>
      <c r="Q391" s="31">
        <f>2032</f>
        <v>2032</v>
      </c>
      <c r="R391" s="32" t="s">
        <v>755</v>
      </c>
      <c r="S391" s="33">
        <f>2018.52</f>
        <v>2018.52</v>
      </c>
      <c r="T391" s="30">
        <f>94270</f>
        <v>94270</v>
      </c>
      <c r="U391" s="30" t="str">
        <f t="shared" si="4"/>
        <v>－</v>
      </c>
      <c r="V391" s="30">
        <f>190380071</f>
        <v>190380071</v>
      </c>
      <c r="W391" s="30" t="str">
        <f t="shared" si="5"/>
        <v>－</v>
      </c>
      <c r="X391" s="34">
        <f>21</f>
        <v>21</v>
      </c>
    </row>
    <row r="392" spans="1:24">
      <c r="A392" s="25" t="s">
        <v>1260</v>
      </c>
      <c r="B392" s="25" t="s">
        <v>1264</v>
      </c>
      <c r="C392" s="25" t="s">
        <v>1265</v>
      </c>
      <c r="D392" s="25" t="s">
        <v>1266</v>
      </c>
      <c r="E392" s="26" t="s">
        <v>659</v>
      </c>
      <c r="F392" s="27" t="s">
        <v>660</v>
      </c>
      <c r="G392" s="28" t="s">
        <v>1267</v>
      </c>
      <c r="H392" s="29"/>
      <c r="I392" s="29" t="s">
        <v>44</v>
      </c>
      <c r="J392" s="30">
        <v>1</v>
      </c>
      <c r="K392" s="31">
        <f>2002</f>
        <v>2002</v>
      </c>
      <c r="L392" s="32" t="s">
        <v>1220</v>
      </c>
      <c r="M392" s="31">
        <f>2150</f>
        <v>2150</v>
      </c>
      <c r="N392" s="32" t="s">
        <v>1206</v>
      </c>
      <c r="O392" s="31">
        <f>1944</f>
        <v>1944</v>
      </c>
      <c r="P392" s="32" t="s">
        <v>1211</v>
      </c>
      <c r="Q392" s="31">
        <f>1988</f>
        <v>1988</v>
      </c>
      <c r="R392" s="32" t="s">
        <v>755</v>
      </c>
      <c r="S392" s="33">
        <f>1986.5</f>
        <v>1986.5</v>
      </c>
      <c r="T392" s="30">
        <f>240202</f>
        <v>240202</v>
      </c>
      <c r="U392" s="30" t="str">
        <f t="shared" si="4"/>
        <v>－</v>
      </c>
      <c r="V392" s="30">
        <f>474873895</f>
        <v>474873895</v>
      </c>
      <c r="W392" s="30" t="str">
        <f t="shared" si="5"/>
        <v>－</v>
      </c>
      <c r="X392" s="34">
        <f>14</f>
        <v>14</v>
      </c>
    </row>
    <row r="393" spans="1:24">
      <c r="A393" s="25" t="s">
        <v>1260</v>
      </c>
      <c r="B393" s="25" t="s">
        <v>1268</v>
      </c>
      <c r="C393" s="25" t="s">
        <v>1269</v>
      </c>
      <c r="D393" s="25" t="s">
        <v>1270</v>
      </c>
      <c r="E393" s="26" t="s">
        <v>659</v>
      </c>
      <c r="F393" s="27" t="s">
        <v>660</v>
      </c>
      <c r="G393" s="28" t="s">
        <v>1271</v>
      </c>
      <c r="H393" s="29"/>
      <c r="I393" s="29" t="s">
        <v>44</v>
      </c>
      <c r="J393" s="30">
        <v>1</v>
      </c>
      <c r="K393" s="31">
        <f>5100</f>
        <v>5100</v>
      </c>
      <c r="L393" s="32" t="s">
        <v>1210</v>
      </c>
      <c r="M393" s="31">
        <f>5387</f>
        <v>5387</v>
      </c>
      <c r="N393" s="32" t="s">
        <v>1210</v>
      </c>
      <c r="O393" s="31">
        <f>4990</f>
        <v>4990</v>
      </c>
      <c r="P393" s="32" t="s">
        <v>1212</v>
      </c>
      <c r="Q393" s="31">
        <f>4990</f>
        <v>4990</v>
      </c>
      <c r="R393" s="32" t="s">
        <v>755</v>
      </c>
      <c r="S393" s="33">
        <f>4999.75</f>
        <v>4999.75</v>
      </c>
      <c r="T393" s="30">
        <f>680</f>
        <v>680</v>
      </c>
      <c r="U393" s="30" t="str">
        <f t="shared" si="4"/>
        <v>－</v>
      </c>
      <c r="V393" s="30">
        <f>3410809</f>
        <v>3410809</v>
      </c>
      <c r="W393" s="30" t="str">
        <f t="shared" si="5"/>
        <v>－</v>
      </c>
      <c r="X393" s="34">
        <f>4</f>
        <v>4</v>
      </c>
    </row>
    <row r="394" spans="1:24">
      <c r="A394" s="25" t="s">
        <v>1260</v>
      </c>
      <c r="B394" s="25" t="s">
        <v>1272</v>
      </c>
      <c r="C394" s="25" t="s">
        <v>1273</v>
      </c>
      <c r="D394" s="25" t="s">
        <v>1274</v>
      </c>
      <c r="E394" s="26" t="s">
        <v>659</v>
      </c>
      <c r="F394" s="27" t="s">
        <v>660</v>
      </c>
      <c r="G394" s="28" t="s">
        <v>1275</v>
      </c>
      <c r="H394" s="29"/>
      <c r="I394" s="29" t="s">
        <v>44</v>
      </c>
      <c r="J394" s="30">
        <v>1</v>
      </c>
      <c r="K394" s="31">
        <f>1026</f>
        <v>1026</v>
      </c>
      <c r="L394" s="32" t="s">
        <v>663</v>
      </c>
      <c r="M394" s="31">
        <f>1026</f>
        <v>1026</v>
      </c>
      <c r="N394" s="32" t="s">
        <v>663</v>
      </c>
      <c r="O394" s="31">
        <f>1007</f>
        <v>1007</v>
      </c>
      <c r="P394" s="32" t="s">
        <v>1210</v>
      </c>
      <c r="Q394" s="31">
        <f>1020</f>
        <v>1020</v>
      </c>
      <c r="R394" s="32" t="s">
        <v>755</v>
      </c>
      <c r="S394" s="33">
        <f>1015</f>
        <v>1015</v>
      </c>
      <c r="T394" s="30">
        <f>58496</f>
        <v>58496</v>
      </c>
      <c r="U394" s="30" t="str">
        <f t="shared" si="4"/>
        <v>－</v>
      </c>
      <c r="V394" s="30">
        <f>59358182</f>
        <v>59358182</v>
      </c>
      <c r="W394" s="30" t="str">
        <f t="shared" si="5"/>
        <v>－</v>
      </c>
      <c r="X394" s="34">
        <f>5</f>
        <v>5</v>
      </c>
    </row>
    <row r="395" spans="1:24">
      <c r="A395" s="25" t="s">
        <v>1260</v>
      </c>
      <c r="B395" s="25" t="s">
        <v>1276</v>
      </c>
      <c r="C395" s="25" t="s">
        <v>1277</v>
      </c>
      <c r="D395" s="25" t="s">
        <v>1278</v>
      </c>
      <c r="E395" s="26" t="s">
        <v>659</v>
      </c>
      <c r="F395" s="27" t="s">
        <v>660</v>
      </c>
      <c r="G395" s="28" t="s">
        <v>1275</v>
      </c>
      <c r="H395" s="29"/>
      <c r="I395" s="29" t="s">
        <v>44</v>
      </c>
      <c r="J395" s="30">
        <v>1</v>
      </c>
      <c r="K395" s="31">
        <f>1007</f>
        <v>1007</v>
      </c>
      <c r="L395" s="32" t="s">
        <v>663</v>
      </c>
      <c r="M395" s="31">
        <f>1035</f>
        <v>1035</v>
      </c>
      <c r="N395" s="32" t="s">
        <v>1210</v>
      </c>
      <c r="O395" s="31">
        <f>1005</f>
        <v>1005</v>
      </c>
      <c r="P395" s="32" t="s">
        <v>663</v>
      </c>
      <c r="Q395" s="31">
        <f>1022</f>
        <v>1022</v>
      </c>
      <c r="R395" s="32" t="s">
        <v>755</v>
      </c>
      <c r="S395" s="33">
        <f>1026.2</f>
        <v>1026.2</v>
      </c>
      <c r="T395" s="30">
        <f>1017027</f>
        <v>1017027</v>
      </c>
      <c r="U395" s="30" t="str">
        <f t="shared" si="4"/>
        <v>－</v>
      </c>
      <c r="V395" s="30">
        <f>1036649662</f>
        <v>1036649662</v>
      </c>
      <c r="W395" s="30" t="str">
        <f t="shared" si="5"/>
        <v>－</v>
      </c>
      <c r="X395" s="34">
        <f>5</f>
        <v>5</v>
      </c>
    </row>
    <row r="396" spans="1:24">
      <c r="A396" s="25" t="s">
        <v>1260</v>
      </c>
      <c r="B396" s="25" t="s">
        <v>1279</v>
      </c>
      <c r="C396" s="25" t="s">
        <v>1280</v>
      </c>
      <c r="D396" s="25" t="s">
        <v>1281</v>
      </c>
      <c r="E396" s="26" t="s">
        <v>659</v>
      </c>
      <c r="F396" s="27" t="s">
        <v>660</v>
      </c>
      <c r="G396" s="28" t="s">
        <v>1271</v>
      </c>
      <c r="H396" s="29"/>
      <c r="I396" s="29" t="s">
        <v>44</v>
      </c>
      <c r="J396" s="30">
        <v>1</v>
      </c>
      <c r="K396" s="31">
        <f>1996</f>
        <v>1996</v>
      </c>
      <c r="L396" s="32" t="s">
        <v>1210</v>
      </c>
      <c r="M396" s="31">
        <f>2002</f>
        <v>2002</v>
      </c>
      <c r="N396" s="32" t="s">
        <v>1212</v>
      </c>
      <c r="O396" s="31">
        <f>1977</f>
        <v>1977</v>
      </c>
      <c r="P396" s="32" t="s">
        <v>755</v>
      </c>
      <c r="Q396" s="31">
        <f>1980</f>
        <v>1980</v>
      </c>
      <c r="R396" s="32" t="s">
        <v>755</v>
      </c>
      <c r="S396" s="33">
        <f>1992.75</f>
        <v>1992.75</v>
      </c>
      <c r="T396" s="30">
        <f>14295</f>
        <v>14295</v>
      </c>
      <c r="U396" s="30" t="str">
        <f t="shared" si="4"/>
        <v>－</v>
      </c>
      <c r="V396" s="30">
        <f>28381107</f>
        <v>28381107</v>
      </c>
      <c r="W396" s="30" t="str">
        <f t="shared" si="5"/>
        <v>－</v>
      </c>
      <c r="X396" s="34">
        <f>4</f>
        <v>4</v>
      </c>
    </row>
    <row r="397" spans="1:24">
      <c r="A397" s="25" t="s">
        <v>1260</v>
      </c>
      <c r="B397" s="25" t="s">
        <v>1282</v>
      </c>
      <c r="C397" s="25" t="s">
        <v>1283</v>
      </c>
      <c r="D397" s="25" t="s">
        <v>1284</v>
      </c>
      <c r="E397" s="26" t="s">
        <v>659</v>
      </c>
      <c r="F397" s="27" t="s">
        <v>660</v>
      </c>
      <c r="G397" s="28" t="s">
        <v>1271</v>
      </c>
      <c r="H397" s="29"/>
      <c r="I397" s="29" t="s">
        <v>44</v>
      </c>
      <c r="J397" s="30">
        <v>1</v>
      </c>
      <c r="K397" s="31">
        <f>2007</f>
        <v>2007</v>
      </c>
      <c r="L397" s="32" t="s">
        <v>1210</v>
      </c>
      <c r="M397" s="31">
        <f>2010</f>
        <v>2010</v>
      </c>
      <c r="N397" s="32" t="s">
        <v>1075</v>
      </c>
      <c r="O397" s="31">
        <f>2003</f>
        <v>2003</v>
      </c>
      <c r="P397" s="32" t="s">
        <v>755</v>
      </c>
      <c r="Q397" s="31">
        <f>2003</f>
        <v>2003</v>
      </c>
      <c r="R397" s="32" t="s">
        <v>755</v>
      </c>
      <c r="S397" s="33">
        <f>2006</f>
        <v>2006</v>
      </c>
      <c r="T397" s="30">
        <f>4954</f>
        <v>4954</v>
      </c>
      <c r="U397" s="30" t="str">
        <f t="shared" si="4"/>
        <v>－</v>
      </c>
      <c r="V397" s="30">
        <f>9924248</f>
        <v>9924248</v>
      </c>
      <c r="W397" s="30" t="str">
        <f t="shared" si="5"/>
        <v>－</v>
      </c>
      <c r="X397" s="34">
        <f>4</f>
        <v>4</v>
      </c>
    </row>
    <row r="398" spans="1:24">
      <c r="A398" s="25" t="s">
        <v>1260</v>
      </c>
      <c r="B398" s="25" t="s">
        <v>1285</v>
      </c>
      <c r="C398" s="25" t="s">
        <v>1286</v>
      </c>
      <c r="D398" s="25" t="s">
        <v>1287</v>
      </c>
      <c r="E398" s="26" t="s">
        <v>659</v>
      </c>
      <c r="F398" s="27" t="s">
        <v>660</v>
      </c>
      <c r="G398" s="28" t="s">
        <v>1288</v>
      </c>
      <c r="H398" s="29"/>
      <c r="I398" s="29" t="s">
        <v>44</v>
      </c>
      <c r="J398" s="30">
        <v>1</v>
      </c>
      <c r="K398" s="31">
        <f>2150</f>
        <v>2150</v>
      </c>
      <c r="L398" s="32" t="s">
        <v>755</v>
      </c>
      <c r="M398" s="31">
        <f>2150</f>
        <v>2150</v>
      </c>
      <c r="N398" s="32" t="s">
        <v>755</v>
      </c>
      <c r="O398" s="31">
        <f>2013</f>
        <v>2013</v>
      </c>
      <c r="P398" s="32" t="s">
        <v>755</v>
      </c>
      <c r="Q398" s="31">
        <f>2013</f>
        <v>2013</v>
      </c>
      <c r="R398" s="32" t="s">
        <v>755</v>
      </c>
      <c r="S398" s="33">
        <f>2013</f>
        <v>2013</v>
      </c>
      <c r="T398" s="30">
        <f>499578</f>
        <v>499578</v>
      </c>
      <c r="U398" s="30">
        <f>499500</f>
        <v>499500</v>
      </c>
      <c r="V398" s="30">
        <f>1000157800</f>
        <v>1000157800</v>
      </c>
      <c r="W398" s="30">
        <f>999999000</f>
        <v>999999000</v>
      </c>
      <c r="X398" s="34">
        <f>1</f>
        <v>1</v>
      </c>
    </row>
  </sheetData>
  <mergeCells count="3">
    <mergeCell ref="N1:X3"/>
    <mergeCell ref="A2:M2"/>
    <mergeCell ref="A3:M3"/>
  </mergeCells>
  <phoneticPr fontId="3"/>
  <conditionalFormatting sqref="A1">
    <cfRule type="duplicateValues" dxfId="8" priority="5"/>
  </conditionalFormatting>
  <conditionalFormatting sqref="B1:B1048576">
    <cfRule type="duplicateValues" dxfId="7" priority="4"/>
  </conditionalFormatting>
  <conditionalFormatting sqref="B386:B398">
    <cfRule type="duplicateValues" dxfId="6" priority="3"/>
  </conditionalFormatting>
  <conditionalFormatting sqref="B7:B398">
    <cfRule type="duplicateValues" dxfId="0" priority="2"/>
    <cfRule type="duplicateValues" dxfId="1" priority="1"/>
  </conditionalFormatting>
  <printOptions horizontalCentered="1"/>
  <pageMargins left="0.39370078740157483" right="0.39370078740157483" top="0.39370078740157483" bottom="0.59055118110236227" header="0.27559055118110237" footer="0.27559055118110237"/>
  <pageSetup paperSize="9" scale="37" fitToHeight="0" orientation="landscape" r:id="rId1"/>
  <headerFooter>
    <oddFooter>&amp;C&amp;P/&amp;N&amp;RCopyright (c) Tokyo Stock Exchange, Inc.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7A027-4C35-4934-91DB-78FA054F38D5}">
  <sheetPr>
    <pageSetUpPr fitToPage="1"/>
  </sheetPr>
  <dimension ref="A1:X391"/>
  <sheetViews>
    <sheetView showGridLines="0" view="pageBreakPreview" zoomScaleNormal="70" zoomScaleSheetLayoutView="100" workbookViewId="0">
      <pane ySplit="6" topLeftCell="A7" activePane="bottomLeft" state="frozen"/>
      <selection pane="bottomLeft"/>
    </sheetView>
  </sheetViews>
  <sheetFormatPr defaultRowHeight="17.649999999999999"/>
  <cols>
    <col min="1" max="1" width="13.125" style="3" bestFit="1" customWidth="1"/>
    <col min="2" max="2" width="10.75" style="3" bestFit="1" customWidth="1"/>
    <col min="3" max="4" width="27.625" style="3" customWidth="1"/>
    <col min="5" max="5" width="13.75" style="3" bestFit="1" customWidth="1"/>
    <col min="6" max="6" width="20.75" style="3" bestFit="1" customWidth="1"/>
    <col min="7" max="7" width="11.25" style="3" customWidth="1"/>
    <col min="8" max="8" width="8.75" style="3" bestFit="1" customWidth="1"/>
    <col min="9" max="9" width="11.75" style="3" bestFit="1" customWidth="1"/>
    <col min="10" max="10" width="12.625" style="3" bestFit="1" customWidth="1"/>
    <col min="11" max="11" width="16.25" style="3" customWidth="1"/>
    <col min="12" max="12" width="5.625" style="3" bestFit="1" customWidth="1"/>
    <col min="13" max="13" width="16.25" style="3" customWidth="1"/>
    <col min="14" max="14" width="5.625" style="3" bestFit="1" customWidth="1"/>
    <col min="15" max="15" width="16.25" style="3" customWidth="1"/>
    <col min="16" max="16" width="5.625" style="3" bestFit="1" customWidth="1"/>
    <col min="17" max="17" width="16.25" style="3" customWidth="1"/>
    <col min="18" max="18" width="5.625" style="3" bestFit="1" customWidth="1"/>
    <col min="19" max="19" width="23.875" style="3" bestFit="1" customWidth="1"/>
    <col min="20" max="20" width="16.25" style="40" customWidth="1"/>
    <col min="21" max="21" width="24.125" style="3" customWidth="1"/>
    <col min="22" max="22" width="19.875" style="3" bestFit="1" customWidth="1"/>
    <col min="23" max="23" width="25" style="3" bestFit="1" customWidth="1"/>
    <col min="24" max="24" width="13.125" style="3" bestFit="1" customWidth="1"/>
    <col min="25" max="16384" width="9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36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3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38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1254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2864.5</f>
        <v>2864.5</v>
      </c>
      <c r="L7" s="32" t="s">
        <v>1239</v>
      </c>
      <c r="M7" s="31">
        <f>3021</f>
        <v>3021</v>
      </c>
      <c r="N7" s="32" t="s">
        <v>859</v>
      </c>
      <c r="O7" s="31">
        <f>2853.5</f>
        <v>2853.5</v>
      </c>
      <c r="P7" s="32" t="s">
        <v>1239</v>
      </c>
      <c r="Q7" s="31">
        <f>3014</f>
        <v>3014</v>
      </c>
      <c r="R7" s="32" t="s">
        <v>755</v>
      </c>
      <c r="S7" s="33">
        <f>2941.25</f>
        <v>2941.25</v>
      </c>
      <c r="T7" s="39">
        <f>7382740</f>
        <v>7382740</v>
      </c>
      <c r="U7" s="30">
        <f>1559840</f>
        <v>1559840</v>
      </c>
      <c r="V7" s="30">
        <f>21613736352</f>
        <v>21613736352</v>
      </c>
      <c r="W7" s="30">
        <f>4555778212</f>
        <v>4555778212</v>
      </c>
      <c r="X7" s="34">
        <f>20</f>
        <v>20</v>
      </c>
    </row>
    <row r="8" spans="1:24">
      <c r="A8" s="25" t="s">
        <v>1254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2834</f>
        <v>2834</v>
      </c>
      <c r="L8" s="32" t="s">
        <v>1239</v>
      </c>
      <c r="M8" s="31">
        <f>2989.5</f>
        <v>2989.5</v>
      </c>
      <c r="N8" s="32" t="s">
        <v>859</v>
      </c>
      <c r="O8" s="31">
        <f>2822</f>
        <v>2822</v>
      </c>
      <c r="P8" s="32" t="s">
        <v>1239</v>
      </c>
      <c r="Q8" s="31">
        <f>2972.5</f>
        <v>2972.5</v>
      </c>
      <c r="R8" s="32" t="s">
        <v>755</v>
      </c>
      <c r="S8" s="33">
        <f>2910.23</f>
        <v>2910.23</v>
      </c>
      <c r="T8" s="39">
        <f>36038810</f>
        <v>36038810</v>
      </c>
      <c r="U8" s="30">
        <f>6828410</f>
        <v>6828410</v>
      </c>
      <c r="V8" s="30">
        <f>104670297031</f>
        <v>104670297031</v>
      </c>
      <c r="W8" s="30">
        <f>19700252066</f>
        <v>19700252066</v>
      </c>
      <c r="X8" s="34">
        <f>20</f>
        <v>20</v>
      </c>
    </row>
    <row r="9" spans="1:24">
      <c r="A9" s="25" t="s">
        <v>1254</v>
      </c>
      <c r="B9" s="25" t="s">
        <v>48</v>
      </c>
      <c r="C9" s="25" t="s">
        <v>49</v>
      </c>
      <c r="D9" s="25" t="s">
        <v>1218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2801</f>
        <v>2801</v>
      </c>
      <c r="L9" s="32" t="s">
        <v>1239</v>
      </c>
      <c r="M9" s="31">
        <f>2954</f>
        <v>2954</v>
      </c>
      <c r="N9" s="32" t="s">
        <v>859</v>
      </c>
      <c r="O9" s="31">
        <f>2789</f>
        <v>2789</v>
      </c>
      <c r="P9" s="32" t="s">
        <v>1239</v>
      </c>
      <c r="Q9" s="31">
        <f>2941</f>
        <v>2941</v>
      </c>
      <c r="R9" s="32" t="s">
        <v>755</v>
      </c>
      <c r="S9" s="33">
        <f>2876.1</f>
        <v>2876.1</v>
      </c>
      <c r="T9" s="39">
        <f>13681770</f>
        <v>13681770</v>
      </c>
      <c r="U9" s="30">
        <f>8565790</f>
        <v>8565790</v>
      </c>
      <c r="V9" s="30">
        <f>39426082865</f>
        <v>39426082865</v>
      </c>
      <c r="W9" s="30">
        <f>24726772245</f>
        <v>24726772245</v>
      </c>
      <c r="X9" s="34">
        <f>20</f>
        <v>20</v>
      </c>
    </row>
    <row r="10" spans="1:24">
      <c r="A10" s="25" t="s">
        <v>1254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41100</f>
        <v>41100</v>
      </c>
      <c r="L10" s="32" t="s">
        <v>1239</v>
      </c>
      <c r="M10" s="31">
        <f>44500</f>
        <v>44500</v>
      </c>
      <c r="N10" s="32" t="s">
        <v>1080</v>
      </c>
      <c r="O10" s="31">
        <f>41100</f>
        <v>41100</v>
      </c>
      <c r="P10" s="32" t="s">
        <v>1239</v>
      </c>
      <c r="Q10" s="31">
        <f>42480</f>
        <v>42480</v>
      </c>
      <c r="R10" s="32" t="s">
        <v>755</v>
      </c>
      <c r="S10" s="33">
        <f>42883.5</f>
        <v>42883.5</v>
      </c>
      <c r="T10" s="39">
        <f>2819</f>
        <v>2819</v>
      </c>
      <c r="U10" s="30" t="str">
        <f>"－"</f>
        <v>－</v>
      </c>
      <c r="V10" s="30">
        <f>121638410</f>
        <v>121638410</v>
      </c>
      <c r="W10" s="30" t="str">
        <f>"－"</f>
        <v>－</v>
      </c>
      <c r="X10" s="34">
        <f>20</f>
        <v>20</v>
      </c>
    </row>
    <row r="11" spans="1:24">
      <c r="A11" s="25" t="s">
        <v>1254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1432.5</f>
        <v>1432.5</v>
      </c>
      <c r="L11" s="32" t="s">
        <v>1239</v>
      </c>
      <c r="M11" s="31">
        <f>1518</f>
        <v>1518</v>
      </c>
      <c r="N11" s="32" t="s">
        <v>859</v>
      </c>
      <c r="O11" s="31">
        <f>1416.5</f>
        <v>1416.5</v>
      </c>
      <c r="P11" s="32" t="s">
        <v>1239</v>
      </c>
      <c r="Q11" s="31">
        <f>1518</f>
        <v>1518</v>
      </c>
      <c r="R11" s="32" t="s">
        <v>755</v>
      </c>
      <c r="S11" s="33">
        <f>1462.28</f>
        <v>1462.28</v>
      </c>
      <c r="T11" s="39">
        <f>869270</f>
        <v>869270</v>
      </c>
      <c r="U11" s="30">
        <f>662110</f>
        <v>662110</v>
      </c>
      <c r="V11" s="30">
        <f>1271001908</f>
        <v>1271001908</v>
      </c>
      <c r="W11" s="30">
        <f>966210423</f>
        <v>966210423</v>
      </c>
      <c r="X11" s="34">
        <f>20</f>
        <v>20</v>
      </c>
    </row>
    <row r="12" spans="1:24">
      <c r="A12" s="25" t="s">
        <v>1254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545</f>
        <v>545</v>
      </c>
      <c r="L12" s="32" t="s">
        <v>1239</v>
      </c>
      <c r="M12" s="31">
        <f>550</f>
        <v>550</v>
      </c>
      <c r="N12" s="32" t="s">
        <v>1211</v>
      </c>
      <c r="O12" s="31">
        <f>506.1</f>
        <v>506.1</v>
      </c>
      <c r="P12" s="32" t="s">
        <v>1206</v>
      </c>
      <c r="Q12" s="31">
        <f>545.3</f>
        <v>545.29999999999995</v>
      </c>
      <c r="R12" s="32" t="s">
        <v>859</v>
      </c>
      <c r="S12" s="33">
        <f>535.58</f>
        <v>535.58000000000004</v>
      </c>
      <c r="T12" s="39">
        <f>957000</f>
        <v>957000</v>
      </c>
      <c r="U12" s="30" t="str">
        <f>"－"</f>
        <v>－</v>
      </c>
      <c r="V12" s="30">
        <f>521049300</f>
        <v>521049300</v>
      </c>
      <c r="W12" s="30" t="str">
        <f>"－"</f>
        <v>－</v>
      </c>
      <c r="X12" s="34">
        <f>16</f>
        <v>16</v>
      </c>
    </row>
    <row r="13" spans="1:24">
      <c r="A13" s="25" t="s">
        <v>1254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37790</f>
        <v>37790</v>
      </c>
      <c r="L13" s="32" t="s">
        <v>1239</v>
      </c>
      <c r="M13" s="31">
        <f>40200</f>
        <v>40200</v>
      </c>
      <c r="N13" s="32" t="s">
        <v>1211</v>
      </c>
      <c r="O13" s="31">
        <f>37620</f>
        <v>37620</v>
      </c>
      <c r="P13" s="32" t="s">
        <v>1239</v>
      </c>
      <c r="Q13" s="31">
        <f>39680</f>
        <v>39680</v>
      </c>
      <c r="R13" s="32" t="s">
        <v>755</v>
      </c>
      <c r="S13" s="33">
        <f>39135.5</f>
        <v>39135.5</v>
      </c>
      <c r="T13" s="39">
        <f>1468526</f>
        <v>1468526</v>
      </c>
      <c r="U13" s="30">
        <f>467341</f>
        <v>467341</v>
      </c>
      <c r="V13" s="30">
        <f>57414841917</f>
        <v>57414841917</v>
      </c>
      <c r="W13" s="30">
        <f>18269498967</f>
        <v>18269498967</v>
      </c>
      <c r="X13" s="34">
        <f>20</f>
        <v>20</v>
      </c>
    </row>
    <row r="14" spans="1:24">
      <c r="A14" s="25" t="s">
        <v>1254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37900</f>
        <v>37900</v>
      </c>
      <c r="L14" s="32" t="s">
        <v>1239</v>
      </c>
      <c r="M14" s="31">
        <f>40350</f>
        <v>40350</v>
      </c>
      <c r="N14" s="32" t="s">
        <v>1211</v>
      </c>
      <c r="O14" s="31">
        <f>37750</f>
        <v>37750</v>
      </c>
      <c r="P14" s="32" t="s">
        <v>1239</v>
      </c>
      <c r="Q14" s="31">
        <f>39850</f>
        <v>39850</v>
      </c>
      <c r="R14" s="32" t="s">
        <v>755</v>
      </c>
      <c r="S14" s="33">
        <f>39283</f>
        <v>39283</v>
      </c>
      <c r="T14" s="39">
        <f>6440966</f>
        <v>6440966</v>
      </c>
      <c r="U14" s="30">
        <f>808193</f>
        <v>808193</v>
      </c>
      <c r="V14" s="30">
        <f>252944640848</f>
        <v>252944640848</v>
      </c>
      <c r="W14" s="30">
        <f>31859104248</f>
        <v>31859104248</v>
      </c>
      <c r="X14" s="34">
        <f>20</f>
        <v>20</v>
      </c>
    </row>
    <row r="15" spans="1:24">
      <c r="A15" s="25" t="s">
        <v>1254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</v>
      </c>
      <c r="K15" s="31">
        <f>7865</f>
        <v>7865</v>
      </c>
      <c r="L15" s="32" t="s">
        <v>1239</v>
      </c>
      <c r="M15" s="31">
        <f>8491</f>
        <v>8491</v>
      </c>
      <c r="N15" s="32" t="s">
        <v>1080</v>
      </c>
      <c r="O15" s="31">
        <f>7850</f>
        <v>7850</v>
      </c>
      <c r="P15" s="32" t="s">
        <v>1239</v>
      </c>
      <c r="Q15" s="31">
        <f>8075</f>
        <v>8075</v>
      </c>
      <c r="R15" s="32" t="s">
        <v>755</v>
      </c>
      <c r="S15" s="33">
        <f>8193.75</f>
        <v>8193.75</v>
      </c>
      <c r="T15" s="39">
        <f>15869</f>
        <v>15869</v>
      </c>
      <c r="U15" s="30" t="str">
        <f>"－"</f>
        <v>－</v>
      </c>
      <c r="V15" s="30">
        <f>129667950</f>
        <v>129667950</v>
      </c>
      <c r="W15" s="30" t="str">
        <f>"－"</f>
        <v>－</v>
      </c>
      <c r="X15" s="34">
        <f>20</f>
        <v>20</v>
      </c>
    </row>
    <row r="16" spans="1:24">
      <c r="A16" s="25" t="s">
        <v>1254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205.3</f>
        <v>205.3</v>
      </c>
      <c r="L16" s="32" t="s">
        <v>1239</v>
      </c>
      <c r="M16" s="31">
        <f>216</f>
        <v>216</v>
      </c>
      <c r="N16" s="32" t="s">
        <v>1080</v>
      </c>
      <c r="O16" s="31">
        <f>204</f>
        <v>204</v>
      </c>
      <c r="P16" s="32" t="s">
        <v>1240</v>
      </c>
      <c r="Q16" s="31">
        <f>212.8</f>
        <v>212.8</v>
      </c>
      <c r="R16" s="32" t="s">
        <v>755</v>
      </c>
      <c r="S16" s="33">
        <f>210.18</f>
        <v>210.18</v>
      </c>
      <c r="T16" s="39">
        <f>674800</f>
        <v>674800</v>
      </c>
      <c r="U16" s="30">
        <f>5700</f>
        <v>5700</v>
      </c>
      <c r="V16" s="30">
        <f>141474660</f>
        <v>141474660</v>
      </c>
      <c r="W16" s="30">
        <f>1186570</f>
        <v>1186570</v>
      </c>
      <c r="X16" s="34">
        <f>20</f>
        <v>20</v>
      </c>
    </row>
    <row r="17" spans="1:24">
      <c r="A17" s="25" t="s">
        <v>1254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43170</f>
        <v>43170</v>
      </c>
      <c r="L17" s="32" t="s">
        <v>1239</v>
      </c>
      <c r="M17" s="31">
        <f>45180</f>
        <v>45180</v>
      </c>
      <c r="N17" s="32" t="s">
        <v>1077</v>
      </c>
      <c r="O17" s="31">
        <f>42030</f>
        <v>42030</v>
      </c>
      <c r="P17" s="32" t="s">
        <v>851</v>
      </c>
      <c r="Q17" s="31">
        <f>43670</f>
        <v>43670</v>
      </c>
      <c r="R17" s="32" t="s">
        <v>755</v>
      </c>
      <c r="S17" s="33">
        <f>43755</f>
        <v>43755</v>
      </c>
      <c r="T17" s="39">
        <f>305956</f>
        <v>305956</v>
      </c>
      <c r="U17" s="30">
        <f>20</f>
        <v>20</v>
      </c>
      <c r="V17" s="30">
        <f>13399509640</f>
        <v>13399509640</v>
      </c>
      <c r="W17" s="30">
        <f>858200</f>
        <v>858200</v>
      </c>
      <c r="X17" s="34">
        <f>20</f>
        <v>20</v>
      </c>
    </row>
    <row r="18" spans="1:24">
      <c r="A18" s="25" t="s">
        <v>1254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11250</f>
        <v>11250</v>
      </c>
      <c r="L18" s="32" t="s">
        <v>1239</v>
      </c>
      <c r="M18" s="31">
        <f>11775</f>
        <v>11775</v>
      </c>
      <c r="N18" s="32" t="s">
        <v>1077</v>
      </c>
      <c r="O18" s="31">
        <f>10960</f>
        <v>10960</v>
      </c>
      <c r="P18" s="32" t="s">
        <v>851</v>
      </c>
      <c r="Q18" s="31">
        <f>11390</f>
        <v>11390</v>
      </c>
      <c r="R18" s="32" t="s">
        <v>755</v>
      </c>
      <c r="S18" s="33">
        <f>11405.75</f>
        <v>11405.75</v>
      </c>
      <c r="T18" s="39">
        <f>749170</f>
        <v>749170</v>
      </c>
      <c r="U18" s="30">
        <f>3570</f>
        <v>3570</v>
      </c>
      <c r="V18" s="30">
        <f>8534855450</f>
        <v>8534855450</v>
      </c>
      <c r="W18" s="30">
        <f>41020600</f>
        <v>41020600</v>
      </c>
      <c r="X18" s="34">
        <f>20</f>
        <v>20</v>
      </c>
    </row>
    <row r="19" spans="1:24">
      <c r="A19" s="25" t="s">
        <v>1254</v>
      </c>
      <c r="B19" s="25" t="s">
        <v>76</v>
      </c>
      <c r="C19" s="25" t="s">
        <v>77</v>
      </c>
      <c r="D19" s="25" t="s">
        <v>78</v>
      </c>
      <c r="E19" s="26" t="s">
        <v>43</v>
      </c>
      <c r="F19" s="27" t="s">
        <v>43</v>
      </c>
      <c r="G19" s="28" t="s">
        <v>43</v>
      </c>
      <c r="H19" s="29"/>
      <c r="I19" s="29" t="s">
        <v>44</v>
      </c>
      <c r="J19" s="30">
        <v>1</v>
      </c>
      <c r="K19" s="31">
        <f>3770</f>
        <v>3770</v>
      </c>
      <c r="L19" s="32" t="s">
        <v>1239</v>
      </c>
      <c r="M19" s="31">
        <f>4011</f>
        <v>4011</v>
      </c>
      <c r="N19" s="32" t="s">
        <v>1211</v>
      </c>
      <c r="O19" s="31">
        <f>3750</f>
        <v>3750</v>
      </c>
      <c r="P19" s="32" t="s">
        <v>1239</v>
      </c>
      <c r="Q19" s="31">
        <f>3964</f>
        <v>3964</v>
      </c>
      <c r="R19" s="32" t="s">
        <v>755</v>
      </c>
      <c r="S19" s="33">
        <f>3904.2</f>
        <v>3904.2</v>
      </c>
      <c r="T19" s="39">
        <f>18069015</f>
        <v>18069015</v>
      </c>
      <c r="U19" s="30">
        <f>8789673</f>
        <v>8789673</v>
      </c>
      <c r="V19" s="30">
        <f>70234506526</f>
        <v>70234506526</v>
      </c>
      <c r="W19" s="30">
        <f>34123636667</f>
        <v>34123636667</v>
      </c>
      <c r="X19" s="34">
        <f>20</f>
        <v>20</v>
      </c>
    </row>
    <row r="20" spans="1:24">
      <c r="A20" s="25" t="s">
        <v>1254</v>
      </c>
      <c r="B20" s="25" t="s">
        <v>79</v>
      </c>
      <c r="C20" s="25" t="s">
        <v>80</v>
      </c>
      <c r="D20" s="25" t="s">
        <v>1217</v>
      </c>
      <c r="E20" s="26" t="s">
        <v>43</v>
      </c>
      <c r="F20" s="27" t="s">
        <v>43</v>
      </c>
      <c r="G20" s="28" t="s">
        <v>43</v>
      </c>
      <c r="H20" s="29"/>
      <c r="I20" s="29" t="s">
        <v>44</v>
      </c>
      <c r="J20" s="30">
        <v>1</v>
      </c>
      <c r="K20" s="31">
        <f>37930</f>
        <v>37930</v>
      </c>
      <c r="L20" s="32" t="s">
        <v>1239</v>
      </c>
      <c r="M20" s="31">
        <f>40380</f>
        <v>40380</v>
      </c>
      <c r="N20" s="32" t="s">
        <v>1211</v>
      </c>
      <c r="O20" s="31">
        <f>37790</f>
        <v>37790</v>
      </c>
      <c r="P20" s="32" t="s">
        <v>1239</v>
      </c>
      <c r="Q20" s="31">
        <f>39900</f>
        <v>39900</v>
      </c>
      <c r="R20" s="32" t="s">
        <v>755</v>
      </c>
      <c r="S20" s="33">
        <f>39300</f>
        <v>39300</v>
      </c>
      <c r="T20" s="39">
        <f>1752039</f>
        <v>1752039</v>
      </c>
      <c r="U20" s="30">
        <f>860993</f>
        <v>860993</v>
      </c>
      <c r="V20" s="30">
        <f>69121363601</f>
        <v>69121363601</v>
      </c>
      <c r="W20" s="30">
        <f>34074148071</f>
        <v>34074148071</v>
      </c>
      <c r="X20" s="34">
        <f>20</f>
        <v>20</v>
      </c>
    </row>
    <row r="21" spans="1:24">
      <c r="A21" s="25" t="s">
        <v>1254</v>
      </c>
      <c r="B21" s="25" t="s">
        <v>1048</v>
      </c>
      <c r="C21" s="25" t="s">
        <v>1049</v>
      </c>
      <c r="D21" s="25" t="s">
        <v>1050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970</f>
        <v>970</v>
      </c>
      <c r="L21" s="32" t="s">
        <v>1239</v>
      </c>
      <c r="M21" s="31">
        <f>1007</f>
        <v>1007</v>
      </c>
      <c r="N21" s="32" t="s">
        <v>1211</v>
      </c>
      <c r="O21" s="31">
        <f>957</f>
        <v>957</v>
      </c>
      <c r="P21" s="32" t="s">
        <v>1075</v>
      </c>
      <c r="Q21" s="31">
        <f>979</f>
        <v>979</v>
      </c>
      <c r="R21" s="32" t="s">
        <v>755</v>
      </c>
      <c r="S21" s="33">
        <f>980.7</f>
        <v>980.7</v>
      </c>
      <c r="T21" s="39">
        <f>3278455</f>
        <v>3278455</v>
      </c>
      <c r="U21" s="30">
        <f>3131001</f>
        <v>3131001</v>
      </c>
      <c r="V21" s="30">
        <f>3160278863</f>
        <v>3160278863</v>
      </c>
      <c r="W21" s="30">
        <f>3015806779</f>
        <v>3015806779</v>
      </c>
      <c r="X21" s="34">
        <f>20</f>
        <v>20</v>
      </c>
    </row>
    <row r="22" spans="1:24">
      <c r="A22" s="25" t="s">
        <v>1254</v>
      </c>
      <c r="B22" s="25" t="s">
        <v>82</v>
      </c>
      <c r="C22" s="25" t="s">
        <v>939</v>
      </c>
      <c r="D22" s="25" t="s">
        <v>83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10</v>
      </c>
      <c r="K22" s="31">
        <f>1862</f>
        <v>1862</v>
      </c>
      <c r="L22" s="32" t="s">
        <v>1239</v>
      </c>
      <c r="M22" s="31">
        <f>1907</f>
        <v>1907</v>
      </c>
      <c r="N22" s="32" t="s">
        <v>1079</v>
      </c>
      <c r="O22" s="31">
        <f>1830</f>
        <v>1830</v>
      </c>
      <c r="P22" s="32" t="s">
        <v>850</v>
      </c>
      <c r="Q22" s="31">
        <f>1865.5</f>
        <v>1865.5</v>
      </c>
      <c r="R22" s="32" t="s">
        <v>755</v>
      </c>
      <c r="S22" s="33">
        <f>1860.98</f>
        <v>1860.98</v>
      </c>
      <c r="T22" s="39">
        <f>15631620</f>
        <v>15631620</v>
      </c>
      <c r="U22" s="30">
        <f>4730970</f>
        <v>4730970</v>
      </c>
      <c r="V22" s="30">
        <f>29050960811</f>
        <v>29050960811</v>
      </c>
      <c r="W22" s="30">
        <f>8769665456</f>
        <v>8769665456</v>
      </c>
      <c r="X22" s="34">
        <f>20</f>
        <v>20</v>
      </c>
    </row>
    <row r="23" spans="1:24">
      <c r="A23" s="25" t="s">
        <v>1254</v>
      </c>
      <c r="B23" s="25" t="s">
        <v>84</v>
      </c>
      <c r="C23" s="25" t="s">
        <v>85</v>
      </c>
      <c r="D23" s="25" t="s">
        <v>940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100</v>
      </c>
      <c r="K23" s="31">
        <f>1738</f>
        <v>1738</v>
      </c>
      <c r="L23" s="32" t="s">
        <v>1239</v>
      </c>
      <c r="M23" s="31">
        <f>1781</f>
        <v>1781</v>
      </c>
      <c r="N23" s="32" t="s">
        <v>1240</v>
      </c>
      <c r="O23" s="31">
        <f>1725.5</f>
        <v>1725.5</v>
      </c>
      <c r="P23" s="32" t="s">
        <v>850</v>
      </c>
      <c r="Q23" s="31">
        <f>1762.5</f>
        <v>1762.5</v>
      </c>
      <c r="R23" s="32" t="s">
        <v>755</v>
      </c>
      <c r="S23" s="33">
        <f>1754.93</f>
        <v>1754.93</v>
      </c>
      <c r="T23" s="39">
        <f>1434200</f>
        <v>1434200</v>
      </c>
      <c r="U23" s="30">
        <f>372600</f>
        <v>372600</v>
      </c>
      <c r="V23" s="30">
        <f>2517761246</f>
        <v>2517761246</v>
      </c>
      <c r="W23" s="30">
        <f>654562846</f>
        <v>654562846</v>
      </c>
      <c r="X23" s="34">
        <f>20</f>
        <v>20</v>
      </c>
    </row>
    <row r="24" spans="1:24">
      <c r="A24" s="25" t="s">
        <v>1254</v>
      </c>
      <c r="B24" s="25" t="s">
        <v>86</v>
      </c>
      <c r="C24" s="25" t="s">
        <v>87</v>
      </c>
      <c r="D24" s="25" t="s">
        <v>941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</v>
      </c>
      <c r="K24" s="31">
        <f>37650</f>
        <v>37650</v>
      </c>
      <c r="L24" s="32" t="s">
        <v>1239</v>
      </c>
      <c r="M24" s="31">
        <f>40070</f>
        <v>40070</v>
      </c>
      <c r="N24" s="32" t="s">
        <v>1211</v>
      </c>
      <c r="O24" s="31">
        <f>37490</f>
        <v>37490</v>
      </c>
      <c r="P24" s="32" t="s">
        <v>1239</v>
      </c>
      <c r="Q24" s="31">
        <f>39540</f>
        <v>39540</v>
      </c>
      <c r="R24" s="32" t="s">
        <v>755</v>
      </c>
      <c r="S24" s="33">
        <f>39005</f>
        <v>39005</v>
      </c>
      <c r="T24" s="39">
        <f>1078313</f>
        <v>1078313</v>
      </c>
      <c r="U24" s="30">
        <f>376694</f>
        <v>376694</v>
      </c>
      <c r="V24" s="30">
        <f>42014493007</f>
        <v>42014493007</v>
      </c>
      <c r="W24" s="30">
        <f>14672360297</f>
        <v>14672360297</v>
      </c>
      <c r="X24" s="34">
        <f>20</f>
        <v>20</v>
      </c>
    </row>
    <row r="25" spans="1:24">
      <c r="A25" s="25" t="s">
        <v>1254</v>
      </c>
      <c r="B25" s="25" t="s">
        <v>88</v>
      </c>
      <c r="C25" s="25" t="s">
        <v>89</v>
      </c>
      <c r="D25" s="25" t="s">
        <v>90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10</v>
      </c>
      <c r="K25" s="31">
        <f>2796.5</f>
        <v>2796.5</v>
      </c>
      <c r="L25" s="32" t="s">
        <v>1239</v>
      </c>
      <c r="M25" s="31">
        <f>2948</f>
        <v>2948</v>
      </c>
      <c r="N25" s="32" t="s">
        <v>859</v>
      </c>
      <c r="O25" s="31">
        <f>2783</f>
        <v>2783</v>
      </c>
      <c r="P25" s="32" t="s">
        <v>1239</v>
      </c>
      <c r="Q25" s="31">
        <f>2930.5</f>
        <v>2930.5</v>
      </c>
      <c r="R25" s="32" t="s">
        <v>755</v>
      </c>
      <c r="S25" s="33">
        <f>2870.05</f>
        <v>2870.05</v>
      </c>
      <c r="T25" s="39">
        <f>16936500</f>
        <v>16936500</v>
      </c>
      <c r="U25" s="30">
        <f>14734500</f>
        <v>14734500</v>
      </c>
      <c r="V25" s="30">
        <f>48378556604</f>
        <v>48378556604</v>
      </c>
      <c r="W25" s="30">
        <f>42064530154</f>
        <v>42064530154</v>
      </c>
      <c r="X25" s="34">
        <f>20</f>
        <v>20</v>
      </c>
    </row>
    <row r="26" spans="1:24">
      <c r="A26" s="25" t="s">
        <v>1254</v>
      </c>
      <c r="B26" s="25" t="s">
        <v>91</v>
      </c>
      <c r="C26" s="25" t="s">
        <v>92</v>
      </c>
      <c r="D26" s="25" t="s">
        <v>93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</v>
      </c>
      <c r="K26" s="31">
        <f>15915</f>
        <v>15915</v>
      </c>
      <c r="L26" s="32" t="s">
        <v>1239</v>
      </c>
      <c r="M26" s="31">
        <f>16655</f>
        <v>16655</v>
      </c>
      <c r="N26" s="32" t="s">
        <v>1211</v>
      </c>
      <c r="O26" s="31">
        <f>15915</f>
        <v>15915</v>
      </c>
      <c r="P26" s="32" t="s">
        <v>1239</v>
      </c>
      <c r="Q26" s="31">
        <f>16525</f>
        <v>16525</v>
      </c>
      <c r="R26" s="32" t="s">
        <v>755</v>
      </c>
      <c r="S26" s="33">
        <f>16399.25</f>
        <v>16399.25</v>
      </c>
      <c r="T26" s="39">
        <f>630</f>
        <v>630</v>
      </c>
      <c r="U26" s="30" t="str">
        <f>"－"</f>
        <v>－</v>
      </c>
      <c r="V26" s="30">
        <f>10309460</f>
        <v>10309460</v>
      </c>
      <c r="W26" s="30" t="str">
        <f>"－"</f>
        <v>－</v>
      </c>
      <c r="X26" s="34">
        <f>20</f>
        <v>20</v>
      </c>
    </row>
    <row r="27" spans="1:24">
      <c r="A27" s="25" t="s">
        <v>1254</v>
      </c>
      <c r="B27" s="25" t="s">
        <v>94</v>
      </c>
      <c r="C27" s="25" t="s">
        <v>95</v>
      </c>
      <c r="D27" s="25" t="s">
        <v>96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10</v>
      </c>
      <c r="K27" s="31">
        <f>297.4</f>
        <v>297.39999999999998</v>
      </c>
      <c r="L27" s="32" t="s">
        <v>1239</v>
      </c>
      <c r="M27" s="31">
        <f>300</f>
        <v>300</v>
      </c>
      <c r="N27" s="32" t="s">
        <v>1239</v>
      </c>
      <c r="O27" s="31">
        <f>266.9</f>
        <v>266.89999999999998</v>
      </c>
      <c r="P27" s="32" t="s">
        <v>859</v>
      </c>
      <c r="Q27" s="31">
        <f>269.5</f>
        <v>269.5</v>
      </c>
      <c r="R27" s="32" t="s">
        <v>755</v>
      </c>
      <c r="S27" s="33">
        <f>282.08</f>
        <v>282.08</v>
      </c>
      <c r="T27" s="39">
        <f>36292390</f>
        <v>36292390</v>
      </c>
      <c r="U27" s="30">
        <f>820</f>
        <v>820</v>
      </c>
      <c r="V27" s="30">
        <f>10229614161</f>
        <v>10229614161</v>
      </c>
      <c r="W27" s="30">
        <f>227120</f>
        <v>227120</v>
      </c>
      <c r="X27" s="34">
        <f>20</f>
        <v>20</v>
      </c>
    </row>
    <row r="28" spans="1:24">
      <c r="A28" s="25" t="s">
        <v>1254</v>
      </c>
      <c r="B28" s="25" t="s">
        <v>97</v>
      </c>
      <c r="C28" s="25" t="s">
        <v>98</v>
      </c>
      <c r="D28" s="25" t="s">
        <v>942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</v>
      </c>
      <c r="K28" s="31">
        <f>12370</f>
        <v>12370</v>
      </c>
      <c r="L28" s="32" t="s">
        <v>1239</v>
      </c>
      <c r="M28" s="31">
        <f>12490</f>
        <v>12490</v>
      </c>
      <c r="N28" s="32" t="s">
        <v>1239</v>
      </c>
      <c r="O28" s="31">
        <f>10895</f>
        <v>10895</v>
      </c>
      <c r="P28" s="32" t="s">
        <v>1211</v>
      </c>
      <c r="Q28" s="31">
        <f>11160</f>
        <v>11160</v>
      </c>
      <c r="R28" s="32" t="s">
        <v>755</v>
      </c>
      <c r="S28" s="33">
        <f>11515.25</f>
        <v>11515.25</v>
      </c>
      <c r="T28" s="39">
        <f>27587974</f>
        <v>27587974</v>
      </c>
      <c r="U28" s="30">
        <f>452923</f>
        <v>452923</v>
      </c>
      <c r="V28" s="30">
        <f>318126084819</f>
        <v>318126084819</v>
      </c>
      <c r="W28" s="30">
        <f>5222414249</f>
        <v>5222414249</v>
      </c>
      <c r="X28" s="34">
        <f>20</f>
        <v>20</v>
      </c>
    </row>
    <row r="29" spans="1:24">
      <c r="A29" s="25" t="s">
        <v>1254</v>
      </c>
      <c r="B29" s="25" t="s">
        <v>99</v>
      </c>
      <c r="C29" s="25" t="s">
        <v>100</v>
      </c>
      <c r="D29" s="25" t="s">
        <v>101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42790</f>
        <v>42790</v>
      </c>
      <c r="L29" s="32" t="s">
        <v>1239</v>
      </c>
      <c r="M29" s="31">
        <f>48440</f>
        <v>48440</v>
      </c>
      <c r="N29" s="32" t="s">
        <v>1211</v>
      </c>
      <c r="O29" s="31">
        <f>42520</f>
        <v>42520</v>
      </c>
      <c r="P29" s="32" t="s">
        <v>1239</v>
      </c>
      <c r="Q29" s="31">
        <f>47100</f>
        <v>47100</v>
      </c>
      <c r="R29" s="32" t="s">
        <v>755</v>
      </c>
      <c r="S29" s="33">
        <f>45905</f>
        <v>45905</v>
      </c>
      <c r="T29" s="39">
        <f>263756</f>
        <v>263756</v>
      </c>
      <c r="U29" s="30">
        <f>17</f>
        <v>17</v>
      </c>
      <c r="V29" s="30">
        <f>12101182410</f>
        <v>12101182410</v>
      </c>
      <c r="W29" s="30">
        <f>772810</f>
        <v>772810</v>
      </c>
      <c r="X29" s="34">
        <f>20</f>
        <v>20</v>
      </c>
    </row>
    <row r="30" spans="1:24">
      <c r="A30" s="25" t="s">
        <v>1254</v>
      </c>
      <c r="B30" s="25" t="s">
        <v>102</v>
      </c>
      <c r="C30" s="25" t="s">
        <v>103</v>
      </c>
      <c r="D30" s="25" t="s">
        <v>104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10</v>
      </c>
      <c r="K30" s="31">
        <f>304.1</f>
        <v>304.10000000000002</v>
      </c>
      <c r="L30" s="32" t="s">
        <v>1239</v>
      </c>
      <c r="M30" s="31">
        <f>306.6</f>
        <v>306.60000000000002</v>
      </c>
      <c r="N30" s="32" t="s">
        <v>1239</v>
      </c>
      <c r="O30" s="31">
        <f>267.6</f>
        <v>267.60000000000002</v>
      </c>
      <c r="P30" s="32" t="s">
        <v>1211</v>
      </c>
      <c r="Q30" s="31">
        <f>274.2</f>
        <v>274.2</v>
      </c>
      <c r="R30" s="32" t="s">
        <v>755</v>
      </c>
      <c r="S30" s="33">
        <f>282.76</f>
        <v>282.76</v>
      </c>
      <c r="T30" s="39">
        <f>840704720</f>
        <v>840704720</v>
      </c>
      <c r="U30" s="30">
        <f>5782240</f>
        <v>5782240</v>
      </c>
      <c r="V30" s="30">
        <f>238176783526</f>
        <v>238176783526</v>
      </c>
      <c r="W30" s="30">
        <f>1631205597</f>
        <v>1631205597</v>
      </c>
      <c r="X30" s="34">
        <f>20</f>
        <v>20</v>
      </c>
    </row>
    <row r="31" spans="1:24">
      <c r="A31" s="25" t="s">
        <v>1254</v>
      </c>
      <c r="B31" s="25" t="s">
        <v>105</v>
      </c>
      <c r="C31" s="25" t="s">
        <v>106</v>
      </c>
      <c r="D31" s="25" t="s">
        <v>107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</v>
      </c>
      <c r="K31" s="31">
        <f>2498</f>
        <v>2498</v>
      </c>
      <c r="L31" s="32" t="s">
        <v>1239</v>
      </c>
      <c r="M31" s="31">
        <f>2633</f>
        <v>2633</v>
      </c>
      <c r="N31" s="32" t="s">
        <v>859</v>
      </c>
      <c r="O31" s="31">
        <f>2485</f>
        <v>2485</v>
      </c>
      <c r="P31" s="32" t="s">
        <v>1239</v>
      </c>
      <c r="Q31" s="31">
        <f>2626</f>
        <v>2626</v>
      </c>
      <c r="R31" s="32" t="s">
        <v>755</v>
      </c>
      <c r="S31" s="33">
        <f>2563.9</f>
        <v>2563.9</v>
      </c>
      <c r="T31" s="39">
        <f>203158</f>
        <v>203158</v>
      </c>
      <c r="U31" s="30">
        <f>80000</f>
        <v>80000</v>
      </c>
      <c r="V31" s="30">
        <f>523008912</f>
        <v>523008912</v>
      </c>
      <c r="W31" s="30">
        <f>205353200</f>
        <v>205353200</v>
      </c>
      <c r="X31" s="34">
        <f>20</f>
        <v>20</v>
      </c>
    </row>
    <row r="32" spans="1:24">
      <c r="A32" s="25" t="s">
        <v>1254</v>
      </c>
      <c r="B32" s="25" t="s">
        <v>108</v>
      </c>
      <c r="C32" s="25" t="s">
        <v>876</v>
      </c>
      <c r="D32" s="25" t="s">
        <v>877</v>
      </c>
      <c r="E32" s="26" t="s">
        <v>43</v>
      </c>
      <c r="F32" s="27" t="s">
        <v>43</v>
      </c>
      <c r="G32" s="28" t="s">
        <v>43</v>
      </c>
      <c r="H32" s="29"/>
      <c r="I32" s="29" t="s">
        <v>44</v>
      </c>
      <c r="J32" s="30">
        <v>1</v>
      </c>
      <c r="K32" s="31">
        <f>34920</f>
        <v>34920</v>
      </c>
      <c r="L32" s="32" t="s">
        <v>1239</v>
      </c>
      <c r="M32" s="31">
        <f>39440</f>
        <v>39440</v>
      </c>
      <c r="N32" s="32" t="s">
        <v>1211</v>
      </c>
      <c r="O32" s="31">
        <f>34640</f>
        <v>34640</v>
      </c>
      <c r="P32" s="32" t="s">
        <v>1239</v>
      </c>
      <c r="Q32" s="31">
        <f>38450</f>
        <v>38450</v>
      </c>
      <c r="R32" s="32" t="s">
        <v>755</v>
      </c>
      <c r="S32" s="33">
        <f>37430.5</f>
        <v>37430.5</v>
      </c>
      <c r="T32" s="39">
        <f>984821</f>
        <v>984821</v>
      </c>
      <c r="U32" s="30">
        <f>24236</f>
        <v>24236</v>
      </c>
      <c r="V32" s="30">
        <f>36657332509</f>
        <v>36657332509</v>
      </c>
      <c r="W32" s="30">
        <f>907871999</f>
        <v>907871999</v>
      </c>
      <c r="X32" s="34">
        <f>20</f>
        <v>20</v>
      </c>
    </row>
    <row r="33" spans="1:24">
      <c r="A33" s="25" t="s">
        <v>1254</v>
      </c>
      <c r="B33" s="25" t="s">
        <v>109</v>
      </c>
      <c r="C33" s="25" t="s">
        <v>878</v>
      </c>
      <c r="D33" s="25" t="s">
        <v>879</v>
      </c>
      <c r="E33" s="26" t="s">
        <v>43</v>
      </c>
      <c r="F33" s="27" t="s">
        <v>43</v>
      </c>
      <c r="G33" s="28" t="s">
        <v>43</v>
      </c>
      <c r="H33" s="29"/>
      <c r="I33" s="29" t="s">
        <v>44</v>
      </c>
      <c r="J33" s="30">
        <v>1</v>
      </c>
      <c r="K33" s="31">
        <f>311</f>
        <v>311</v>
      </c>
      <c r="L33" s="32" t="s">
        <v>1239</v>
      </c>
      <c r="M33" s="31">
        <f>314</f>
        <v>314</v>
      </c>
      <c r="N33" s="32" t="s">
        <v>1239</v>
      </c>
      <c r="O33" s="31">
        <f>274</f>
        <v>274</v>
      </c>
      <c r="P33" s="32" t="s">
        <v>1211</v>
      </c>
      <c r="Q33" s="31">
        <f>281</f>
        <v>281</v>
      </c>
      <c r="R33" s="32" t="s">
        <v>755</v>
      </c>
      <c r="S33" s="33">
        <f>289.7</f>
        <v>289.7</v>
      </c>
      <c r="T33" s="39">
        <f>51343320</f>
        <v>51343320</v>
      </c>
      <c r="U33" s="30">
        <f>304122</f>
        <v>304122</v>
      </c>
      <c r="V33" s="30">
        <f>14904815116</f>
        <v>14904815116</v>
      </c>
      <c r="W33" s="30">
        <f>87740171</f>
        <v>87740171</v>
      </c>
      <c r="X33" s="34">
        <f>20</f>
        <v>20</v>
      </c>
    </row>
    <row r="34" spans="1:24">
      <c r="A34" s="25" t="s">
        <v>1254</v>
      </c>
      <c r="B34" s="25" t="s">
        <v>110</v>
      </c>
      <c r="C34" s="25" t="s">
        <v>880</v>
      </c>
      <c r="D34" s="25" t="s">
        <v>881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33910</f>
        <v>33910</v>
      </c>
      <c r="L34" s="32" t="s">
        <v>1239</v>
      </c>
      <c r="M34" s="31">
        <f>37600</f>
        <v>37600</v>
      </c>
      <c r="N34" s="32" t="s">
        <v>859</v>
      </c>
      <c r="O34" s="31">
        <f>33620</f>
        <v>33620</v>
      </c>
      <c r="P34" s="32" t="s">
        <v>1239</v>
      </c>
      <c r="Q34" s="31">
        <f>37250</f>
        <v>37250</v>
      </c>
      <c r="R34" s="32" t="s">
        <v>755</v>
      </c>
      <c r="S34" s="33">
        <f>35683</f>
        <v>35683</v>
      </c>
      <c r="T34" s="39">
        <f>118706</f>
        <v>118706</v>
      </c>
      <c r="U34" s="30">
        <f>5219</f>
        <v>5219</v>
      </c>
      <c r="V34" s="30">
        <f>4230977715</f>
        <v>4230977715</v>
      </c>
      <c r="W34" s="30">
        <f>187755645</f>
        <v>187755645</v>
      </c>
      <c r="X34" s="34">
        <f>20</f>
        <v>20</v>
      </c>
    </row>
    <row r="35" spans="1:24">
      <c r="A35" s="25" t="s">
        <v>1254</v>
      </c>
      <c r="B35" s="25" t="s">
        <v>111</v>
      </c>
      <c r="C35" s="25" t="s">
        <v>882</v>
      </c>
      <c r="D35" s="25" t="s">
        <v>883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433</f>
        <v>433</v>
      </c>
      <c r="L35" s="32" t="s">
        <v>1239</v>
      </c>
      <c r="M35" s="31">
        <f>436</f>
        <v>436</v>
      </c>
      <c r="N35" s="32" t="s">
        <v>1239</v>
      </c>
      <c r="O35" s="31">
        <f>388</f>
        <v>388</v>
      </c>
      <c r="P35" s="32" t="s">
        <v>859</v>
      </c>
      <c r="Q35" s="31">
        <f>391</f>
        <v>391</v>
      </c>
      <c r="R35" s="32" t="s">
        <v>755</v>
      </c>
      <c r="S35" s="33">
        <f>410.1</f>
        <v>410.1</v>
      </c>
      <c r="T35" s="39">
        <f>3492108</f>
        <v>3492108</v>
      </c>
      <c r="U35" s="30">
        <f>3027</f>
        <v>3027</v>
      </c>
      <c r="V35" s="30">
        <f>1436271036</f>
        <v>1436271036</v>
      </c>
      <c r="W35" s="30">
        <f>1222953</f>
        <v>1222953</v>
      </c>
      <c r="X35" s="34">
        <f>20</f>
        <v>20</v>
      </c>
    </row>
    <row r="36" spans="1:24">
      <c r="A36" s="25" t="s">
        <v>1254</v>
      </c>
      <c r="B36" s="25" t="s">
        <v>112</v>
      </c>
      <c r="C36" s="25" t="s">
        <v>113</v>
      </c>
      <c r="D36" s="25" t="s">
        <v>114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36620</f>
        <v>36620</v>
      </c>
      <c r="L36" s="32" t="s">
        <v>1239</v>
      </c>
      <c r="M36" s="31">
        <f>38940</f>
        <v>38940</v>
      </c>
      <c r="N36" s="32" t="s">
        <v>1211</v>
      </c>
      <c r="O36" s="31">
        <f>36470</f>
        <v>36470</v>
      </c>
      <c r="P36" s="32" t="s">
        <v>1239</v>
      </c>
      <c r="Q36" s="31">
        <f>38490</f>
        <v>38490</v>
      </c>
      <c r="R36" s="32" t="s">
        <v>755</v>
      </c>
      <c r="S36" s="33">
        <f>37906</f>
        <v>37906</v>
      </c>
      <c r="T36" s="39">
        <f>475400</f>
        <v>475400</v>
      </c>
      <c r="U36" s="30">
        <f>237791</f>
        <v>237791</v>
      </c>
      <c r="V36" s="30">
        <f>18054631273</f>
        <v>18054631273</v>
      </c>
      <c r="W36" s="30">
        <f>9116820863</f>
        <v>9116820863</v>
      </c>
      <c r="X36" s="34">
        <f>20</f>
        <v>20</v>
      </c>
    </row>
    <row r="37" spans="1:24">
      <c r="A37" s="25" t="s">
        <v>1254</v>
      </c>
      <c r="B37" s="25" t="s">
        <v>115</v>
      </c>
      <c r="C37" s="25" t="s">
        <v>116</v>
      </c>
      <c r="D37" s="25" t="s">
        <v>117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36540</f>
        <v>36540</v>
      </c>
      <c r="L37" s="32" t="s">
        <v>1239</v>
      </c>
      <c r="M37" s="31">
        <f>38900</f>
        <v>38900</v>
      </c>
      <c r="N37" s="32" t="s">
        <v>1211</v>
      </c>
      <c r="O37" s="31">
        <f>36470</f>
        <v>36470</v>
      </c>
      <c r="P37" s="32" t="s">
        <v>1239</v>
      </c>
      <c r="Q37" s="31">
        <f>38440</f>
        <v>38440</v>
      </c>
      <c r="R37" s="32" t="s">
        <v>755</v>
      </c>
      <c r="S37" s="33">
        <f>37898</f>
        <v>37898</v>
      </c>
      <c r="T37" s="39">
        <f>106467</f>
        <v>106467</v>
      </c>
      <c r="U37" s="30">
        <f>51416</f>
        <v>51416</v>
      </c>
      <c r="V37" s="30">
        <f>4011760900</f>
        <v>4011760900</v>
      </c>
      <c r="W37" s="30">
        <f>1943513880</f>
        <v>1943513880</v>
      </c>
      <c r="X37" s="34">
        <f>20</f>
        <v>20</v>
      </c>
    </row>
    <row r="38" spans="1:24">
      <c r="A38" s="25" t="s">
        <v>1254</v>
      </c>
      <c r="B38" s="25" t="s">
        <v>118</v>
      </c>
      <c r="C38" s="25" t="s">
        <v>119</v>
      </c>
      <c r="D38" s="25" t="s">
        <v>120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10</v>
      </c>
      <c r="K38" s="31">
        <f>1762.5</f>
        <v>1762.5</v>
      </c>
      <c r="L38" s="32" t="s">
        <v>1239</v>
      </c>
      <c r="M38" s="31">
        <f>1804</f>
        <v>1804</v>
      </c>
      <c r="N38" s="32" t="s">
        <v>1079</v>
      </c>
      <c r="O38" s="31">
        <f>1755</f>
        <v>1755</v>
      </c>
      <c r="P38" s="32" t="s">
        <v>850</v>
      </c>
      <c r="Q38" s="31">
        <f>1789.5</f>
        <v>1789.5</v>
      </c>
      <c r="R38" s="32" t="s">
        <v>755</v>
      </c>
      <c r="S38" s="33">
        <f>1779.55</f>
        <v>1779.55</v>
      </c>
      <c r="T38" s="39">
        <f>4978300</f>
        <v>4978300</v>
      </c>
      <c r="U38" s="30">
        <f>3488620</f>
        <v>3488620</v>
      </c>
      <c r="V38" s="30">
        <f>8860150105</f>
        <v>8860150105</v>
      </c>
      <c r="W38" s="30">
        <f>6207712865</f>
        <v>6207712865</v>
      </c>
      <c r="X38" s="34">
        <f>20</f>
        <v>20</v>
      </c>
    </row>
    <row r="39" spans="1:24">
      <c r="A39" s="25" t="s">
        <v>1254</v>
      </c>
      <c r="B39" s="25" t="s">
        <v>121</v>
      </c>
      <c r="C39" s="25" t="s">
        <v>122</v>
      </c>
      <c r="D39" s="25" t="s">
        <v>123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</v>
      </c>
      <c r="K39" s="31">
        <f>2190</f>
        <v>2190</v>
      </c>
      <c r="L39" s="32" t="s">
        <v>1239</v>
      </c>
      <c r="M39" s="31">
        <f>2259</f>
        <v>2259</v>
      </c>
      <c r="N39" s="32" t="s">
        <v>1081</v>
      </c>
      <c r="O39" s="31">
        <f>2177</f>
        <v>2177</v>
      </c>
      <c r="P39" s="32" t="s">
        <v>1239</v>
      </c>
      <c r="Q39" s="31">
        <f>2231</f>
        <v>2231</v>
      </c>
      <c r="R39" s="32" t="s">
        <v>755</v>
      </c>
      <c r="S39" s="33">
        <f>2206.7</f>
        <v>2206.6999999999998</v>
      </c>
      <c r="T39" s="39">
        <f>11453</f>
        <v>11453</v>
      </c>
      <c r="U39" s="30">
        <f>1</f>
        <v>1</v>
      </c>
      <c r="V39" s="30">
        <f>25218216</f>
        <v>25218216</v>
      </c>
      <c r="W39" s="30">
        <f>2196</f>
        <v>2196</v>
      </c>
      <c r="X39" s="34">
        <f>20</f>
        <v>20</v>
      </c>
    </row>
    <row r="40" spans="1:24">
      <c r="A40" s="25" t="s">
        <v>1254</v>
      </c>
      <c r="B40" s="25" t="s">
        <v>1082</v>
      </c>
      <c r="C40" s="25" t="s">
        <v>1083</v>
      </c>
      <c r="D40" s="25" t="s">
        <v>1084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</v>
      </c>
      <c r="K40" s="31">
        <f>1965</f>
        <v>1965</v>
      </c>
      <c r="L40" s="32" t="s">
        <v>1239</v>
      </c>
      <c r="M40" s="31">
        <f>2015</f>
        <v>2015</v>
      </c>
      <c r="N40" s="32" t="s">
        <v>851</v>
      </c>
      <c r="O40" s="31">
        <f>1964</f>
        <v>1964</v>
      </c>
      <c r="P40" s="32" t="s">
        <v>1239</v>
      </c>
      <c r="Q40" s="31">
        <f>1995</f>
        <v>1995</v>
      </c>
      <c r="R40" s="32" t="s">
        <v>755</v>
      </c>
      <c r="S40" s="33">
        <f>1997.4</f>
        <v>1997.4</v>
      </c>
      <c r="T40" s="39">
        <f>12665</f>
        <v>12665</v>
      </c>
      <c r="U40" s="30" t="str">
        <f>"－"</f>
        <v>－</v>
      </c>
      <c r="V40" s="30">
        <f>25332710</f>
        <v>25332710</v>
      </c>
      <c r="W40" s="30" t="str">
        <f>"－"</f>
        <v>－</v>
      </c>
      <c r="X40" s="34">
        <f>20</f>
        <v>20</v>
      </c>
    </row>
    <row r="41" spans="1:24">
      <c r="A41" s="25" t="s">
        <v>1254</v>
      </c>
      <c r="B41" s="25" t="s">
        <v>124</v>
      </c>
      <c r="C41" s="25" t="s">
        <v>884</v>
      </c>
      <c r="D41" s="25" t="s">
        <v>885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2554</f>
        <v>2554</v>
      </c>
      <c r="L41" s="32" t="s">
        <v>1239</v>
      </c>
      <c r="M41" s="31">
        <f>2562</f>
        <v>2562</v>
      </c>
      <c r="N41" s="32" t="s">
        <v>1239</v>
      </c>
      <c r="O41" s="31">
        <f>2396</f>
        <v>2396</v>
      </c>
      <c r="P41" s="32" t="s">
        <v>1211</v>
      </c>
      <c r="Q41" s="31">
        <f>2425</f>
        <v>2425</v>
      </c>
      <c r="R41" s="32" t="s">
        <v>755</v>
      </c>
      <c r="S41" s="33">
        <f>2462.6</f>
        <v>2462.6</v>
      </c>
      <c r="T41" s="39">
        <f>1191933</f>
        <v>1191933</v>
      </c>
      <c r="U41" s="30">
        <f>85292</f>
        <v>85292</v>
      </c>
      <c r="V41" s="30">
        <f>2927989596</f>
        <v>2927989596</v>
      </c>
      <c r="W41" s="30">
        <f>205452759</f>
        <v>205452759</v>
      </c>
      <c r="X41" s="34">
        <f>20</f>
        <v>20</v>
      </c>
    </row>
    <row r="42" spans="1:24">
      <c r="A42" s="25" t="s">
        <v>1254</v>
      </c>
      <c r="B42" s="25" t="s">
        <v>125</v>
      </c>
      <c r="C42" s="25" t="s">
        <v>886</v>
      </c>
      <c r="D42" s="25" t="s">
        <v>887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2890</f>
        <v>2890</v>
      </c>
      <c r="L42" s="32" t="s">
        <v>1239</v>
      </c>
      <c r="M42" s="31">
        <f>2900</f>
        <v>2900</v>
      </c>
      <c r="N42" s="32" t="s">
        <v>1239</v>
      </c>
      <c r="O42" s="31">
        <f>2740</f>
        <v>2740</v>
      </c>
      <c r="P42" s="32" t="s">
        <v>859</v>
      </c>
      <c r="Q42" s="31">
        <f>2753</f>
        <v>2753</v>
      </c>
      <c r="R42" s="32" t="s">
        <v>755</v>
      </c>
      <c r="S42" s="33">
        <f>2816.2</f>
        <v>2816.2</v>
      </c>
      <c r="T42" s="39">
        <f>353442</f>
        <v>353442</v>
      </c>
      <c r="U42" s="30">
        <f>182239</f>
        <v>182239</v>
      </c>
      <c r="V42" s="30">
        <f>982747196</f>
        <v>982747196</v>
      </c>
      <c r="W42" s="30">
        <f>500175017</f>
        <v>500175017</v>
      </c>
      <c r="X42" s="34">
        <f>20</f>
        <v>20</v>
      </c>
    </row>
    <row r="43" spans="1:24">
      <c r="A43" s="25" t="s">
        <v>1254</v>
      </c>
      <c r="B43" s="25" t="s">
        <v>126</v>
      </c>
      <c r="C43" s="25" t="s">
        <v>127</v>
      </c>
      <c r="D43" s="25" t="s">
        <v>128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26845</f>
        <v>26845</v>
      </c>
      <c r="L43" s="32" t="s">
        <v>1239</v>
      </c>
      <c r="M43" s="31">
        <f>30330</f>
        <v>30330</v>
      </c>
      <c r="N43" s="32" t="s">
        <v>1211</v>
      </c>
      <c r="O43" s="31">
        <f>26625</f>
        <v>26625</v>
      </c>
      <c r="P43" s="32" t="s">
        <v>1239</v>
      </c>
      <c r="Q43" s="31">
        <f>29590</f>
        <v>29590</v>
      </c>
      <c r="R43" s="32" t="s">
        <v>755</v>
      </c>
      <c r="S43" s="33">
        <f>28786.5</f>
        <v>28786.5</v>
      </c>
      <c r="T43" s="39">
        <f>6804861</f>
        <v>6804861</v>
      </c>
      <c r="U43" s="30">
        <f>8498</f>
        <v>8498</v>
      </c>
      <c r="V43" s="30">
        <f>195285075088</f>
        <v>195285075088</v>
      </c>
      <c r="W43" s="30">
        <f>248191028</f>
        <v>248191028</v>
      </c>
      <c r="X43" s="34">
        <f>20</f>
        <v>20</v>
      </c>
    </row>
    <row r="44" spans="1:24">
      <c r="A44" s="25" t="s">
        <v>1254</v>
      </c>
      <c r="B44" s="25" t="s">
        <v>129</v>
      </c>
      <c r="C44" s="25" t="s">
        <v>130</v>
      </c>
      <c r="D44" s="25" t="s">
        <v>131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499</f>
        <v>499</v>
      </c>
      <c r="L44" s="32" t="s">
        <v>1239</v>
      </c>
      <c r="M44" s="31">
        <f>503</f>
        <v>503</v>
      </c>
      <c r="N44" s="32" t="s">
        <v>1239</v>
      </c>
      <c r="O44" s="31">
        <f>439</f>
        <v>439</v>
      </c>
      <c r="P44" s="32" t="s">
        <v>1211</v>
      </c>
      <c r="Q44" s="31">
        <f>450</f>
        <v>450</v>
      </c>
      <c r="R44" s="32" t="s">
        <v>755</v>
      </c>
      <c r="S44" s="33">
        <f>463.25</f>
        <v>463.25</v>
      </c>
      <c r="T44" s="39">
        <f>198103216</f>
        <v>198103216</v>
      </c>
      <c r="U44" s="30">
        <f>2426770</f>
        <v>2426770</v>
      </c>
      <c r="V44" s="30">
        <f>91853935781</f>
        <v>91853935781</v>
      </c>
      <c r="W44" s="30">
        <f>1125178091</f>
        <v>1125178091</v>
      </c>
      <c r="X44" s="34">
        <f>20</f>
        <v>20</v>
      </c>
    </row>
    <row r="45" spans="1:24">
      <c r="A45" s="25" t="s">
        <v>1254</v>
      </c>
      <c r="B45" s="25" t="s">
        <v>132</v>
      </c>
      <c r="C45" s="25" t="s">
        <v>888</v>
      </c>
      <c r="D45" s="25" t="s">
        <v>889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556</f>
        <v>556</v>
      </c>
      <c r="L45" s="32" t="s">
        <v>1239</v>
      </c>
      <c r="M45" s="31">
        <f>557</f>
        <v>557</v>
      </c>
      <c r="N45" s="32" t="s">
        <v>1239</v>
      </c>
      <c r="O45" s="31">
        <f>495</f>
        <v>495</v>
      </c>
      <c r="P45" s="32" t="s">
        <v>755</v>
      </c>
      <c r="Q45" s="31">
        <f>502</f>
        <v>502</v>
      </c>
      <c r="R45" s="32" t="s">
        <v>755</v>
      </c>
      <c r="S45" s="33">
        <f>525.6</f>
        <v>525.6</v>
      </c>
      <c r="T45" s="39">
        <f>69693</f>
        <v>69693</v>
      </c>
      <c r="U45" s="30" t="str">
        <f>"－"</f>
        <v>－</v>
      </c>
      <c r="V45" s="30">
        <f>36483856</f>
        <v>36483856</v>
      </c>
      <c r="W45" s="30" t="str">
        <f>"－"</f>
        <v>－</v>
      </c>
      <c r="X45" s="34">
        <f>20</f>
        <v>20</v>
      </c>
    </row>
    <row r="46" spans="1:24">
      <c r="A46" s="25" t="s">
        <v>1254</v>
      </c>
      <c r="B46" s="25" t="s">
        <v>133</v>
      </c>
      <c r="C46" s="25" t="s">
        <v>134</v>
      </c>
      <c r="D46" s="25" t="s">
        <v>135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10</v>
      </c>
      <c r="K46" s="31">
        <f>547</f>
        <v>547</v>
      </c>
      <c r="L46" s="32" t="s">
        <v>1239</v>
      </c>
      <c r="M46" s="31">
        <f>547</f>
        <v>547</v>
      </c>
      <c r="N46" s="32" t="s">
        <v>1239</v>
      </c>
      <c r="O46" s="31">
        <f>479</f>
        <v>479</v>
      </c>
      <c r="P46" s="32" t="s">
        <v>859</v>
      </c>
      <c r="Q46" s="31">
        <f>479.1</f>
        <v>479.1</v>
      </c>
      <c r="R46" s="32" t="s">
        <v>755</v>
      </c>
      <c r="S46" s="33">
        <f>507.78</f>
        <v>507.78</v>
      </c>
      <c r="T46" s="39">
        <f>173210</f>
        <v>173210</v>
      </c>
      <c r="U46" s="30" t="str">
        <f>"－"</f>
        <v>－</v>
      </c>
      <c r="V46" s="30">
        <f>88386061</f>
        <v>88386061</v>
      </c>
      <c r="W46" s="30" t="str">
        <f>"－"</f>
        <v>－</v>
      </c>
      <c r="X46" s="34">
        <f>20</f>
        <v>20</v>
      </c>
    </row>
    <row r="47" spans="1:24">
      <c r="A47" s="25" t="s">
        <v>1254</v>
      </c>
      <c r="B47" s="25" t="s">
        <v>136</v>
      </c>
      <c r="C47" s="25" t="s">
        <v>137</v>
      </c>
      <c r="D47" s="25" t="s">
        <v>138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220</f>
        <v>220</v>
      </c>
      <c r="L47" s="32" t="s">
        <v>1239</v>
      </c>
      <c r="M47" s="31">
        <f>220</f>
        <v>220</v>
      </c>
      <c r="N47" s="32" t="s">
        <v>1239</v>
      </c>
      <c r="O47" s="31">
        <f>195</f>
        <v>195</v>
      </c>
      <c r="P47" s="32" t="s">
        <v>859</v>
      </c>
      <c r="Q47" s="31">
        <f>197</f>
        <v>197</v>
      </c>
      <c r="R47" s="32" t="s">
        <v>755</v>
      </c>
      <c r="S47" s="33">
        <f>206.7</f>
        <v>206.7</v>
      </c>
      <c r="T47" s="39">
        <f>246301</f>
        <v>246301</v>
      </c>
      <c r="U47" s="30" t="str">
        <f>"－"</f>
        <v>－</v>
      </c>
      <c r="V47" s="30">
        <f>51084555</f>
        <v>51084555</v>
      </c>
      <c r="W47" s="30" t="str">
        <f>"－"</f>
        <v>－</v>
      </c>
      <c r="X47" s="34">
        <f>20</f>
        <v>20</v>
      </c>
    </row>
    <row r="48" spans="1:24">
      <c r="A48" s="25" t="s">
        <v>1254</v>
      </c>
      <c r="B48" s="25" t="s">
        <v>139</v>
      </c>
      <c r="C48" s="25" t="s">
        <v>140</v>
      </c>
      <c r="D48" s="25" t="s">
        <v>141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2734.5</f>
        <v>2734.5</v>
      </c>
      <c r="L48" s="32" t="s">
        <v>1239</v>
      </c>
      <c r="M48" s="31">
        <f>2888</f>
        <v>2888</v>
      </c>
      <c r="N48" s="32" t="s">
        <v>859</v>
      </c>
      <c r="O48" s="31">
        <f>2730.5</f>
        <v>2730.5</v>
      </c>
      <c r="P48" s="32" t="s">
        <v>1239</v>
      </c>
      <c r="Q48" s="31">
        <f>2885</f>
        <v>2885</v>
      </c>
      <c r="R48" s="32" t="s">
        <v>755</v>
      </c>
      <c r="S48" s="33">
        <f>2814.95</f>
        <v>2814.95</v>
      </c>
      <c r="T48" s="39">
        <f>1462290</f>
        <v>1462290</v>
      </c>
      <c r="U48" s="30">
        <f>917520</f>
        <v>917520</v>
      </c>
      <c r="V48" s="30">
        <f>4081249675</f>
        <v>4081249675</v>
      </c>
      <c r="W48" s="30">
        <f>2559448895</f>
        <v>2559448895</v>
      </c>
      <c r="X48" s="34">
        <f>20</f>
        <v>20</v>
      </c>
    </row>
    <row r="49" spans="1:24">
      <c r="A49" s="25" t="s">
        <v>1254</v>
      </c>
      <c r="B49" s="25" t="s">
        <v>142</v>
      </c>
      <c r="C49" s="25" t="s">
        <v>143</v>
      </c>
      <c r="D49" s="25" t="s">
        <v>144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24640</f>
        <v>24640</v>
      </c>
      <c r="L49" s="32" t="s">
        <v>1239</v>
      </c>
      <c r="M49" s="31">
        <f>26065</f>
        <v>26065</v>
      </c>
      <c r="N49" s="32" t="s">
        <v>859</v>
      </c>
      <c r="O49" s="31">
        <f>24640</f>
        <v>24640</v>
      </c>
      <c r="P49" s="32" t="s">
        <v>1239</v>
      </c>
      <c r="Q49" s="31">
        <f>25980</f>
        <v>25980</v>
      </c>
      <c r="R49" s="32" t="s">
        <v>755</v>
      </c>
      <c r="S49" s="33">
        <f>25400.5</f>
        <v>25400.5</v>
      </c>
      <c r="T49" s="39">
        <f>2516</f>
        <v>2516</v>
      </c>
      <c r="U49" s="30" t="str">
        <f>"－"</f>
        <v>－</v>
      </c>
      <c r="V49" s="30">
        <f>63545250</f>
        <v>63545250</v>
      </c>
      <c r="W49" s="30" t="str">
        <f>"－"</f>
        <v>－</v>
      </c>
      <c r="X49" s="34">
        <f>20</f>
        <v>20</v>
      </c>
    </row>
    <row r="50" spans="1:24">
      <c r="A50" s="25" t="s">
        <v>1254</v>
      </c>
      <c r="B50" s="25" t="s">
        <v>145</v>
      </c>
      <c r="C50" s="25" t="s">
        <v>146</v>
      </c>
      <c r="D50" s="25" t="s">
        <v>147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275.9</f>
        <v>275.89999999999998</v>
      </c>
      <c r="L50" s="32" t="s">
        <v>1239</v>
      </c>
      <c r="M50" s="31">
        <f>291.1</f>
        <v>291.10000000000002</v>
      </c>
      <c r="N50" s="32" t="s">
        <v>859</v>
      </c>
      <c r="O50" s="31">
        <f>274.9</f>
        <v>274.89999999999998</v>
      </c>
      <c r="P50" s="32" t="s">
        <v>1239</v>
      </c>
      <c r="Q50" s="31">
        <f>289.6</f>
        <v>289.60000000000002</v>
      </c>
      <c r="R50" s="32" t="s">
        <v>755</v>
      </c>
      <c r="S50" s="33">
        <f>283.49</f>
        <v>283.49</v>
      </c>
      <c r="T50" s="39">
        <f>66724920</f>
        <v>66724920</v>
      </c>
      <c r="U50" s="30">
        <f>33568440</f>
        <v>33568440</v>
      </c>
      <c r="V50" s="30">
        <f>19011769307</f>
        <v>19011769307</v>
      </c>
      <c r="W50" s="30">
        <f>9607364432</f>
        <v>9607364432</v>
      </c>
      <c r="X50" s="34">
        <f>20</f>
        <v>20</v>
      </c>
    </row>
    <row r="51" spans="1:24">
      <c r="A51" s="25" t="s">
        <v>1254</v>
      </c>
      <c r="B51" s="25" t="s">
        <v>148</v>
      </c>
      <c r="C51" s="25" t="s">
        <v>149</v>
      </c>
      <c r="D51" s="25" t="s">
        <v>150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1786</f>
        <v>1786</v>
      </c>
      <c r="L51" s="32" t="s">
        <v>1239</v>
      </c>
      <c r="M51" s="31">
        <f>1828</f>
        <v>1828</v>
      </c>
      <c r="N51" s="32" t="s">
        <v>1079</v>
      </c>
      <c r="O51" s="31">
        <f>1757</f>
        <v>1757</v>
      </c>
      <c r="P51" s="32" t="s">
        <v>850</v>
      </c>
      <c r="Q51" s="31">
        <f>1796</f>
        <v>1796</v>
      </c>
      <c r="R51" s="32" t="s">
        <v>755</v>
      </c>
      <c r="S51" s="33">
        <f>1786.2</f>
        <v>1786.2</v>
      </c>
      <c r="T51" s="39">
        <f>10988256</f>
        <v>10988256</v>
      </c>
      <c r="U51" s="30">
        <f>8829458</f>
        <v>8829458</v>
      </c>
      <c r="V51" s="30">
        <f>19675980620</f>
        <v>19675980620</v>
      </c>
      <c r="W51" s="30">
        <f>15822239796</f>
        <v>15822239796</v>
      </c>
      <c r="X51" s="34">
        <f>20</f>
        <v>20</v>
      </c>
    </row>
    <row r="52" spans="1:24">
      <c r="A52" s="25" t="s">
        <v>1254</v>
      </c>
      <c r="B52" s="25" t="s">
        <v>151</v>
      </c>
      <c r="C52" s="25" t="s">
        <v>152</v>
      </c>
      <c r="D52" s="25" t="s">
        <v>153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</v>
      </c>
      <c r="K52" s="31">
        <f>2592</f>
        <v>2592</v>
      </c>
      <c r="L52" s="32" t="s">
        <v>1239</v>
      </c>
      <c r="M52" s="31">
        <f>2666</f>
        <v>2666</v>
      </c>
      <c r="N52" s="32" t="s">
        <v>1211</v>
      </c>
      <c r="O52" s="31">
        <f>2583</f>
        <v>2583</v>
      </c>
      <c r="P52" s="32" t="s">
        <v>1239</v>
      </c>
      <c r="Q52" s="31">
        <f>2649</f>
        <v>2649</v>
      </c>
      <c r="R52" s="32" t="s">
        <v>755</v>
      </c>
      <c r="S52" s="33">
        <f>2620.2</f>
        <v>2620.1999999999998</v>
      </c>
      <c r="T52" s="39">
        <f>129513</f>
        <v>129513</v>
      </c>
      <c r="U52" s="30">
        <f>46727</f>
        <v>46727</v>
      </c>
      <c r="V52" s="30">
        <f>339503160</f>
        <v>339503160</v>
      </c>
      <c r="W52" s="30">
        <f>121962799</f>
        <v>121962799</v>
      </c>
      <c r="X52" s="34">
        <f>20</f>
        <v>20</v>
      </c>
    </row>
    <row r="53" spans="1:24">
      <c r="A53" s="25" t="s">
        <v>1254</v>
      </c>
      <c r="B53" s="25" t="s">
        <v>154</v>
      </c>
      <c r="C53" s="25" t="s">
        <v>155</v>
      </c>
      <c r="D53" s="25" t="s">
        <v>156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3825</f>
        <v>3825</v>
      </c>
      <c r="L53" s="32" t="s">
        <v>1239</v>
      </c>
      <c r="M53" s="31">
        <f>3976</f>
        <v>3976</v>
      </c>
      <c r="N53" s="32" t="s">
        <v>1211</v>
      </c>
      <c r="O53" s="31">
        <f>3772</f>
        <v>3772</v>
      </c>
      <c r="P53" s="32" t="s">
        <v>850</v>
      </c>
      <c r="Q53" s="31">
        <f>3938</f>
        <v>3938</v>
      </c>
      <c r="R53" s="32" t="s">
        <v>755</v>
      </c>
      <c r="S53" s="33">
        <f>3867.55</f>
        <v>3867.55</v>
      </c>
      <c r="T53" s="39">
        <f>4176807</f>
        <v>4176807</v>
      </c>
      <c r="U53" s="30">
        <f>3040704</f>
        <v>3040704</v>
      </c>
      <c r="V53" s="30">
        <f>16190496948</f>
        <v>16190496948</v>
      </c>
      <c r="W53" s="30">
        <f>11801542288</f>
        <v>11801542288</v>
      </c>
      <c r="X53" s="34">
        <f>20</f>
        <v>20</v>
      </c>
    </row>
    <row r="54" spans="1:24">
      <c r="A54" s="25" t="s">
        <v>1254</v>
      </c>
      <c r="B54" s="25" t="s">
        <v>157</v>
      </c>
      <c r="C54" s="25" t="s">
        <v>890</v>
      </c>
      <c r="D54" s="25" t="s">
        <v>891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34130</f>
        <v>34130</v>
      </c>
      <c r="L54" s="32" t="s">
        <v>1239</v>
      </c>
      <c r="M54" s="31">
        <f>35350</f>
        <v>35350</v>
      </c>
      <c r="N54" s="32" t="s">
        <v>1206</v>
      </c>
      <c r="O54" s="31">
        <f>33250</f>
        <v>33250</v>
      </c>
      <c r="P54" s="32" t="s">
        <v>1212</v>
      </c>
      <c r="Q54" s="31">
        <f>33250</f>
        <v>33250</v>
      </c>
      <c r="R54" s="32" t="s">
        <v>1075</v>
      </c>
      <c r="S54" s="33">
        <f>34433.33</f>
        <v>34433.33</v>
      </c>
      <c r="T54" s="39">
        <f>485</f>
        <v>485</v>
      </c>
      <c r="U54" s="30" t="str">
        <f>"－"</f>
        <v>－</v>
      </c>
      <c r="V54" s="30">
        <f>17092620</f>
        <v>17092620</v>
      </c>
      <c r="W54" s="30" t="str">
        <f>"－"</f>
        <v>－</v>
      </c>
      <c r="X54" s="34">
        <f>6</f>
        <v>6</v>
      </c>
    </row>
    <row r="55" spans="1:24">
      <c r="A55" s="25" t="s">
        <v>1254</v>
      </c>
      <c r="B55" s="25" t="s">
        <v>158</v>
      </c>
      <c r="C55" s="25" t="s">
        <v>159</v>
      </c>
      <c r="D55" s="25" t="s">
        <v>160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26200</f>
        <v>26200</v>
      </c>
      <c r="L55" s="32" t="s">
        <v>1239</v>
      </c>
      <c r="M55" s="31">
        <f>27550</f>
        <v>27550</v>
      </c>
      <c r="N55" s="32" t="s">
        <v>1211</v>
      </c>
      <c r="O55" s="31">
        <f>26200</f>
        <v>26200</v>
      </c>
      <c r="P55" s="32" t="s">
        <v>1239</v>
      </c>
      <c r="Q55" s="31">
        <f>27265</f>
        <v>27265</v>
      </c>
      <c r="R55" s="32" t="s">
        <v>1078</v>
      </c>
      <c r="S55" s="33">
        <f>27124.38</f>
        <v>27124.38</v>
      </c>
      <c r="T55" s="39">
        <f>321</f>
        <v>321</v>
      </c>
      <c r="U55" s="30" t="str">
        <f>"－"</f>
        <v>－</v>
      </c>
      <c r="V55" s="30">
        <f>8736695</f>
        <v>8736695</v>
      </c>
      <c r="W55" s="30" t="str">
        <f>"－"</f>
        <v>－</v>
      </c>
      <c r="X55" s="34">
        <f>8</f>
        <v>8</v>
      </c>
    </row>
    <row r="56" spans="1:24">
      <c r="A56" s="25" t="s">
        <v>1254</v>
      </c>
      <c r="B56" s="25" t="s">
        <v>161</v>
      </c>
      <c r="C56" s="25" t="s">
        <v>162</v>
      </c>
      <c r="D56" s="25" t="s">
        <v>163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2840</f>
        <v>2840</v>
      </c>
      <c r="L56" s="32" t="s">
        <v>1239</v>
      </c>
      <c r="M56" s="31">
        <f>2930</f>
        <v>2930</v>
      </c>
      <c r="N56" s="32" t="s">
        <v>859</v>
      </c>
      <c r="O56" s="31">
        <f>2820</f>
        <v>2820</v>
      </c>
      <c r="P56" s="32" t="s">
        <v>1239</v>
      </c>
      <c r="Q56" s="31">
        <f>2895</f>
        <v>2895</v>
      </c>
      <c r="R56" s="32" t="s">
        <v>755</v>
      </c>
      <c r="S56" s="33">
        <f>2879.95</f>
        <v>2879.95</v>
      </c>
      <c r="T56" s="39">
        <f>751</f>
        <v>751</v>
      </c>
      <c r="U56" s="30" t="str">
        <f>"－"</f>
        <v>－</v>
      </c>
      <c r="V56" s="30">
        <f>2165095</f>
        <v>2165095</v>
      </c>
      <c r="W56" s="30" t="str">
        <f>"－"</f>
        <v>－</v>
      </c>
      <c r="X56" s="34">
        <f>19</f>
        <v>19</v>
      </c>
    </row>
    <row r="57" spans="1:24">
      <c r="A57" s="25" t="s">
        <v>1254</v>
      </c>
      <c r="B57" s="25" t="s">
        <v>164</v>
      </c>
      <c r="C57" s="25" t="s">
        <v>165</v>
      </c>
      <c r="D57" s="25" t="s">
        <v>166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1664</f>
        <v>1664</v>
      </c>
      <c r="L57" s="32" t="s">
        <v>1239</v>
      </c>
      <c r="M57" s="31">
        <f>1668</f>
        <v>1668</v>
      </c>
      <c r="N57" s="32" t="s">
        <v>1239</v>
      </c>
      <c r="O57" s="31">
        <f>1614</f>
        <v>1614</v>
      </c>
      <c r="P57" s="32" t="s">
        <v>850</v>
      </c>
      <c r="Q57" s="31">
        <f>1635</f>
        <v>1635</v>
      </c>
      <c r="R57" s="32" t="s">
        <v>755</v>
      </c>
      <c r="S57" s="33">
        <f>1633.8</f>
        <v>1633.8</v>
      </c>
      <c r="T57" s="39">
        <f>11983619</f>
        <v>11983619</v>
      </c>
      <c r="U57" s="30">
        <f>10270667</f>
        <v>10270667</v>
      </c>
      <c r="V57" s="30">
        <f>19584651226</f>
        <v>19584651226</v>
      </c>
      <c r="W57" s="30">
        <f>16782690798</f>
        <v>16782690798</v>
      </c>
      <c r="X57" s="34">
        <f>20</f>
        <v>20</v>
      </c>
    </row>
    <row r="58" spans="1:24">
      <c r="A58" s="25" t="s">
        <v>1254</v>
      </c>
      <c r="B58" s="25" t="s">
        <v>167</v>
      </c>
      <c r="C58" s="25" t="s">
        <v>168</v>
      </c>
      <c r="D58" s="25" t="s">
        <v>169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2837</f>
        <v>2837</v>
      </c>
      <c r="L58" s="32" t="s">
        <v>1240</v>
      </c>
      <c r="M58" s="31">
        <f>2905</f>
        <v>2905</v>
      </c>
      <c r="N58" s="32" t="s">
        <v>1211</v>
      </c>
      <c r="O58" s="31">
        <f>2830</f>
        <v>2830</v>
      </c>
      <c r="P58" s="32" t="s">
        <v>1077</v>
      </c>
      <c r="Q58" s="31">
        <f>2888</f>
        <v>2888</v>
      </c>
      <c r="R58" s="32" t="s">
        <v>755</v>
      </c>
      <c r="S58" s="33">
        <f>2863.4</f>
        <v>2863.4</v>
      </c>
      <c r="T58" s="39">
        <f>4771</f>
        <v>4771</v>
      </c>
      <c r="U58" s="30" t="str">
        <f>"－"</f>
        <v>－</v>
      </c>
      <c r="V58" s="30">
        <f>13791398</f>
        <v>13791398</v>
      </c>
      <c r="W58" s="30" t="str">
        <f>"－"</f>
        <v>－</v>
      </c>
      <c r="X58" s="34">
        <f>15</f>
        <v>15</v>
      </c>
    </row>
    <row r="59" spans="1:24">
      <c r="A59" s="25" t="s">
        <v>1254</v>
      </c>
      <c r="B59" s="25" t="s">
        <v>170</v>
      </c>
      <c r="C59" s="25" t="s">
        <v>171</v>
      </c>
      <c r="D59" s="25" t="s">
        <v>172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10</v>
      </c>
      <c r="K59" s="31">
        <f>2809</f>
        <v>2809</v>
      </c>
      <c r="L59" s="32" t="s">
        <v>1239</v>
      </c>
      <c r="M59" s="31">
        <f>2962</f>
        <v>2962</v>
      </c>
      <c r="N59" s="32" t="s">
        <v>1211</v>
      </c>
      <c r="O59" s="31">
        <f>2809</f>
        <v>2809</v>
      </c>
      <c r="P59" s="32" t="s">
        <v>1239</v>
      </c>
      <c r="Q59" s="31">
        <f>2903.5</f>
        <v>2903.5</v>
      </c>
      <c r="R59" s="32" t="s">
        <v>755</v>
      </c>
      <c r="S59" s="33">
        <f>2851.9</f>
        <v>2851.9</v>
      </c>
      <c r="T59" s="39">
        <f>1780</f>
        <v>1780</v>
      </c>
      <c r="U59" s="30" t="str">
        <f>"－"</f>
        <v>－</v>
      </c>
      <c r="V59" s="30">
        <f>5101655</f>
        <v>5101655</v>
      </c>
      <c r="W59" s="30" t="str">
        <f>"－"</f>
        <v>－</v>
      </c>
      <c r="X59" s="34">
        <f>20</f>
        <v>20</v>
      </c>
    </row>
    <row r="60" spans="1:24">
      <c r="A60" s="25" t="s">
        <v>1254</v>
      </c>
      <c r="B60" s="25" t="s">
        <v>173</v>
      </c>
      <c r="C60" s="25" t="s">
        <v>174</v>
      </c>
      <c r="D60" s="25" t="s">
        <v>175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 t="str">
        <f>"－"</f>
        <v>－</v>
      </c>
      <c r="L60" s="32"/>
      <c r="M60" s="31" t="str">
        <f>"－"</f>
        <v>－</v>
      </c>
      <c r="N60" s="32"/>
      <c r="O60" s="31" t="str">
        <f>"－"</f>
        <v>－</v>
      </c>
      <c r="P60" s="32"/>
      <c r="Q60" s="31" t="str">
        <f>"－"</f>
        <v>－</v>
      </c>
      <c r="R60" s="32"/>
      <c r="S60" s="33" t="str">
        <f>"－"</f>
        <v>－</v>
      </c>
      <c r="T60" s="39" t="str">
        <f>"－"</f>
        <v>－</v>
      </c>
      <c r="U60" s="30" t="str">
        <f>"－"</f>
        <v>－</v>
      </c>
      <c r="V60" s="30" t="str">
        <f>"－"</f>
        <v>－</v>
      </c>
      <c r="W60" s="30" t="str">
        <f>"－"</f>
        <v>－</v>
      </c>
      <c r="X60" s="34" t="str">
        <f>"－"</f>
        <v>－</v>
      </c>
    </row>
    <row r="61" spans="1:24">
      <c r="A61" s="25" t="s">
        <v>1254</v>
      </c>
      <c r="B61" s="25" t="s">
        <v>176</v>
      </c>
      <c r="C61" s="25" t="s">
        <v>177</v>
      </c>
      <c r="D61" s="25" t="s">
        <v>178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</v>
      </c>
      <c r="K61" s="31">
        <f>22510</f>
        <v>22510</v>
      </c>
      <c r="L61" s="32" t="s">
        <v>1239</v>
      </c>
      <c r="M61" s="31">
        <f>22880</f>
        <v>22880</v>
      </c>
      <c r="N61" s="32" t="s">
        <v>1240</v>
      </c>
      <c r="O61" s="31">
        <f>21910</f>
        <v>21910</v>
      </c>
      <c r="P61" s="32" t="s">
        <v>1212</v>
      </c>
      <c r="Q61" s="31">
        <f>22365</f>
        <v>22365</v>
      </c>
      <c r="R61" s="32" t="s">
        <v>755</v>
      </c>
      <c r="S61" s="33">
        <f>22410</f>
        <v>22410</v>
      </c>
      <c r="T61" s="39">
        <f>420441</f>
        <v>420441</v>
      </c>
      <c r="U61" s="30">
        <f>379740</f>
        <v>379740</v>
      </c>
      <c r="V61" s="30">
        <f>9464430480</f>
        <v>9464430480</v>
      </c>
      <c r="W61" s="30">
        <f>8549484730</f>
        <v>8549484730</v>
      </c>
      <c r="X61" s="34">
        <f>20</f>
        <v>20</v>
      </c>
    </row>
    <row r="62" spans="1:24">
      <c r="A62" s="25" t="s">
        <v>1254</v>
      </c>
      <c r="B62" s="25" t="s">
        <v>179</v>
      </c>
      <c r="C62" s="25" t="s">
        <v>180</v>
      </c>
      <c r="D62" s="25" t="s">
        <v>181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12900</f>
        <v>12900</v>
      </c>
      <c r="L62" s="32" t="s">
        <v>1239</v>
      </c>
      <c r="M62" s="31">
        <f>12905</f>
        <v>12905</v>
      </c>
      <c r="N62" s="32" t="s">
        <v>1239</v>
      </c>
      <c r="O62" s="31">
        <f>12530</f>
        <v>12530</v>
      </c>
      <c r="P62" s="32" t="s">
        <v>850</v>
      </c>
      <c r="Q62" s="31">
        <f>12680</f>
        <v>12680</v>
      </c>
      <c r="R62" s="32" t="s">
        <v>755</v>
      </c>
      <c r="S62" s="33">
        <f>12671.5</f>
        <v>12671.5</v>
      </c>
      <c r="T62" s="39">
        <f>706322</f>
        <v>706322</v>
      </c>
      <c r="U62" s="30">
        <f>605300</f>
        <v>605300</v>
      </c>
      <c r="V62" s="30">
        <f>8948610455</f>
        <v>8948610455</v>
      </c>
      <c r="W62" s="30">
        <f>7663237765</f>
        <v>7663237765</v>
      </c>
      <c r="X62" s="34">
        <f>20</f>
        <v>20</v>
      </c>
    </row>
    <row r="63" spans="1:24">
      <c r="A63" s="25" t="s">
        <v>1254</v>
      </c>
      <c r="B63" s="25" t="s">
        <v>182</v>
      </c>
      <c r="C63" s="25" t="s">
        <v>892</v>
      </c>
      <c r="D63" s="25" t="s">
        <v>893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1774</f>
        <v>1774</v>
      </c>
      <c r="L63" s="32" t="s">
        <v>1239</v>
      </c>
      <c r="M63" s="31">
        <f>1815</f>
        <v>1815</v>
      </c>
      <c r="N63" s="32" t="s">
        <v>1079</v>
      </c>
      <c r="O63" s="31">
        <f>1765</f>
        <v>1765</v>
      </c>
      <c r="P63" s="32" t="s">
        <v>850</v>
      </c>
      <c r="Q63" s="31">
        <f>1804</f>
        <v>1804</v>
      </c>
      <c r="R63" s="32" t="s">
        <v>755</v>
      </c>
      <c r="S63" s="33">
        <f>1794.5</f>
        <v>1794.5</v>
      </c>
      <c r="T63" s="39">
        <f>4494543</f>
        <v>4494543</v>
      </c>
      <c r="U63" s="30">
        <f>1870828</f>
        <v>1870828</v>
      </c>
      <c r="V63" s="30">
        <f>8030651865</f>
        <v>8030651865</v>
      </c>
      <c r="W63" s="30">
        <f>3336639541</f>
        <v>3336639541</v>
      </c>
      <c r="X63" s="34">
        <f>20</f>
        <v>20</v>
      </c>
    </row>
    <row r="64" spans="1:24">
      <c r="A64" s="25" t="s">
        <v>1254</v>
      </c>
      <c r="B64" s="25" t="s">
        <v>183</v>
      </c>
      <c r="C64" s="25" t="s">
        <v>184</v>
      </c>
      <c r="D64" s="25" t="s">
        <v>185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2203</f>
        <v>2203</v>
      </c>
      <c r="L64" s="32" t="s">
        <v>1239</v>
      </c>
      <c r="M64" s="31">
        <f>2299</f>
        <v>2299</v>
      </c>
      <c r="N64" s="32" t="s">
        <v>755</v>
      </c>
      <c r="O64" s="31">
        <f>2185</f>
        <v>2185</v>
      </c>
      <c r="P64" s="32" t="s">
        <v>1239</v>
      </c>
      <c r="Q64" s="31">
        <f>2295</f>
        <v>2295</v>
      </c>
      <c r="R64" s="32" t="s">
        <v>755</v>
      </c>
      <c r="S64" s="33">
        <f>2241.95</f>
        <v>2241.9499999999998</v>
      </c>
      <c r="T64" s="39">
        <f>9973793</f>
        <v>9973793</v>
      </c>
      <c r="U64" s="30">
        <f>2686869</f>
        <v>2686869</v>
      </c>
      <c r="V64" s="30">
        <f>22370882667</f>
        <v>22370882667</v>
      </c>
      <c r="W64" s="30">
        <f>6051821266</f>
        <v>6051821266</v>
      </c>
      <c r="X64" s="34">
        <f>20</f>
        <v>20</v>
      </c>
    </row>
    <row r="65" spans="1:24">
      <c r="A65" s="25" t="s">
        <v>1254</v>
      </c>
      <c r="B65" s="25" t="s">
        <v>186</v>
      </c>
      <c r="C65" s="25" t="s">
        <v>187</v>
      </c>
      <c r="D65" s="25" t="s">
        <v>188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</v>
      </c>
      <c r="K65" s="31">
        <f>7749</f>
        <v>7749</v>
      </c>
      <c r="L65" s="32" t="s">
        <v>1206</v>
      </c>
      <c r="M65" s="31">
        <f>7749</f>
        <v>7749</v>
      </c>
      <c r="N65" s="32" t="s">
        <v>1206</v>
      </c>
      <c r="O65" s="31">
        <f>7156</f>
        <v>7156</v>
      </c>
      <c r="P65" s="32" t="s">
        <v>1212</v>
      </c>
      <c r="Q65" s="31">
        <f>7259</f>
        <v>7259</v>
      </c>
      <c r="R65" s="32" t="s">
        <v>859</v>
      </c>
      <c r="S65" s="33">
        <f>7354.88</f>
        <v>7354.88</v>
      </c>
      <c r="T65" s="39">
        <f>214</f>
        <v>214</v>
      </c>
      <c r="U65" s="30" t="str">
        <f>"－"</f>
        <v>－</v>
      </c>
      <c r="V65" s="30">
        <f>1563523</f>
        <v>1563523</v>
      </c>
      <c r="W65" s="30" t="str">
        <f>"－"</f>
        <v>－</v>
      </c>
      <c r="X65" s="34">
        <f>8</f>
        <v>8</v>
      </c>
    </row>
    <row r="66" spans="1:24">
      <c r="A66" s="25" t="s">
        <v>1254</v>
      </c>
      <c r="B66" s="25" t="s">
        <v>189</v>
      </c>
      <c r="C66" s="25" t="s">
        <v>190</v>
      </c>
      <c r="D66" s="25" t="s">
        <v>191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19130</f>
        <v>19130</v>
      </c>
      <c r="L66" s="32" t="s">
        <v>1239</v>
      </c>
      <c r="M66" s="31">
        <f>20070</f>
        <v>20070</v>
      </c>
      <c r="N66" s="32" t="s">
        <v>755</v>
      </c>
      <c r="O66" s="31">
        <f>18910</f>
        <v>18910</v>
      </c>
      <c r="P66" s="32" t="s">
        <v>1240</v>
      </c>
      <c r="Q66" s="31">
        <f>19965</f>
        <v>19965</v>
      </c>
      <c r="R66" s="32" t="s">
        <v>755</v>
      </c>
      <c r="S66" s="33">
        <f>19521</f>
        <v>19521</v>
      </c>
      <c r="T66" s="39">
        <f>8297</f>
        <v>8297</v>
      </c>
      <c r="U66" s="30">
        <f>500</f>
        <v>500</v>
      </c>
      <c r="V66" s="30">
        <f>159492620</f>
        <v>159492620</v>
      </c>
      <c r="W66" s="30">
        <f>9533500</f>
        <v>9533500</v>
      </c>
      <c r="X66" s="34">
        <f>20</f>
        <v>20</v>
      </c>
    </row>
    <row r="67" spans="1:24">
      <c r="A67" s="25" t="s">
        <v>1254</v>
      </c>
      <c r="B67" s="25" t="s">
        <v>192</v>
      </c>
      <c r="C67" s="25" t="s">
        <v>193</v>
      </c>
      <c r="D67" s="25" t="s">
        <v>194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30800</f>
        <v>30800</v>
      </c>
      <c r="L67" s="32" t="s">
        <v>1239</v>
      </c>
      <c r="M67" s="31">
        <f>31710</f>
        <v>31710</v>
      </c>
      <c r="N67" s="32" t="s">
        <v>755</v>
      </c>
      <c r="O67" s="31">
        <f>30580</f>
        <v>30580</v>
      </c>
      <c r="P67" s="32" t="s">
        <v>1239</v>
      </c>
      <c r="Q67" s="31">
        <f>31600</f>
        <v>31600</v>
      </c>
      <c r="R67" s="32" t="s">
        <v>755</v>
      </c>
      <c r="S67" s="33">
        <f>31163.5</f>
        <v>31163.5</v>
      </c>
      <c r="T67" s="39">
        <f>58770</f>
        <v>58770</v>
      </c>
      <c r="U67" s="30">
        <f>27890</f>
        <v>27890</v>
      </c>
      <c r="V67" s="30">
        <f>1830478691</f>
        <v>1830478691</v>
      </c>
      <c r="W67" s="30">
        <f>873832521</f>
        <v>873832521</v>
      </c>
      <c r="X67" s="34">
        <f>20</f>
        <v>20</v>
      </c>
    </row>
    <row r="68" spans="1:24">
      <c r="A68" s="25" t="s">
        <v>1254</v>
      </c>
      <c r="B68" s="25" t="s">
        <v>195</v>
      </c>
      <c r="C68" s="25" t="s">
        <v>196</v>
      </c>
      <c r="D68" s="25" t="s">
        <v>197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</v>
      </c>
      <c r="K68" s="31">
        <f>9780</f>
        <v>9780</v>
      </c>
      <c r="L68" s="32" t="s">
        <v>1239</v>
      </c>
      <c r="M68" s="31">
        <f>10075</f>
        <v>10075</v>
      </c>
      <c r="N68" s="32" t="s">
        <v>1211</v>
      </c>
      <c r="O68" s="31">
        <f>9665</f>
        <v>9665</v>
      </c>
      <c r="P68" s="32" t="s">
        <v>1239</v>
      </c>
      <c r="Q68" s="31">
        <f>9999</f>
        <v>9999</v>
      </c>
      <c r="R68" s="32" t="s">
        <v>755</v>
      </c>
      <c r="S68" s="33">
        <f>9916.75</f>
        <v>9916.75</v>
      </c>
      <c r="T68" s="39">
        <f>7662</f>
        <v>7662</v>
      </c>
      <c r="U68" s="30" t="str">
        <f>"－"</f>
        <v>－</v>
      </c>
      <c r="V68" s="30">
        <f>75825846</f>
        <v>75825846</v>
      </c>
      <c r="W68" s="30" t="str">
        <f>"－"</f>
        <v>－</v>
      </c>
      <c r="X68" s="34">
        <f>20</f>
        <v>20</v>
      </c>
    </row>
    <row r="69" spans="1:24">
      <c r="A69" s="25" t="s">
        <v>1254</v>
      </c>
      <c r="B69" s="25" t="s">
        <v>198</v>
      </c>
      <c r="C69" s="25" t="s">
        <v>199</v>
      </c>
      <c r="D69" s="25" t="s">
        <v>200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1739</f>
        <v>1739</v>
      </c>
      <c r="L69" s="32" t="s">
        <v>1239</v>
      </c>
      <c r="M69" s="31">
        <f>1739</f>
        <v>1739</v>
      </c>
      <c r="N69" s="32" t="s">
        <v>1239</v>
      </c>
      <c r="O69" s="31">
        <f>1698</f>
        <v>1698</v>
      </c>
      <c r="P69" s="32" t="s">
        <v>850</v>
      </c>
      <c r="Q69" s="31">
        <f>1727</f>
        <v>1727</v>
      </c>
      <c r="R69" s="32" t="s">
        <v>755</v>
      </c>
      <c r="S69" s="33">
        <f>1719.55</f>
        <v>1719.55</v>
      </c>
      <c r="T69" s="39">
        <f>4651779</f>
        <v>4651779</v>
      </c>
      <c r="U69" s="30">
        <f>4374930</f>
        <v>4374930</v>
      </c>
      <c r="V69" s="30">
        <f>8004012910</f>
        <v>8004012910</v>
      </c>
      <c r="W69" s="30">
        <f>7526935482</f>
        <v>7526935482</v>
      </c>
      <c r="X69" s="34">
        <f>20</f>
        <v>20</v>
      </c>
    </row>
    <row r="70" spans="1:24">
      <c r="A70" s="25" t="s">
        <v>1254</v>
      </c>
      <c r="B70" s="25" t="s">
        <v>201</v>
      </c>
      <c r="C70" s="25" t="s">
        <v>202</v>
      </c>
      <c r="D70" s="25" t="s">
        <v>203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1795</f>
        <v>1795</v>
      </c>
      <c r="L70" s="32" t="s">
        <v>1239</v>
      </c>
      <c r="M70" s="31">
        <f>1822</f>
        <v>1822</v>
      </c>
      <c r="N70" s="32" t="s">
        <v>859</v>
      </c>
      <c r="O70" s="31">
        <f>1791</f>
        <v>1791</v>
      </c>
      <c r="P70" s="32" t="s">
        <v>1239</v>
      </c>
      <c r="Q70" s="31">
        <f>1817</f>
        <v>1817</v>
      </c>
      <c r="R70" s="32" t="s">
        <v>755</v>
      </c>
      <c r="S70" s="33">
        <f>1808.3</f>
        <v>1808.3</v>
      </c>
      <c r="T70" s="39">
        <f>422461</f>
        <v>422461</v>
      </c>
      <c r="U70" s="30">
        <f>96000</f>
        <v>96000</v>
      </c>
      <c r="V70" s="30">
        <f>763710646</f>
        <v>763710646</v>
      </c>
      <c r="W70" s="30">
        <f>174038668</f>
        <v>174038668</v>
      </c>
      <c r="X70" s="34">
        <f>20</f>
        <v>20</v>
      </c>
    </row>
    <row r="71" spans="1:24">
      <c r="A71" s="25" t="s">
        <v>1254</v>
      </c>
      <c r="B71" s="25" t="s">
        <v>204</v>
      </c>
      <c r="C71" s="25" t="s">
        <v>205</v>
      </c>
      <c r="D71" s="25" t="s">
        <v>206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21290</f>
        <v>21290</v>
      </c>
      <c r="L71" s="32" t="s">
        <v>1239</v>
      </c>
      <c r="M71" s="31">
        <f>22465</f>
        <v>22465</v>
      </c>
      <c r="N71" s="32" t="s">
        <v>859</v>
      </c>
      <c r="O71" s="31">
        <f>21165</f>
        <v>21165</v>
      </c>
      <c r="P71" s="32" t="s">
        <v>1239</v>
      </c>
      <c r="Q71" s="31">
        <f>22400</f>
        <v>22400</v>
      </c>
      <c r="R71" s="32" t="s">
        <v>755</v>
      </c>
      <c r="S71" s="33">
        <f>21829.5</f>
        <v>21829.5</v>
      </c>
      <c r="T71" s="39">
        <f>7076</f>
        <v>7076</v>
      </c>
      <c r="U71" s="30">
        <f>6110</f>
        <v>6110</v>
      </c>
      <c r="V71" s="30">
        <f>152578181</f>
        <v>152578181</v>
      </c>
      <c r="W71" s="30">
        <f>131493566</f>
        <v>131493566</v>
      </c>
      <c r="X71" s="34">
        <f>20</f>
        <v>20</v>
      </c>
    </row>
    <row r="72" spans="1:24">
      <c r="A72" s="25" t="s">
        <v>1254</v>
      </c>
      <c r="B72" s="25" t="s">
        <v>207</v>
      </c>
      <c r="C72" s="25" t="s">
        <v>208</v>
      </c>
      <c r="D72" s="25" t="s">
        <v>209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9272</f>
        <v>9272</v>
      </c>
      <c r="L72" s="32" t="s">
        <v>1239</v>
      </c>
      <c r="M72" s="31">
        <f>9351</f>
        <v>9351</v>
      </c>
      <c r="N72" s="32" t="s">
        <v>1081</v>
      </c>
      <c r="O72" s="31">
        <f>9136</f>
        <v>9136</v>
      </c>
      <c r="P72" s="32" t="s">
        <v>756</v>
      </c>
      <c r="Q72" s="31">
        <f>9192</f>
        <v>9192</v>
      </c>
      <c r="R72" s="32" t="s">
        <v>755</v>
      </c>
      <c r="S72" s="33">
        <f>9239.05</f>
        <v>9239.0499999999993</v>
      </c>
      <c r="T72" s="39">
        <f>3612</f>
        <v>3612</v>
      </c>
      <c r="U72" s="30">
        <f>203</f>
        <v>203</v>
      </c>
      <c r="V72" s="30">
        <f>33372275</f>
        <v>33372275</v>
      </c>
      <c r="W72" s="30">
        <f>1877097</f>
        <v>1877097</v>
      </c>
      <c r="X72" s="34">
        <f>20</f>
        <v>20</v>
      </c>
    </row>
    <row r="73" spans="1:24">
      <c r="A73" s="25" t="s">
        <v>1254</v>
      </c>
      <c r="B73" s="25" t="s">
        <v>210</v>
      </c>
      <c r="C73" s="25" t="s">
        <v>211</v>
      </c>
      <c r="D73" s="25" t="s">
        <v>212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14160</f>
        <v>14160</v>
      </c>
      <c r="L73" s="32" t="s">
        <v>1239</v>
      </c>
      <c r="M73" s="31">
        <f>14770</f>
        <v>14770</v>
      </c>
      <c r="N73" s="32" t="s">
        <v>1077</v>
      </c>
      <c r="O73" s="31">
        <f>13805</f>
        <v>13805</v>
      </c>
      <c r="P73" s="32" t="s">
        <v>851</v>
      </c>
      <c r="Q73" s="31">
        <f>14330</f>
        <v>14330</v>
      </c>
      <c r="R73" s="32" t="s">
        <v>755</v>
      </c>
      <c r="S73" s="33">
        <f>14345</f>
        <v>14345</v>
      </c>
      <c r="T73" s="39">
        <f>7748818</f>
        <v>7748818</v>
      </c>
      <c r="U73" s="30">
        <f>298087</f>
        <v>298087</v>
      </c>
      <c r="V73" s="30">
        <f>111084265106</f>
        <v>111084265106</v>
      </c>
      <c r="W73" s="30">
        <f>4297649736</f>
        <v>4297649736</v>
      </c>
      <c r="X73" s="34">
        <f>20</f>
        <v>20</v>
      </c>
    </row>
    <row r="74" spans="1:24">
      <c r="A74" s="25" t="s">
        <v>1254</v>
      </c>
      <c r="B74" s="25" t="s">
        <v>213</v>
      </c>
      <c r="C74" s="25" t="s">
        <v>214</v>
      </c>
      <c r="D74" s="25" t="s">
        <v>215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4095</f>
        <v>4095</v>
      </c>
      <c r="L74" s="32" t="s">
        <v>1239</v>
      </c>
      <c r="M74" s="31">
        <f>4599</f>
        <v>4599</v>
      </c>
      <c r="N74" s="32" t="s">
        <v>859</v>
      </c>
      <c r="O74" s="31">
        <f>4060</f>
        <v>4060</v>
      </c>
      <c r="P74" s="32" t="s">
        <v>1239</v>
      </c>
      <c r="Q74" s="31">
        <f>4480</f>
        <v>4480</v>
      </c>
      <c r="R74" s="32" t="s">
        <v>755</v>
      </c>
      <c r="S74" s="33">
        <f>4277.2</f>
        <v>4277.2</v>
      </c>
      <c r="T74" s="39">
        <f>495048</f>
        <v>495048</v>
      </c>
      <c r="U74" s="30">
        <f>51</f>
        <v>51</v>
      </c>
      <c r="V74" s="30">
        <f>2158933922</f>
        <v>2158933922</v>
      </c>
      <c r="W74" s="30">
        <f>229457</f>
        <v>229457</v>
      </c>
      <c r="X74" s="34">
        <f>20</f>
        <v>20</v>
      </c>
    </row>
    <row r="75" spans="1:24">
      <c r="A75" s="25" t="s">
        <v>1254</v>
      </c>
      <c r="B75" s="25" t="s">
        <v>216</v>
      </c>
      <c r="C75" s="25" t="s">
        <v>217</v>
      </c>
      <c r="D75" s="25" t="s">
        <v>218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13865</f>
        <v>13865</v>
      </c>
      <c r="L75" s="32" t="s">
        <v>1239</v>
      </c>
      <c r="M75" s="31">
        <f>14555</f>
        <v>14555</v>
      </c>
      <c r="N75" s="32" t="s">
        <v>1240</v>
      </c>
      <c r="O75" s="31">
        <f>13585</f>
        <v>13585</v>
      </c>
      <c r="P75" s="32" t="s">
        <v>1240</v>
      </c>
      <c r="Q75" s="31">
        <f>14050</f>
        <v>14050</v>
      </c>
      <c r="R75" s="32" t="s">
        <v>755</v>
      </c>
      <c r="S75" s="33">
        <f>14062.25</f>
        <v>14062.25</v>
      </c>
      <c r="T75" s="39">
        <f>347737</f>
        <v>347737</v>
      </c>
      <c r="U75" s="30">
        <f>4799</f>
        <v>4799</v>
      </c>
      <c r="V75" s="30">
        <f>4883890109</f>
        <v>4883890109</v>
      </c>
      <c r="W75" s="30">
        <f>67220074</f>
        <v>67220074</v>
      </c>
      <c r="X75" s="34">
        <f>20</f>
        <v>20</v>
      </c>
    </row>
    <row r="76" spans="1:24">
      <c r="A76" s="25" t="s">
        <v>1254</v>
      </c>
      <c r="B76" s="25" t="s">
        <v>219</v>
      </c>
      <c r="C76" s="25" t="s">
        <v>220</v>
      </c>
      <c r="D76" s="25" t="s">
        <v>221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39210</f>
        <v>39210</v>
      </c>
      <c r="L76" s="32" t="s">
        <v>1239</v>
      </c>
      <c r="M76" s="31">
        <f>42850</f>
        <v>42850</v>
      </c>
      <c r="N76" s="32" t="s">
        <v>850</v>
      </c>
      <c r="O76" s="31">
        <f>39050</f>
        <v>39050</v>
      </c>
      <c r="P76" s="32" t="s">
        <v>1239</v>
      </c>
      <c r="Q76" s="31">
        <f>40050</f>
        <v>40050</v>
      </c>
      <c r="R76" s="32" t="s">
        <v>755</v>
      </c>
      <c r="S76" s="33">
        <f>40778.5</f>
        <v>40778.5</v>
      </c>
      <c r="T76" s="39">
        <f>12855</f>
        <v>12855</v>
      </c>
      <c r="U76" s="30">
        <f>127</f>
        <v>127</v>
      </c>
      <c r="V76" s="30">
        <f>529843780</f>
        <v>529843780</v>
      </c>
      <c r="W76" s="30">
        <f>5207650</f>
        <v>5207650</v>
      </c>
      <c r="X76" s="34">
        <f>20</f>
        <v>20</v>
      </c>
    </row>
    <row r="77" spans="1:24">
      <c r="A77" s="25" t="s">
        <v>1254</v>
      </c>
      <c r="B77" s="25" t="s">
        <v>222</v>
      </c>
      <c r="C77" s="25" t="s">
        <v>757</v>
      </c>
      <c r="D77" s="25" t="s">
        <v>758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28720</f>
        <v>28720</v>
      </c>
      <c r="L77" s="32" t="s">
        <v>1239</v>
      </c>
      <c r="M77" s="31">
        <f>32200</f>
        <v>32200</v>
      </c>
      <c r="N77" s="32" t="s">
        <v>859</v>
      </c>
      <c r="O77" s="31">
        <f>28690</f>
        <v>28690</v>
      </c>
      <c r="P77" s="32" t="s">
        <v>1239</v>
      </c>
      <c r="Q77" s="31">
        <f>31060</f>
        <v>31060</v>
      </c>
      <c r="R77" s="32" t="s">
        <v>755</v>
      </c>
      <c r="S77" s="33">
        <f>30567</f>
        <v>30567</v>
      </c>
      <c r="T77" s="39">
        <f>899165</f>
        <v>899165</v>
      </c>
      <c r="U77" s="30">
        <f>31449</f>
        <v>31449</v>
      </c>
      <c r="V77" s="30">
        <f>27471378292</f>
        <v>27471378292</v>
      </c>
      <c r="W77" s="30">
        <f>1008411602</f>
        <v>1008411602</v>
      </c>
      <c r="X77" s="34">
        <f>20</f>
        <v>20</v>
      </c>
    </row>
    <row r="78" spans="1:24">
      <c r="A78" s="25" t="s">
        <v>1254</v>
      </c>
      <c r="B78" s="25" t="s">
        <v>223</v>
      </c>
      <c r="C78" s="25" t="s">
        <v>759</v>
      </c>
      <c r="D78" s="25" t="s">
        <v>760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57030</f>
        <v>57030</v>
      </c>
      <c r="L78" s="32" t="s">
        <v>1239</v>
      </c>
      <c r="M78" s="31">
        <f>61410</f>
        <v>61410</v>
      </c>
      <c r="N78" s="32" t="s">
        <v>1211</v>
      </c>
      <c r="O78" s="31">
        <f>56960</f>
        <v>56960</v>
      </c>
      <c r="P78" s="32" t="s">
        <v>1239</v>
      </c>
      <c r="Q78" s="31">
        <f>59440</f>
        <v>59440</v>
      </c>
      <c r="R78" s="32" t="s">
        <v>755</v>
      </c>
      <c r="S78" s="33">
        <f>59379</f>
        <v>59379</v>
      </c>
      <c r="T78" s="39">
        <f>37457</f>
        <v>37457</v>
      </c>
      <c r="U78" s="30">
        <f>5</f>
        <v>5</v>
      </c>
      <c r="V78" s="30">
        <f>2229906440</f>
        <v>2229906440</v>
      </c>
      <c r="W78" s="30">
        <f>297660</f>
        <v>297660</v>
      </c>
      <c r="X78" s="34">
        <f>20</f>
        <v>20</v>
      </c>
    </row>
    <row r="79" spans="1:24">
      <c r="A79" s="25" t="s">
        <v>1254</v>
      </c>
      <c r="B79" s="25" t="s">
        <v>224</v>
      </c>
      <c r="C79" s="25" t="s">
        <v>225</v>
      </c>
      <c r="D79" s="25" t="s">
        <v>226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</v>
      </c>
      <c r="K79" s="31">
        <f>8713</f>
        <v>8713</v>
      </c>
      <c r="L79" s="32" t="s">
        <v>1239</v>
      </c>
      <c r="M79" s="31">
        <f>9513</f>
        <v>9513</v>
      </c>
      <c r="N79" s="32" t="s">
        <v>859</v>
      </c>
      <c r="O79" s="31">
        <f>8708</f>
        <v>8708</v>
      </c>
      <c r="P79" s="32" t="s">
        <v>1239</v>
      </c>
      <c r="Q79" s="31">
        <f>9232</f>
        <v>9232</v>
      </c>
      <c r="R79" s="32" t="s">
        <v>755</v>
      </c>
      <c r="S79" s="33">
        <f>9151.5</f>
        <v>9151.5</v>
      </c>
      <c r="T79" s="39">
        <f>724865</f>
        <v>724865</v>
      </c>
      <c r="U79" s="30">
        <f>213605</f>
        <v>213605</v>
      </c>
      <c r="V79" s="30">
        <f>6622948886</f>
        <v>6622948886</v>
      </c>
      <c r="W79" s="30">
        <f>1945819700</f>
        <v>1945819700</v>
      </c>
      <c r="X79" s="34">
        <f>20</f>
        <v>20</v>
      </c>
    </row>
    <row r="80" spans="1:24">
      <c r="A80" s="25" t="s">
        <v>1254</v>
      </c>
      <c r="B80" s="25" t="s">
        <v>227</v>
      </c>
      <c r="C80" s="25" t="s">
        <v>228</v>
      </c>
      <c r="D80" s="25" t="s">
        <v>229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10</v>
      </c>
      <c r="K80" s="31">
        <f>5467</f>
        <v>5467</v>
      </c>
      <c r="L80" s="32" t="s">
        <v>1239</v>
      </c>
      <c r="M80" s="31">
        <f>5944</f>
        <v>5944</v>
      </c>
      <c r="N80" s="32" t="s">
        <v>859</v>
      </c>
      <c r="O80" s="31">
        <f>5463</f>
        <v>5463</v>
      </c>
      <c r="P80" s="32" t="s">
        <v>1239</v>
      </c>
      <c r="Q80" s="31">
        <f>5809</f>
        <v>5809</v>
      </c>
      <c r="R80" s="32" t="s">
        <v>755</v>
      </c>
      <c r="S80" s="33">
        <f>5736.1</f>
        <v>5736.1</v>
      </c>
      <c r="T80" s="39">
        <f>102260</f>
        <v>102260</v>
      </c>
      <c r="U80" s="30">
        <f>2320</f>
        <v>2320</v>
      </c>
      <c r="V80" s="30">
        <f>587757346</f>
        <v>587757346</v>
      </c>
      <c r="W80" s="30">
        <f>12931216</f>
        <v>12931216</v>
      </c>
      <c r="X80" s="34">
        <f>20</f>
        <v>20</v>
      </c>
    </row>
    <row r="81" spans="1:24">
      <c r="A81" s="25" t="s">
        <v>1254</v>
      </c>
      <c r="B81" s="25" t="s">
        <v>230</v>
      </c>
      <c r="C81" s="25" t="s">
        <v>830</v>
      </c>
      <c r="D81" s="25" t="s">
        <v>831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10</v>
      </c>
      <c r="K81" s="31">
        <f>5388</f>
        <v>5388</v>
      </c>
      <c r="L81" s="32" t="s">
        <v>1239</v>
      </c>
      <c r="M81" s="31">
        <f>5916</f>
        <v>5916</v>
      </c>
      <c r="N81" s="32" t="s">
        <v>755</v>
      </c>
      <c r="O81" s="31">
        <f>5301</f>
        <v>5301</v>
      </c>
      <c r="P81" s="32" t="s">
        <v>1239</v>
      </c>
      <c r="Q81" s="31">
        <f>5800</f>
        <v>5800</v>
      </c>
      <c r="R81" s="32" t="s">
        <v>755</v>
      </c>
      <c r="S81" s="33">
        <f>5519.85</f>
        <v>5519.85</v>
      </c>
      <c r="T81" s="39">
        <f>9400</f>
        <v>9400</v>
      </c>
      <c r="U81" s="30">
        <f>120</f>
        <v>120</v>
      </c>
      <c r="V81" s="30">
        <f>52009390</f>
        <v>52009390</v>
      </c>
      <c r="W81" s="30">
        <f>659610</f>
        <v>659610</v>
      </c>
      <c r="X81" s="34">
        <f>20</f>
        <v>20</v>
      </c>
    </row>
    <row r="82" spans="1:24">
      <c r="A82" s="25" t="s">
        <v>1254</v>
      </c>
      <c r="B82" s="25" t="s">
        <v>231</v>
      </c>
      <c r="C82" s="25" t="s">
        <v>232</v>
      </c>
      <c r="D82" s="25" t="s">
        <v>233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</v>
      </c>
      <c r="K82" s="31">
        <f>4500</f>
        <v>4500</v>
      </c>
      <c r="L82" s="32" t="s">
        <v>1239</v>
      </c>
      <c r="M82" s="31">
        <f>4879</f>
        <v>4879</v>
      </c>
      <c r="N82" s="32" t="s">
        <v>859</v>
      </c>
      <c r="O82" s="31">
        <f>4490</f>
        <v>4490</v>
      </c>
      <c r="P82" s="32" t="s">
        <v>1239</v>
      </c>
      <c r="Q82" s="31">
        <f>4764</f>
        <v>4764</v>
      </c>
      <c r="R82" s="32" t="s">
        <v>755</v>
      </c>
      <c r="S82" s="33">
        <f>4711.35</f>
        <v>4711.3500000000004</v>
      </c>
      <c r="T82" s="39">
        <f>73910</f>
        <v>73910</v>
      </c>
      <c r="U82" s="30">
        <f>4300</f>
        <v>4300</v>
      </c>
      <c r="V82" s="30">
        <f>346715170</f>
        <v>346715170</v>
      </c>
      <c r="W82" s="30">
        <f>20632690</f>
        <v>20632690</v>
      </c>
      <c r="X82" s="34">
        <f>20</f>
        <v>20</v>
      </c>
    </row>
    <row r="83" spans="1:24">
      <c r="A83" s="25" t="s">
        <v>1254</v>
      </c>
      <c r="B83" s="25" t="s">
        <v>234</v>
      </c>
      <c r="C83" s="25" t="s">
        <v>943</v>
      </c>
      <c r="D83" s="25" t="s">
        <v>235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</v>
      </c>
      <c r="K83" s="31">
        <f>2063</f>
        <v>2063</v>
      </c>
      <c r="L83" s="32" t="s">
        <v>1239</v>
      </c>
      <c r="M83" s="31">
        <f>2222</f>
        <v>2222</v>
      </c>
      <c r="N83" s="32" t="s">
        <v>859</v>
      </c>
      <c r="O83" s="31">
        <f>2033</f>
        <v>2033</v>
      </c>
      <c r="P83" s="32" t="s">
        <v>1240</v>
      </c>
      <c r="Q83" s="31">
        <f>2178</f>
        <v>2178</v>
      </c>
      <c r="R83" s="32" t="s">
        <v>755</v>
      </c>
      <c r="S83" s="33">
        <f>2155.85</f>
        <v>2155.85</v>
      </c>
      <c r="T83" s="39">
        <f>159378</f>
        <v>159378</v>
      </c>
      <c r="U83" s="30">
        <f>100000</f>
        <v>100000</v>
      </c>
      <c r="V83" s="30">
        <f>338540588</f>
        <v>338540588</v>
      </c>
      <c r="W83" s="30">
        <f>210449380</f>
        <v>210449380</v>
      </c>
      <c r="X83" s="34">
        <f>20</f>
        <v>20</v>
      </c>
    </row>
    <row r="84" spans="1:24">
      <c r="A84" s="25" t="s">
        <v>1254</v>
      </c>
      <c r="B84" s="25" t="s">
        <v>236</v>
      </c>
      <c r="C84" s="25" t="s">
        <v>237</v>
      </c>
      <c r="D84" s="25" t="s">
        <v>238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79960</f>
        <v>79960</v>
      </c>
      <c r="L84" s="32" t="s">
        <v>1239</v>
      </c>
      <c r="M84" s="31">
        <f>87350</f>
        <v>87350</v>
      </c>
      <c r="N84" s="32" t="s">
        <v>859</v>
      </c>
      <c r="O84" s="31">
        <f>79960</f>
        <v>79960</v>
      </c>
      <c r="P84" s="32" t="s">
        <v>1239</v>
      </c>
      <c r="Q84" s="31">
        <f>84820</f>
        <v>84820</v>
      </c>
      <c r="R84" s="32" t="s">
        <v>755</v>
      </c>
      <c r="S84" s="33">
        <f>84057</f>
        <v>84057</v>
      </c>
      <c r="T84" s="39">
        <f>108596</f>
        <v>108596</v>
      </c>
      <c r="U84" s="30">
        <f>19759</f>
        <v>19759</v>
      </c>
      <c r="V84" s="30">
        <f>9106351413</f>
        <v>9106351413</v>
      </c>
      <c r="W84" s="30">
        <f>1661813213</f>
        <v>1661813213</v>
      </c>
      <c r="X84" s="34">
        <f>20</f>
        <v>20</v>
      </c>
    </row>
    <row r="85" spans="1:24">
      <c r="A85" s="25" t="s">
        <v>1254</v>
      </c>
      <c r="B85" s="25" t="s">
        <v>239</v>
      </c>
      <c r="C85" s="25" t="s">
        <v>240</v>
      </c>
      <c r="D85" s="25" t="s">
        <v>241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3140</f>
        <v>3140</v>
      </c>
      <c r="L85" s="32" t="s">
        <v>1239</v>
      </c>
      <c r="M85" s="31">
        <f>3308</f>
        <v>3308</v>
      </c>
      <c r="N85" s="32" t="s">
        <v>1211</v>
      </c>
      <c r="O85" s="31">
        <f>3090</f>
        <v>3090</v>
      </c>
      <c r="P85" s="32" t="s">
        <v>1239</v>
      </c>
      <c r="Q85" s="31">
        <f>3151</f>
        <v>3151</v>
      </c>
      <c r="R85" s="32" t="s">
        <v>755</v>
      </c>
      <c r="S85" s="33">
        <f>3231.85</f>
        <v>3231.85</v>
      </c>
      <c r="T85" s="39">
        <f>5752</f>
        <v>5752</v>
      </c>
      <c r="U85" s="30" t="str">
        <f>"－"</f>
        <v>－</v>
      </c>
      <c r="V85" s="30">
        <f>18451869</f>
        <v>18451869</v>
      </c>
      <c r="W85" s="30" t="str">
        <f>"－"</f>
        <v>－</v>
      </c>
      <c r="X85" s="34">
        <f>20</f>
        <v>20</v>
      </c>
    </row>
    <row r="86" spans="1:24">
      <c r="A86" s="25" t="s">
        <v>1254</v>
      </c>
      <c r="B86" s="25" t="s">
        <v>242</v>
      </c>
      <c r="C86" s="25" t="s">
        <v>243</v>
      </c>
      <c r="D86" s="25" t="s">
        <v>244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4880</f>
        <v>4880</v>
      </c>
      <c r="L86" s="32" t="s">
        <v>1239</v>
      </c>
      <c r="M86" s="31">
        <f>5210</f>
        <v>5210</v>
      </c>
      <c r="N86" s="32" t="s">
        <v>851</v>
      </c>
      <c r="O86" s="31">
        <f>4815</f>
        <v>4815</v>
      </c>
      <c r="P86" s="32" t="s">
        <v>1239</v>
      </c>
      <c r="Q86" s="31">
        <f>5000</f>
        <v>5000</v>
      </c>
      <c r="R86" s="32" t="s">
        <v>755</v>
      </c>
      <c r="S86" s="33">
        <f>5068.25</f>
        <v>5068.25</v>
      </c>
      <c r="T86" s="39">
        <f>5411</f>
        <v>5411</v>
      </c>
      <c r="U86" s="30" t="str">
        <f>"－"</f>
        <v>－</v>
      </c>
      <c r="V86" s="30">
        <f>27446426</f>
        <v>27446426</v>
      </c>
      <c r="W86" s="30" t="str">
        <f>"－"</f>
        <v>－</v>
      </c>
      <c r="X86" s="34">
        <f>20</f>
        <v>20</v>
      </c>
    </row>
    <row r="87" spans="1:24">
      <c r="A87" s="25" t="s">
        <v>1254</v>
      </c>
      <c r="B87" s="25" t="s">
        <v>245</v>
      </c>
      <c r="C87" s="25" t="s">
        <v>832</v>
      </c>
      <c r="D87" s="25" t="s">
        <v>833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2277</f>
        <v>2277</v>
      </c>
      <c r="L87" s="32" t="s">
        <v>1239</v>
      </c>
      <c r="M87" s="31">
        <f>2565</f>
        <v>2565</v>
      </c>
      <c r="N87" s="32" t="s">
        <v>859</v>
      </c>
      <c r="O87" s="31">
        <f>2253</f>
        <v>2253</v>
      </c>
      <c r="P87" s="32" t="s">
        <v>1240</v>
      </c>
      <c r="Q87" s="31">
        <f>2542</f>
        <v>2542</v>
      </c>
      <c r="R87" s="32" t="s">
        <v>755</v>
      </c>
      <c r="S87" s="33">
        <f>2371.65</f>
        <v>2371.65</v>
      </c>
      <c r="T87" s="39">
        <f>1212011</f>
        <v>1212011</v>
      </c>
      <c r="U87" s="30">
        <f>101811</f>
        <v>101811</v>
      </c>
      <c r="V87" s="30">
        <f>2928740366</f>
        <v>2928740366</v>
      </c>
      <c r="W87" s="30">
        <f>238619778</f>
        <v>238619778</v>
      </c>
      <c r="X87" s="34">
        <f>20</f>
        <v>20</v>
      </c>
    </row>
    <row r="88" spans="1:24">
      <c r="A88" s="25" t="s">
        <v>1254</v>
      </c>
      <c r="B88" s="25" t="s">
        <v>246</v>
      </c>
      <c r="C88" s="25" t="s">
        <v>247</v>
      </c>
      <c r="D88" s="25" t="s">
        <v>248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47560</f>
        <v>47560</v>
      </c>
      <c r="L88" s="32" t="s">
        <v>1239</v>
      </c>
      <c r="M88" s="31">
        <f>49090</f>
        <v>49090</v>
      </c>
      <c r="N88" s="32" t="s">
        <v>859</v>
      </c>
      <c r="O88" s="31">
        <f>47470</f>
        <v>47470</v>
      </c>
      <c r="P88" s="32" t="s">
        <v>1239</v>
      </c>
      <c r="Q88" s="31">
        <f>48020</f>
        <v>48020</v>
      </c>
      <c r="R88" s="32" t="s">
        <v>755</v>
      </c>
      <c r="S88" s="33">
        <f>48171.5</f>
        <v>48171.5</v>
      </c>
      <c r="T88" s="39">
        <f>16347</f>
        <v>16347</v>
      </c>
      <c r="U88" s="30">
        <f>8092</f>
        <v>8092</v>
      </c>
      <c r="V88" s="30">
        <f>784829772</f>
        <v>784829772</v>
      </c>
      <c r="W88" s="30">
        <f>386197102</f>
        <v>386197102</v>
      </c>
      <c r="X88" s="34">
        <f>20</f>
        <v>20</v>
      </c>
    </row>
    <row r="89" spans="1:24">
      <c r="A89" s="25" t="s">
        <v>1254</v>
      </c>
      <c r="B89" s="25" t="s">
        <v>249</v>
      </c>
      <c r="C89" s="25" t="s">
        <v>250</v>
      </c>
      <c r="D89" s="25" t="s">
        <v>251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10</v>
      </c>
      <c r="K89" s="31">
        <f>439.5</f>
        <v>439.5</v>
      </c>
      <c r="L89" s="32" t="s">
        <v>1239</v>
      </c>
      <c r="M89" s="31">
        <f>487.4</f>
        <v>487.4</v>
      </c>
      <c r="N89" s="32" t="s">
        <v>859</v>
      </c>
      <c r="O89" s="31">
        <f>435.3</f>
        <v>435.3</v>
      </c>
      <c r="P89" s="32" t="s">
        <v>1239</v>
      </c>
      <c r="Q89" s="31">
        <f>484.4</f>
        <v>484.4</v>
      </c>
      <c r="R89" s="32" t="s">
        <v>755</v>
      </c>
      <c r="S89" s="33">
        <f>462.6</f>
        <v>462.6</v>
      </c>
      <c r="T89" s="39">
        <f>79143650</f>
        <v>79143650</v>
      </c>
      <c r="U89" s="30">
        <f>4590</f>
        <v>4590</v>
      </c>
      <c r="V89" s="30">
        <f>36779016862</f>
        <v>36779016862</v>
      </c>
      <c r="W89" s="30">
        <f>2180718</f>
        <v>2180718</v>
      </c>
      <c r="X89" s="34">
        <f>20</f>
        <v>20</v>
      </c>
    </row>
    <row r="90" spans="1:24">
      <c r="A90" s="25" t="s">
        <v>1254</v>
      </c>
      <c r="B90" s="25" t="s">
        <v>252</v>
      </c>
      <c r="C90" s="25" t="s">
        <v>253</v>
      </c>
      <c r="D90" s="25" t="s">
        <v>254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10</v>
      </c>
      <c r="K90" s="31">
        <f>1210.5</f>
        <v>1210.5</v>
      </c>
      <c r="L90" s="32" t="s">
        <v>1239</v>
      </c>
      <c r="M90" s="31">
        <f>1216</f>
        <v>1216</v>
      </c>
      <c r="N90" s="32" t="s">
        <v>1239</v>
      </c>
      <c r="O90" s="31">
        <f>1148</f>
        <v>1148</v>
      </c>
      <c r="P90" s="32" t="s">
        <v>859</v>
      </c>
      <c r="Q90" s="31">
        <f>1153</f>
        <v>1153</v>
      </c>
      <c r="R90" s="32" t="s">
        <v>755</v>
      </c>
      <c r="S90" s="33">
        <f>1179.88</f>
        <v>1179.8800000000001</v>
      </c>
      <c r="T90" s="39">
        <f>764280</f>
        <v>764280</v>
      </c>
      <c r="U90" s="30">
        <f>25110</f>
        <v>25110</v>
      </c>
      <c r="V90" s="30">
        <f>904011855</f>
        <v>904011855</v>
      </c>
      <c r="W90" s="30">
        <f>29131070</f>
        <v>29131070</v>
      </c>
      <c r="X90" s="34">
        <f>20</f>
        <v>20</v>
      </c>
    </row>
    <row r="91" spans="1:24">
      <c r="A91" s="25" t="s">
        <v>1254</v>
      </c>
      <c r="B91" s="25" t="s">
        <v>255</v>
      </c>
      <c r="C91" s="25" t="s">
        <v>256</v>
      </c>
      <c r="D91" s="25" t="s">
        <v>257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</v>
      </c>
      <c r="K91" s="31">
        <f>22675</f>
        <v>22675</v>
      </c>
      <c r="L91" s="32" t="s">
        <v>1239</v>
      </c>
      <c r="M91" s="31">
        <f>25600</f>
        <v>25600</v>
      </c>
      <c r="N91" s="32" t="s">
        <v>1211</v>
      </c>
      <c r="O91" s="31">
        <f>22485</f>
        <v>22485</v>
      </c>
      <c r="P91" s="32" t="s">
        <v>1239</v>
      </c>
      <c r="Q91" s="31">
        <f>24970</f>
        <v>24970</v>
      </c>
      <c r="R91" s="32" t="s">
        <v>755</v>
      </c>
      <c r="S91" s="33">
        <f>24305.75</f>
        <v>24305.75</v>
      </c>
      <c r="T91" s="39">
        <f>79764710</f>
        <v>79764710</v>
      </c>
      <c r="U91" s="30">
        <f>209409</f>
        <v>209409</v>
      </c>
      <c r="V91" s="30">
        <f>1936236904895</f>
        <v>1936236904895</v>
      </c>
      <c r="W91" s="30">
        <f>5120320540</f>
        <v>5120320540</v>
      </c>
      <c r="X91" s="34">
        <f>20</f>
        <v>20</v>
      </c>
    </row>
    <row r="92" spans="1:24">
      <c r="A92" s="25" t="s">
        <v>1254</v>
      </c>
      <c r="B92" s="25" t="s">
        <v>258</v>
      </c>
      <c r="C92" s="25" t="s">
        <v>259</v>
      </c>
      <c r="D92" s="25" t="s">
        <v>260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</v>
      </c>
      <c r="K92" s="31">
        <f>600</f>
        <v>600</v>
      </c>
      <c r="L92" s="32" t="s">
        <v>1239</v>
      </c>
      <c r="M92" s="31">
        <f>602</f>
        <v>602</v>
      </c>
      <c r="N92" s="32" t="s">
        <v>1239</v>
      </c>
      <c r="O92" s="31">
        <f>562</f>
        <v>562</v>
      </c>
      <c r="P92" s="32" t="s">
        <v>1211</v>
      </c>
      <c r="Q92" s="31">
        <f>568</f>
        <v>568</v>
      </c>
      <c r="R92" s="32" t="s">
        <v>755</v>
      </c>
      <c r="S92" s="33">
        <f>577.85</f>
        <v>577.85</v>
      </c>
      <c r="T92" s="39">
        <f>31708520</f>
        <v>31708520</v>
      </c>
      <c r="U92" s="30">
        <f>5709155</f>
        <v>5709155</v>
      </c>
      <c r="V92" s="30">
        <f>18274115044</f>
        <v>18274115044</v>
      </c>
      <c r="W92" s="30">
        <f>3261769089</f>
        <v>3261769089</v>
      </c>
      <c r="X92" s="34">
        <f>20</f>
        <v>20</v>
      </c>
    </row>
    <row r="93" spans="1:24">
      <c r="A93" s="25" t="s">
        <v>1254</v>
      </c>
      <c r="B93" s="25" t="s">
        <v>261</v>
      </c>
      <c r="C93" s="25" t="s">
        <v>262</v>
      </c>
      <c r="D93" s="25" t="s">
        <v>263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10</v>
      </c>
      <c r="K93" s="31">
        <f>5913</f>
        <v>5913</v>
      </c>
      <c r="L93" s="32" t="s">
        <v>1239</v>
      </c>
      <c r="M93" s="31">
        <f>6914</f>
        <v>6914</v>
      </c>
      <c r="N93" s="32" t="s">
        <v>1211</v>
      </c>
      <c r="O93" s="31">
        <f>5911</f>
        <v>5911</v>
      </c>
      <c r="P93" s="32" t="s">
        <v>1239</v>
      </c>
      <c r="Q93" s="31">
        <f>6445</f>
        <v>6445</v>
      </c>
      <c r="R93" s="32" t="s">
        <v>755</v>
      </c>
      <c r="S93" s="33">
        <f>6543.3</f>
        <v>6543.3</v>
      </c>
      <c r="T93" s="39">
        <f>254560</f>
        <v>254560</v>
      </c>
      <c r="U93" s="30" t="str">
        <f>"－"</f>
        <v>－</v>
      </c>
      <c r="V93" s="30">
        <f>1656845430</f>
        <v>1656845430</v>
      </c>
      <c r="W93" s="30" t="str">
        <f>"－"</f>
        <v>－</v>
      </c>
      <c r="X93" s="34">
        <f>20</f>
        <v>20</v>
      </c>
    </row>
    <row r="94" spans="1:24">
      <c r="A94" s="25" t="s">
        <v>1254</v>
      </c>
      <c r="B94" s="25" t="s">
        <v>264</v>
      </c>
      <c r="C94" s="25" t="s">
        <v>265</v>
      </c>
      <c r="D94" s="25" t="s">
        <v>266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10</v>
      </c>
      <c r="K94" s="31">
        <f>8211</f>
        <v>8211</v>
      </c>
      <c r="L94" s="32" t="s">
        <v>1239</v>
      </c>
      <c r="M94" s="31">
        <f>8408</f>
        <v>8408</v>
      </c>
      <c r="N94" s="32" t="s">
        <v>1240</v>
      </c>
      <c r="O94" s="31">
        <f>7680</f>
        <v>7680</v>
      </c>
      <c r="P94" s="32" t="s">
        <v>1076</v>
      </c>
      <c r="Q94" s="31">
        <f>7965</f>
        <v>7965</v>
      </c>
      <c r="R94" s="32" t="s">
        <v>755</v>
      </c>
      <c r="S94" s="33">
        <f>7957</f>
        <v>7957</v>
      </c>
      <c r="T94" s="39">
        <f>31850</f>
        <v>31850</v>
      </c>
      <c r="U94" s="30" t="str">
        <f>"－"</f>
        <v>－</v>
      </c>
      <c r="V94" s="30">
        <f>254183290</f>
        <v>254183290</v>
      </c>
      <c r="W94" s="30" t="str">
        <f>"－"</f>
        <v>－</v>
      </c>
      <c r="X94" s="34">
        <f>20</f>
        <v>20</v>
      </c>
    </row>
    <row r="95" spans="1:24">
      <c r="A95" s="25" t="s">
        <v>1254</v>
      </c>
      <c r="B95" s="25" t="s">
        <v>267</v>
      </c>
      <c r="C95" s="25" t="s">
        <v>268</v>
      </c>
      <c r="D95" s="25" t="s">
        <v>944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</v>
      </c>
      <c r="K95" s="31">
        <f>37090</f>
        <v>37090</v>
      </c>
      <c r="L95" s="32" t="s">
        <v>1239</v>
      </c>
      <c r="M95" s="31">
        <f>38700</f>
        <v>38700</v>
      </c>
      <c r="N95" s="32" t="s">
        <v>1211</v>
      </c>
      <c r="O95" s="31">
        <f>36790</f>
        <v>36790</v>
      </c>
      <c r="P95" s="32" t="s">
        <v>1239</v>
      </c>
      <c r="Q95" s="31">
        <f>38630</f>
        <v>38630</v>
      </c>
      <c r="R95" s="32" t="s">
        <v>755</v>
      </c>
      <c r="S95" s="33">
        <f>37729</f>
        <v>37729</v>
      </c>
      <c r="T95" s="39">
        <f>85981</f>
        <v>85981</v>
      </c>
      <c r="U95" s="30">
        <f>31804</f>
        <v>31804</v>
      </c>
      <c r="V95" s="30">
        <f>3250126244</f>
        <v>3250126244</v>
      </c>
      <c r="W95" s="30">
        <f>1212193174</f>
        <v>1212193174</v>
      </c>
      <c r="X95" s="34">
        <f>20</f>
        <v>20</v>
      </c>
    </row>
    <row r="96" spans="1:24">
      <c r="A96" s="25" t="s">
        <v>1254</v>
      </c>
      <c r="B96" s="25" t="s">
        <v>269</v>
      </c>
      <c r="C96" s="25" t="s">
        <v>270</v>
      </c>
      <c r="D96" s="25" t="s">
        <v>271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</v>
      </c>
      <c r="K96" s="31">
        <f>2907</f>
        <v>2907</v>
      </c>
      <c r="L96" s="32" t="s">
        <v>1239</v>
      </c>
      <c r="M96" s="31">
        <f>3100</f>
        <v>3100</v>
      </c>
      <c r="N96" s="32" t="s">
        <v>859</v>
      </c>
      <c r="O96" s="31">
        <f>2896</f>
        <v>2896</v>
      </c>
      <c r="P96" s="32" t="s">
        <v>1239</v>
      </c>
      <c r="Q96" s="31">
        <f>3065</f>
        <v>3065</v>
      </c>
      <c r="R96" s="32" t="s">
        <v>755</v>
      </c>
      <c r="S96" s="33">
        <f>3013.1</f>
        <v>3013.1</v>
      </c>
      <c r="T96" s="39">
        <f>677289</f>
        <v>677289</v>
      </c>
      <c r="U96" s="30">
        <f>520151</f>
        <v>520151</v>
      </c>
      <c r="V96" s="30">
        <f>1997364916</f>
        <v>1997364916</v>
      </c>
      <c r="W96" s="30">
        <f>1524518000</f>
        <v>1524518000</v>
      </c>
      <c r="X96" s="34">
        <f>20</f>
        <v>20</v>
      </c>
    </row>
    <row r="97" spans="1:24">
      <c r="A97" s="25" t="s">
        <v>1254</v>
      </c>
      <c r="B97" s="25" t="s">
        <v>272</v>
      </c>
      <c r="C97" s="25" t="s">
        <v>273</v>
      </c>
      <c r="D97" s="25" t="s">
        <v>274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10</v>
      </c>
      <c r="K97" s="31">
        <f>244</f>
        <v>244</v>
      </c>
      <c r="L97" s="32" t="s">
        <v>1239</v>
      </c>
      <c r="M97" s="31">
        <f>276</f>
        <v>276</v>
      </c>
      <c r="N97" s="32" t="s">
        <v>1211</v>
      </c>
      <c r="O97" s="31">
        <f>241.9</f>
        <v>241.9</v>
      </c>
      <c r="P97" s="32" t="s">
        <v>1239</v>
      </c>
      <c r="Q97" s="31">
        <f>268.7</f>
        <v>268.7</v>
      </c>
      <c r="R97" s="32" t="s">
        <v>755</v>
      </c>
      <c r="S97" s="33">
        <f>261.48</f>
        <v>261.48</v>
      </c>
      <c r="T97" s="39">
        <f>591066840</f>
        <v>591066840</v>
      </c>
      <c r="U97" s="30">
        <f>14340810</f>
        <v>14340810</v>
      </c>
      <c r="V97" s="30">
        <f>154062745366</f>
        <v>154062745366</v>
      </c>
      <c r="W97" s="30">
        <f>3753968449</f>
        <v>3753968449</v>
      </c>
      <c r="X97" s="34">
        <f>20</f>
        <v>20</v>
      </c>
    </row>
    <row r="98" spans="1:24">
      <c r="A98" s="25" t="s">
        <v>1254</v>
      </c>
      <c r="B98" s="25" t="s">
        <v>275</v>
      </c>
      <c r="C98" s="25" t="s">
        <v>276</v>
      </c>
      <c r="D98" s="25" t="s">
        <v>277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10</v>
      </c>
      <c r="K98" s="31">
        <f>1591</f>
        <v>1591</v>
      </c>
      <c r="L98" s="32" t="s">
        <v>1239</v>
      </c>
      <c r="M98" s="31">
        <f>1598.5</f>
        <v>1598.5</v>
      </c>
      <c r="N98" s="32" t="s">
        <v>1239</v>
      </c>
      <c r="O98" s="31">
        <f>1494</f>
        <v>1494</v>
      </c>
      <c r="P98" s="32" t="s">
        <v>1211</v>
      </c>
      <c r="Q98" s="31">
        <f>1512</f>
        <v>1512</v>
      </c>
      <c r="R98" s="32" t="s">
        <v>755</v>
      </c>
      <c r="S98" s="33">
        <f>1536.4</f>
        <v>1536.4</v>
      </c>
      <c r="T98" s="39">
        <f>7016550</f>
        <v>7016550</v>
      </c>
      <c r="U98" s="30">
        <f>701570</f>
        <v>701570</v>
      </c>
      <c r="V98" s="30">
        <f>10821544630</f>
        <v>10821544630</v>
      </c>
      <c r="W98" s="30">
        <f>1061279965</f>
        <v>1061279965</v>
      </c>
      <c r="X98" s="34">
        <f>20</f>
        <v>20</v>
      </c>
    </row>
    <row r="99" spans="1:24">
      <c r="A99" s="25" t="s">
        <v>1254</v>
      </c>
      <c r="B99" s="25" t="s">
        <v>278</v>
      </c>
      <c r="C99" s="25" t="s">
        <v>894</v>
      </c>
      <c r="D99" s="25" t="s">
        <v>895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1842</f>
        <v>1842</v>
      </c>
      <c r="L99" s="32" t="s">
        <v>1239</v>
      </c>
      <c r="M99" s="31">
        <f>1932</f>
        <v>1932</v>
      </c>
      <c r="N99" s="32" t="s">
        <v>859</v>
      </c>
      <c r="O99" s="31">
        <f>1842</f>
        <v>1842</v>
      </c>
      <c r="P99" s="32" t="s">
        <v>1239</v>
      </c>
      <c r="Q99" s="31">
        <f>1910.5</f>
        <v>1910.5</v>
      </c>
      <c r="R99" s="32" t="s">
        <v>755</v>
      </c>
      <c r="S99" s="33">
        <f>1873.46</f>
        <v>1873.46</v>
      </c>
      <c r="T99" s="39">
        <f>28130</f>
        <v>28130</v>
      </c>
      <c r="U99" s="30">
        <f>22000</f>
        <v>22000</v>
      </c>
      <c r="V99" s="30">
        <f>52349425</f>
        <v>52349425</v>
      </c>
      <c r="W99" s="30">
        <f>40800980</f>
        <v>40800980</v>
      </c>
      <c r="X99" s="34">
        <f>14</f>
        <v>14</v>
      </c>
    </row>
    <row r="100" spans="1:24">
      <c r="A100" s="25" t="s">
        <v>1254</v>
      </c>
      <c r="B100" s="25" t="s">
        <v>279</v>
      </c>
      <c r="C100" s="25" t="s">
        <v>280</v>
      </c>
      <c r="D100" s="25" t="s">
        <v>281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</v>
      </c>
      <c r="K100" s="31">
        <f>2130</f>
        <v>2130</v>
      </c>
      <c r="L100" s="32" t="s">
        <v>1239</v>
      </c>
      <c r="M100" s="31">
        <f>2240</f>
        <v>2240</v>
      </c>
      <c r="N100" s="32" t="s">
        <v>755</v>
      </c>
      <c r="O100" s="31">
        <f>2124</f>
        <v>2124</v>
      </c>
      <c r="P100" s="32" t="s">
        <v>1239</v>
      </c>
      <c r="Q100" s="31">
        <f>2217</f>
        <v>2217</v>
      </c>
      <c r="R100" s="32" t="s">
        <v>755</v>
      </c>
      <c r="S100" s="33">
        <f>2183.55</f>
        <v>2183.5500000000002</v>
      </c>
      <c r="T100" s="39">
        <f>1279</f>
        <v>1279</v>
      </c>
      <c r="U100" s="30" t="str">
        <f>"－"</f>
        <v>－</v>
      </c>
      <c r="V100" s="30">
        <f>2793813</f>
        <v>2793813</v>
      </c>
      <c r="W100" s="30" t="str">
        <f>"－"</f>
        <v>－</v>
      </c>
      <c r="X100" s="34">
        <f>20</f>
        <v>20</v>
      </c>
    </row>
    <row r="101" spans="1:24">
      <c r="A101" s="25" t="s">
        <v>1254</v>
      </c>
      <c r="B101" s="25" t="s">
        <v>282</v>
      </c>
      <c r="C101" s="25" t="s">
        <v>283</v>
      </c>
      <c r="D101" s="25" t="s">
        <v>284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</v>
      </c>
      <c r="K101" s="31">
        <f>24205</f>
        <v>24205</v>
      </c>
      <c r="L101" s="32" t="s">
        <v>1239</v>
      </c>
      <c r="M101" s="31">
        <f>25550</f>
        <v>25550</v>
      </c>
      <c r="N101" s="32" t="s">
        <v>859</v>
      </c>
      <c r="O101" s="31">
        <f>24125</f>
        <v>24125</v>
      </c>
      <c r="P101" s="32" t="s">
        <v>1239</v>
      </c>
      <c r="Q101" s="31">
        <f>25490</f>
        <v>25490</v>
      </c>
      <c r="R101" s="32" t="s">
        <v>755</v>
      </c>
      <c r="S101" s="33">
        <f>24879.75</f>
        <v>24879.75</v>
      </c>
      <c r="T101" s="39">
        <f>54752</f>
        <v>54752</v>
      </c>
      <c r="U101" s="30">
        <f>17216</f>
        <v>17216</v>
      </c>
      <c r="V101" s="30">
        <f>1363005430</f>
        <v>1363005430</v>
      </c>
      <c r="W101" s="30">
        <f>427708770</f>
        <v>427708770</v>
      </c>
      <c r="X101" s="34">
        <f>20</f>
        <v>20</v>
      </c>
    </row>
    <row r="102" spans="1:24">
      <c r="A102" s="25" t="s">
        <v>1254</v>
      </c>
      <c r="B102" s="25" t="s">
        <v>285</v>
      </c>
      <c r="C102" s="25" t="s">
        <v>286</v>
      </c>
      <c r="D102" s="25" t="s">
        <v>287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2242</f>
        <v>2242</v>
      </c>
      <c r="L102" s="32" t="s">
        <v>1239</v>
      </c>
      <c r="M102" s="31">
        <f>2367</f>
        <v>2367</v>
      </c>
      <c r="N102" s="32" t="s">
        <v>859</v>
      </c>
      <c r="O102" s="31">
        <f>2237</f>
        <v>2237</v>
      </c>
      <c r="P102" s="32" t="s">
        <v>1239</v>
      </c>
      <c r="Q102" s="31">
        <f>2360</f>
        <v>2360</v>
      </c>
      <c r="R102" s="32" t="s">
        <v>755</v>
      </c>
      <c r="S102" s="33">
        <f>2305.2</f>
        <v>2305.1999999999998</v>
      </c>
      <c r="T102" s="39">
        <f>77102</f>
        <v>77102</v>
      </c>
      <c r="U102" s="30">
        <f>31100</f>
        <v>31100</v>
      </c>
      <c r="V102" s="30">
        <f>178759092</f>
        <v>178759092</v>
      </c>
      <c r="W102" s="30">
        <f>72351740</f>
        <v>72351740</v>
      </c>
      <c r="X102" s="34">
        <f>20</f>
        <v>20</v>
      </c>
    </row>
    <row r="103" spans="1:24">
      <c r="A103" s="25" t="s">
        <v>1254</v>
      </c>
      <c r="B103" s="25" t="s">
        <v>288</v>
      </c>
      <c r="C103" s="25" t="s">
        <v>289</v>
      </c>
      <c r="D103" s="25" t="s">
        <v>290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25095</f>
        <v>25095</v>
      </c>
      <c r="L103" s="32" t="s">
        <v>1239</v>
      </c>
      <c r="M103" s="31">
        <f>26445</f>
        <v>26445</v>
      </c>
      <c r="N103" s="32" t="s">
        <v>859</v>
      </c>
      <c r="O103" s="31">
        <f>25095</f>
        <v>25095</v>
      </c>
      <c r="P103" s="32" t="s">
        <v>1239</v>
      </c>
      <c r="Q103" s="31">
        <f>26350</f>
        <v>26350</v>
      </c>
      <c r="R103" s="32" t="s">
        <v>755</v>
      </c>
      <c r="S103" s="33">
        <f>25792.5</f>
        <v>25792.5</v>
      </c>
      <c r="T103" s="39">
        <f>18487</f>
        <v>18487</v>
      </c>
      <c r="U103" s="30">
        <f>6423</f>
        <v>6423</v>
      </c>
      <c r="V103" s="30">
        <f>476303329</f>
        <v>476303329</v>
      </c>
      <c r="W103" s="30">
        <f>165503764</f>
        <v>165503764</v>
      </c>
      <c r="X103" s="34">
        <f>20</f>
        <v>20</v>
      </c>
    </row>
    <row r="104" spans="1:24">
      <c r="A104" s="25" t="s">
        <v>1254</v>
      </c>
      <c r="B104" s="25" t="s">
        <v>291</v>
      </c>
      <c r="C104" s="25" t="s">
        <v>292</v>
      </c>
      <c r="D104" s="25" t="s">
        <v>293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10</v>
      </c>
      <c r="K104" s="31">
        <f>1734.5</f>
        <v>1734.5</v>
      </c>
      <c r="L104" s="32" t="s">
        <v>1239</v>
      </c>
      <c r="M104" s="31">
        <f>1792</f>
        <v>1792</v>
      </c>
      <c r="N104" s="32" t="s">
        <v>1079</v>
      </c>
      <c r="O104" s="31">
        <f>1734.5</f>
        <v>1734.5</v>
      </c>
      <c r="P104" s="32" t="s">
        <v>1239</v>
      </c>
      <c r="Q104" s="31">
        <f>1771.5</f>
        <v>1771.5</v>
      </c>
      <c r="R104" s="32" t="s">
        <v>755</v>
      </c>
      <c r="S104" s="33">
        <f>1767.15</f>
        <v>1767.15</v>
      </c>
      <c r="T104" s="39">
        <f>1379820</f>
        <v>1379820</v>
      </c>
      <c r="U104" s="30">
        <f>1130120</f>
        <v>1130120</v>
      </c>
      <c r="V104" s="30">
        <f>2436393580</f>
        <v>2436393580</v>
      </c>
      <c r="W104" s="30">
        <f>1996192320</f>
        <v>1996192320</v>
      </c>
      <c r="X104" s="34">
        <f>20</f>
        <v>20</v>
      </c>
    </row>
    <row r="105" spans="1:24">
      <c r="A105" s="25" t="s">
        <v>1254</v>
      </c>
      <c r="B105" s="25" t="s">
        <v>294</v>
      </c>
      <c r="C105" s="25" t="s">
        <v>295</v>
      </c>
      <c r="D105" s="25" t="s">
        <v>296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10</v>
      </c>
      <c r="K105" s="31">
        <f>2230</f>
        <v>2230</v>
      </c>
      <c r="L105" s="32" t="s">
        <v>1077</v>
      </c>
      <c r="M105" s="31">
        <f>2430</f>
        <v>2430</v>
      </c>
      <c r="N105" s="32" t="s">
        <v>1206</v>
      </c>
      <c r="O105" s="31">
        <f>2186</f>
        <v>2186</v>
      </c>
      <c r="P105" s="32" t="s">
        <v>1080</v>
      </c>
      <c r="Q105" s="31">
        <f>2186</f>
        <v>2186</v>
      </c>
      <c r="R105" s="32" t="s">
        <v>859</v>
      </c>
      <c r="S105" s="33">
        <f>2236.25</f>
        <v>2236.25</v>
      </c>
      <c r="T105" s="39">
        <f>360</f>
        <v>360</v>
      </c>
      <c r="U105" s="30" t="str">
        <f>"－"</f>
        <v>－</v>
      </c>
      <c r="V105" s="30">
        <f>806480</f>
        <v>806480</v>
      </c>
      <c r="W105" s="30" t="str">
        <f>"－"</f>
        <v>－</v>
      </c>
      <c r="X105" s="34">
        <f>6</f>
        <v>6</v>
      </c>
    </row>
    <row r="106" spans="1:24">
      <c r="A106" s="25" t="s">
        <v>1254</v>
      </c>
      <c r="B106" s="25" t="s">
        <v>297</v>
      </c>
      <c r="C106" s="25" t="s">
        <v>298</v>
      </c>
      <c r="D106" s="25" t="s">
        <v>299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1764</f>
        <v>1764</v>
      </c>
      <c r="L106" s="32" t="s">
        <v>1239</v>
      </c>
      <c r="M106" s="31">
        <f>1807</f>
        <v>1807</v>
      </c>
      <c r="N106" s="32" t="s">
        <v>1079</v>
      </c>
      <c r="O106" s="31">
        <f>1755.5</f>
        <v>1755.5</v>
      </c>
      <c r="P106" s="32" t="s">
        <v>850</v>
      </c>
      <c r="Q106" s="31">
        <f>1793.5</f>
        <v>1793.5</v>
      </c>
      <c r="R106" s="32" t="s">
        <v>755</v>
      </c>
      <c r="S106" s="33">
        <f>1782.5</f>
        <v>1782.5</v>
      </c>
      <c r="T106" s="39">
        <f>4833030</f>
        <v>4833030</v>
      </c>
      <c r="U106" s="30">
        <f>3446380</f>
        <v>3446380</v>
      </c>
      <c r="V106" s="30">
        <f>8611720053</f>
        <v>8611720053</v>
      </c>
      <c r="W106" s="30">
        <f>6143211243</f>
        <v>6143211243</v>
      </c>
      <c r="X106" s="34">
        <f>20</f>
        <v>20</v>
      </c>
    </row>
    <row r="107" spans="1:24">
      <c r="A107" s="25" t="s">
        <v>1254</v>
      </c>
      <c r="B107" s="25" t="s">
        <v>300</v>
      </c>
      <c r="C107" s="25" t="s">
        <v>896</v>
      </c>
      <c r="D107" s="25" t="s">
        <v>897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</v>
      </c>
      <c r="K107" s="31">
        <f>24915</f>
        <v>24915</v>
      </c>
      <c r="L107" s="32" t="s">
        <v>1239</v>
      </c>
      <c r="M107" s="31">
        <f>26190</f>
        <v>26190</v>
      </c>
      <c r="N107" s="32" t="s">
        <v>859</v>
      </c>
      <c r="O107" s="31">
        <f>24875</f>
        <v>24875</v>
      </c>
      <c r="P107" s="32" t="s">
        <v>1239</v>
      </c>
      <c r="Q107" s="31">
        <f>26180</f>
        <v>26180</v>
      </c>
      <c r="R107" s="32" t="s">
        <v>755</v>
      </c>
      <c r="S107" s="33">
        <f>25545.5</f>
        <v>25545.5</v>
      </c>
      <c r="T107" s="39">
        <f>2784</f>
        <v>2784</v>
      </c>
      <c r="U107" s="30" t="str">
        <f>"－"</f>
        <v>－</v>
      </c>
      <c r="V107" s="30">
        <f>70745875</f>
        <v>70745875</v>
      </c>
      <c r="W107" s="30" t="str">
        <f>"－"</f>
        <v>－</v>
      </c>
      <c r="X107" s="34">
        <f>20</f>
        <v>20</v>
      </c>
    </row>
    <row r="108" spans="1:24">
      <c r="A108" s="25" t="s">
        <v>1254</v>
      </c>
      <c r="B108" s="25" t="s">
        <v>1097</v>
      </c>
      <c r="C108" s="25" t="s">
        <v>1096</v>
      </c>
      <c r="D108" s="25" t="s">
        <v>1095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505.9</f>
        <v>505.9</v>
      </c>
      <c r="L108" s="32" t="s">
        <v>1239</v>
      </c>
      <c r="M108" s="31">
        <f>533.1</f>
        <v>533.1</v>
      </c>
      <c r="N108" s="32" t="s">
        <v>859</v>
      </c>
      <c r="O108" s="31">
        <f>503.5</f>
        <v>503.5</v>
      </c>
      <c r="P108" s="32" t="s">
        <v>1239</v>
      </c>
      <c r="Q108" s="31">
        <f>530.4</f>
        <v>530.4</v>
      </c>
      <c r="R108" s="32" t="s">
        <v>755</v>
      </c>
      <c r="S108" s="33">
        <f>519.28</f>
        <v>519.28</v>
      </c>
      <c r="T108" s="39">
        <f>1024370</f>
        <v>1024370</v>
      </c>
      <c r="U108" s="30">
        <f>320000</f>
        <v>320000</v>
      </c>
      <c r="V108" s="30">
        <f>530852952</f>
        <v>530852952</v>
      </c>
      <c r="W108" s="30">
        <f>164160000</f>
        <v>164160000</v>
      </c>
      <c r="X108" s="34">
        <f>20</f>
        <v>20</v>
      </c>
    </row>
    <row r="109" spans="1:24">
      <c r="A109" s="25" t="s">
        <v>1254</v>
      </c>
      <c r="B109" s="25" t="s">
        <v>301</v>
      </c>
      <c r="C109" s="25" t="s">
        <v>302</v>
      </c>
      <c r="D109" s="25" t="s">
        <v>303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100</v>
      </c>
      <c r="K109" s="31">
        <f>378.9</f>
        <v>378.9</v>
      </c>
      <c r="L109" s="32" t="s">
        <v>1239</v>
      </c>
      <c r="M109" s="31">
        <f>414.4</f>
        <v>414.4</v>
      </c>
      <c r="N109" s="32" t="s">
        <v>755</v>
      </c>
      <c r="O109" s="31">
        <f>357.7</f>
        <v>357.7</v>
      </c>
      <c r="P109" s="32" t="s">
        <v>1240</v>
      </c>
      <c r="Q109" s="31">
        <f>412.1</f>
        <v>412.1</v>
      </c>
      <c r="R109" s="32" t="s">
        <v>755</v>
      </c>
      <c r="S109" s="33">
        <f>392.15</f>
        <v>392.15</v>
      </c>
      <c r="T109" s="39">
        <f>109282000</f>
        <v>109282000</v>
      </c>
      <c r="U109" s="30">
        <f>15947700</f>
        <v>15947700</v>
      </c>
      <c r="V109" s="30">
        <f>42804574511</f>
        <v>42804574511</v>
      </c>
      <c r="W109" s="30">
        <f>6242377441</f>
        <v>6242377441</v>
      </c>
      <c r="X109" s="34">
        <f>20</f>
        <v>20</v>
      </c>
    </row>
    <row r="110" spans="1:24">
      <c r="A110" s="25" t="s">
        <v>1254</v>
      </c>
      <c r="B110" s="25" t="s">
        <v>304</v>
      </c>
      <c r="C110" s="25" t="s">
        <v>305</v>
      </c>
      <c r="D110" s="25" t="s">
        <v>306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</v>
      </c>
      <c r="K110" s="31">
        <f>38660</f>
        <v>38660</v>
      </c>
      <c r="L110" s="32" t="s">
        <v>1239</v>
      </c>
      <c r="M110" s="31">
        <f>39680</f>
        <v>39680</v>
      </c>
      <c r="N110" s="32" t="s">
        <v>1206</v>
      </c>
      <c r="O110" s="31">
        <f>37760</f>
        <v>37760</v>
      </c>
      <c r="P110" s="32" t="s">
        <v>851</v>
      </c>
      <c r="Q110" s="31">
        <f>38520</f>
        <v>38520</v>
      </c>
      <c r="R110" s="32" t="s">
        <v>755</v>
      </c>
      <c r="S110" s="33">
        <f>38659.5</f>
        <v>38659.5</v>
      </c>
      <c r="T110" s="39">
        <f>39885</f>
        <v>39885</v>
      </c>
      <c r="U110" s="30">
        <f>30014</f>
        <v>30014</v>
      </c>
      <c r="V110" s="30">
        <f>1543360297</f>
        <v>1543360297</v>
      </c>
      <c r="W110" s="30">
        <f>1159571097</f>
        <v>1159571097</v>
      </c>
      <c r="X110" s="34">
        <f>20</f>
        <v>20</v>
      </c>
    </row>
    <row r="111" spans="1:24">
      <c r="A111" s="25" t="s">
        <v>1254</v>
      </c>
      <c r="B111" s="25" t="s">
        <v>307</v>
      </c>
      <c r="C111" s="25" t="s">
        <v>308</v>
      </c>
      <c r="D111" s="25" t="s">
        <v>309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</v>
      </c>
      <c r="K111" s="31">
        <f>19080</f>
        <v>19080</v>
      </c>
      <c r="L111" s="32" t="s">
        <v>1239</v>
      </c>
      <c r="M111" s="31">
        <f>19900</f>
        <v>19900</v>
      </c>
      <c r="N111" s="32" t="s">
        <v>1211</v>
      </c>
      <c r="O111" s="31">
        <f>18880</f>
        <v>18880</v>
      </c>
      <c r="P111" s="32" t="s">
        <v>1081</v>
      </c>
      <c r="Q111" s="31">
        <f>19480</f>
        <v>19480</v>
      </c>
      <c r="R111" s="32" t="s">
        <v>755</v>
      </c>
      <c r="S111" s="33">
        <f>19252.5</f>
        <v>19252.5</v>
      </c>
      <c r="T111" s="39">
        <f>3606</f>
        <v>3606</v>
      </c>
      <c r="U111" s="30">
        <f>10</f>
        <v>10</v>
      </c>
      <c r="V111" s="30">
        <f>69434900</f>
        <v>69434900</v>
      </c>
      <c r="W111" s="30">
        <f>192460</f>
        <v>192460</v>
      </c>
      <c r="X111" s="34">
        <f>20</f>
        <v>20</v>
      </c>
    </row>
    <row r="112" spans="1:24">
      <c r="A112" s="25" t="s">
        <v>1254</v>
      </c>
      <c r="B112" s="25" t="s">
        <v>310</v>
      </c>
      <c r="C112" s="25" t="s">
        <v>311</v>
      </c>
      <c r="D112" s="25" t="s">
        <v>312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32040</f>
        <v>32040</v>
      </c>
      <c r="L112" s="32" t="s">
        <v>1239</v>
      </c>
      <c r="M112" s="31">
        <f>33240</f>
        <v>33240</v>
      </c>
      <c r="N112" s="32" t="s">
        <v>1211</v>
      </c>
      <c r="O112" s="31">
        <f>31520</f>
        <v>31520</v>
      </c>
      <c r="P112" s="32" t="s">
        <v>851</v>
      </c>
      <c r="Q112" s="31">
        <f>32650</f>
        <v>32650</v>
      </c>
      <c r="R112" s="32" t="s">
        <v>755</v>
      </c>
      <c r="S112" s="33">
        <f>32437</f>
        <v>32437</v>
      </c>
      <c r="T112" s="39">
        <f>35851</f>
        <v>35851</v>
      </c>
      <c r="U112" s="30">
        <f>29261</f>
        <v>29261</v>
      </c>
      <c r="V112" s="30">
        <f>1150091800</f>
        <v>1150091800</v>
      </c>
      <c r="W112" s="30">
        <f>937005570</f>
        <v>937005570</v>
      </c>
      <c r="X112" s="34">
        <f>20</f>
        <v>20</v>
      </c>
    </row>
    <row r="113" spans="1:24">
      <c r="A113" s="25" t="s">
        <v>1254</v>
      </c>
      <c r="B113" s="25" t="s">
        <v>313</v>
      </c>
      <c r="C113" s="25" t="s">
        <v>314</v>
      </c>
      <c r="D113" s="25" t="s">
        <v>315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26860</f>
        <v>26860</v>
      </c>
      <c r="L113" s="32" t="s">
        <v>1239</v>
      </c>
      <c r="M113" s="31">
        <f>28440</f>
        <v>28440</v>
      </c>
      <c r="N113" s="32" t="s">
        <v>1211</v>
      </c>
      <c r="O113" s="31">
        <f>26860</f>
        <v>26860</v>
      </c>
      <c r="P113" s="32" t="s">
        <v>1239</v>
      </c>
      <c r="Q113" s="31">
        <f>28370</f>
        <v>28370</v>
      </c>
      <c r="R113" s="32" t="s">
        <v>755</v>
      </c>
      <c r="S113" s="33">
        <f>27661.5</f>
        <v>27661.5</v>
      </c>
      <c r="T113" s="39">
        <f>8991</f>
        <v>8991</v>
      </c>
      <c r="U113" s="30">
        <f>4000</f>
        <v>4000</v>
      </c>
      <c r="V113" s="30">
        <f>252798128</f>
        <v>252798128</v>
      </c>
      <c r="W113" s="30">
        <f>113231898</f>
        <v>113231898</v>
      </c>
      <c r="X113" s="34">
        <f>20</f>
        <v>20</v>
      </c>
    </row>
    <row r="114" spans="1:24">
      <c r="A114" s="25" t="s">
        <v>1254</v>
      </c>
      <c r="B114" s="25" t="s">
        <v>316</v>
      </c>
      <c r="C114" s="25" t="s">
        <v>317</v>
      </c>
      <c r="D114" s="25" t="s">
        <v>318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26740</f>
        <v>26740</v>
      </c>
      <c r="L114" s="32" t="s">
        <v>1239</v>
      </c>
      <c r="M114" s="31">
        <f>27620</f>
        <v>27620</v>
      </c>
      <c r="N114" s="32" t="s">
        <v>1240</v>
      </c>
      <c r="O114" s="31">
        <f>24605</f>
        <v>24605</v>
      </c>
      <c r="P114" s="32" t="s">
        <v>851</v>
      </c>
      <c r="Q114" s="31">
        <f>26535</f>
        <v>26535</v>
      </c>
      <c r="R114" s="32" t="s">
        <v>755</v>
      </c>
      <c r="S114" s="33">
        <f>25858.75</f>
        <v>25858.75</v>
      </c>
      <c r="T114" s="39">
        <f>62840</f>
        <v>62840</v>
      </c>
      <c r="U114" s="30">
        <f>119</f>
        <v>119</v>
      </c>
      <c r="V114" s="30">
        <f>1620262152</f>
        <v>1620262152</v>
      </c>
      <c r="W114" s="30">
        <f>3136182</f>
        <v>3136182</v>
      </c>
      <c r="X114" s="34">
        <f>20</f>
        <v>20</v>
      </c>
    </row>
    <row r="115" spans="1:24">
      <c r="A115" s="25" t="s">
        <v>1254</v>
      </c>
      <c r="B115" s="25" t="s">
        <v>319</v>
      </c>
      <c r="C115" s="25" t="s">
        <v>320</v>
      </c>
      <c r="D115" s="25" t="s">
        <v>321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30350</f>
        <v>30350</v>
      </c>
      <c r="L115" s="32" t="s">
        <v>1239</v>
      </c>
      <c r="M115" s="31">
        <f>32020</f>
        <v>32020</v>
      </c>
      <c r="N115" s="32" t="s">
        <v>1211</v>
      </c>
      <c r="O115" s="31">
        <f>29625</f>
        <v>29625</v>
      </c>
      <c r="P115" s="32" t="s">
        <v>739</v>
      </c>
      <c r="Q115" s="31">
        <f>31350</f>
        <v>31350</v>
      </c>
      <c r="R115" s="32" t="s">
        <v>755</v>
      </c>
      <c r="S115" s="33">
        <f>30534.75</f>
        <v>30534.75</v>
      </c>
      <c r="T115" s="39">
        <f>20422</f>
        <v>20422</v>
      </c>
      <c r="U115" s="30">
        <f>50</f>
        <v>50</v>
      </c>
      <c r="V115" s="30">
        <f>621624385</f>
        <v>621624385</v>
      </c>
      <c r="W115" s="30">
        <f>1572160</f>
        <v>1572160</v>
      </c>
      <c r="X115" s="34">
        <f>20</f>
        <v>20</v>
      </c>
    </row>
    <row r="116" spans="1:24">
      <c r="A116" s="25" t="s">
        <v>1254</v>
      </c>
      <c r="B116" s="25" t="s">
        <v>322</v>
      </c>
      <c r="C116" s="25" t="s">
        <v>323</v>
      </c>
      <c r="D116" s="25" t="s">
        <v>324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25410</f>
        <v>25410</v>
      </c>
      <c r="L116" s="32" t="s">
        <v>1239</v>
      </c>
      <c r="M116" s="31">
        <f>27625</f>
        <v>27625</v>
      </c>
      <c r="N116" s="32" t="s">
        <v>859</v>
      </c>
      <c r="O116" s="31">
        <f>25250</f>
        <v>25250</v>
      </c>
      <c r="P116" s="32" t="s">
        <v>1239</v>
      </c>
      <c r="Q116" s="31">
        <f>27535</f>
        <v>27535</v>
      </c>
      <c r="R116" s="32" t="s">
        <v>755</v>
      </c>
      <c r="S116" s="33">
        <f>26302.5</f>
        <v>26302.5</v>
      </c>
      <c r="T116" s="39">
        <f>11919</f>
        <v>11919</v>
      </c>
      <c r="U116" s="30">
        <f>3041</f>
        <v>3041</v>
      </c>
      <c r="V116" s="30">
        <f>314578063</f>
        <v>314578063</v>
      </c>
      <c r="W116" s="30">
        <f>79589478</f>
        <v>79589478</v>
      </c>
      <c r="X116" s="34">
        <f>20</f>
        <v>20</v>
      </c>
    </row>
    <row r="117" spans="1:24">
      <c r="A117" s="25" t="s">
        <v>1254</v>
      </c>
      <c r="B117" s="25" t="s">
        <v>325</v>
      </c>
      <c r="C117" s="25" t="s">
        <v>326</v>
      </c>
      <c r="D117" s="25" t="s">
        <v>327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56300</f>
        <v>56300</v>
      </c>
      <c r="L117" s="32" t="s">
        <v>1239</v>
      </c>
      <c r="M117" s="31">
        <f>62530</f>
        <v>62530</v>
      </c>
      <c r="N117" s="32" t="s">
        <v>859</v>
      </c>
      <c r="O117" s="31">
        <f>56300</f>
        <v>56300</v>
      </c>
      <c r="P117" s="32" t="s">
        <v>1239</v>
      </c>
      <c r="Q117" s="31">
        <f>62370</f>
        <v>62370</v>
      </c>
      <c r="R117" s="32" t="s">
        <v>755</v>
      </c>
      <c r="S117" s="33">
        <f>59397.5</f>
        <v>59397.5</v>
      </c>
      <c r="T117" s="39">
        <f>1512</f>
        <v>1512</v>
      </c>
      <c r="U117" s="30">
        <f>18</f>
        <v>18</v>
      </c>
      <c r="V117" s="30">
        <f>88935370</f>
        <v>88935370</v>
      </c>
      <c r="W117" s="30">
        <f>1035130</f>
        <v>1035130</v>
      </c>
      <c r="X117" s="34">
        <f>20</f>
        <v>20</v>
      </c>
    </row>
    <row r="118" spans="1:24">
      <c r="A118" s="25" t="s">
        <v>1254</v>
      </c>
      <c r="B118" s="25" t="s">
        <v>328</v>
      </c>
      <c r="C118" s="25" t="s">
        <v>329</v>
      </c>
      <c r="D118" s="25" t="s">
        <v>330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36200</f>
        <v>36200</v>
      </c>
      <c r="L118" s="32" t="s">
        <v>1239</v>
      </c>
      <c r="M118" s="31">
        <f>39000</f>
        <v>39000</v>
      </c>
      <c r="N118" s="32" t="s">
        <v>859</v>
      </c>
      <c r="O118" s="31">
        <f>36000</f>
        <v>36000</v>
      </c>
      <c r="P118" s="32" t="s">
        <v>1239</v>
      </c>
      <c r="Q118" s="31">
        <f>38260</f>
        <v>38260</v>
      </c>
      <c r="R118" s="32" t="s">
        <v>755</v>
      </c>
      <c r="S118" s="33">
        <f>37631.5</f>
        <v>37631.5</v>
      </c>
      <c r="T118" s="39">
        <f>6945</f>
        <v>6945</v>
      </c>
      <c r="U118" s="30">
        <f>7</f>
        <v>7</v>
      </c>
      <c r="V118" s="30">
        <f>260901645</f>
        <v>260901645</v>
      </c>
      <c r="W118" s="30">
        <f>264125</f>
        <v>264125</v>
      </c>
      <c r="X118" s="34">
        <f>20</f>
        <v>20</v>
      </c>
    </row>
    <row r="119" spans="1:24">
      <c r="A119" s="25" t="s">
        <v>1254</v>
      </c>
      <c r="B119" s="25" t="s">
        <v>331</v>
      </c>
      <c r="C119" s="25" t="s">
        <v>332</v>
      </c>
      <c r="D119" s="25" t="s">
        <v>333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37540</f>
        <v>37540</v>
      </c>
      <c r="L119" s="32" t="s">
        <v>1239</v>
      </c>
      <c r="M119" s="31">
        <f>39900</f>
        <v>39900</v>
      </c>
      <c r="N119" s="32" t="s">
        <v>1212</v>
      </c>
      <c r="O119" s="31">
        <f>37470</f>
        <v>37470</v>
      </c>
      <c r="P119" s="32" t="s">
        <v>1239</v>
      </c>
      <c r="Q119" s="31">
        <f>39250</f>
        <v>39250</v>
      </c>
      <c r="R119" s="32" t="s">
        <v>755</v>
      </c>
      <c r="S119" s="33">
        <f>38705.5</f>
        <v>38705.5</v>
      </c>
      <c r="T119" s="39">
        <f>8462</f>
        <v>8462</v>
      </c>
      <c r="U119" s="30">
        <f>3518</f>
        <v>3518</v>
      </c>
      <c r="V119" s="30">
        <f>325166500</f>
        <v>325166500</v>
      </c>
      <c r="W119" s="30">
        <f>135413710</f>
        <v>135413710</v>
      </c>
      <c r="X119" s="34">
        <f>20</f>
        <v>20</v>
      </c>
    </row>
    <row r="120" spans="1:24">
      <c r="A120" s="25" t="s">
        <v>1254</v>
      </c>
      <c r="B120" s="25" t="s">
        <v>334</v>
      </c>
      <c r="C120" s="25" t="s">
        <v>335</v>
      </c>
      <c r="D120" s="25" t="s">
        <v>336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8507</f>
        <v>8507</v>
      </c>
      <c r="L120" s="32" t="s">
        <v>1239</v>
      </c>
      <c r="M120" s="31">
        <f>8540</f>
        <v>8540</v>
      </c>
      <c r="N120" s="32" t="s">
        <v>852</v>
      </c>
      <c r="O120" s="31">
        <f>8149</f>
        <v>8149</v>
      </c>
      <c r="P120" s="32" t="s">
        <v>1207</v>
      </c>
      <c r="Q120" s="31">
        <f>8263</f>
        <v>8263</v>
      </c>
      <c r="R120" s="32" t="s">
        <v>755</v>
      </c>
      <c r="S120" s="33">
        <f>8322.75</f>
        <v>8322.75</v>
      </c>
      <c r="T120" s="39">
        <f>23163</f>
        <v>23163</v>
      </c>
      <c r="U120" s="30">
        <f>379</f>
        <v>379</v>
      </c>
      <c r="V120" s="30">
        <f>192598693</f>
        <v>192598693</v>
      </c>
      <c r="W120" s="30">
        <f>3175355</f>
        <v>3175355</v>
      </c>
      <c r="X120" s="34">
        <f>20</f>
        <v>20</v>
      </c>
    </row>
    <row r="121" spans="1:24">
      <c r="A121" s="25" t="s">
        <v>1254</v>
      </c>
      <c r="B121" s="25" t="s">
        <v>337</v>
      </c>
      <c r="C121" s="25" t="s">
        <v>338</v>
      </c>
      <c r="D121" s="25" t="s">
        <v>339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18795</f>
        <v>18795</v>
      </c>
      <c r="L121" s="32" t="s">
        <v>1239</v>
      </c>
      <c r="M121" s="31">
        <f>19490</f>
        <v>19490</v>
      </c>
      <c r="N121" s="32" t="s">
        <v>1081</v>
      </c>
      <c r="O121" s="31">
        <f>18765</f>
        <v>18765</v>
      </c>
      <c r="P121" s="32" t="s">
        <v>1239</v>
      </c>
      <c r="Q121" s="31">
        <f>19395</f>
        <v>19395</v>
      </c>
      <c r="R121" s="32" t="s">
        <v>755</v>
      </c>
      <c r="S121" s="33">
        <f>19244</f>
        <v>19244</v>
      </c>
      <c r="T121" s="39">
        <f>3398</f>
        <v>3398</v>
      </c>
      <c r="U121" s="30">
        <f>5</f>
        <v>5</v>
      </c>
      <c r="V121" s="30">
        <f>65367609</f>
        <v>65367609</v>
      </c>
      <c r="W121" s="30">
        <f>95929</f>
        <v>95929</v>
      </c>
      <c r="X121" s="34">
        <f>20</f>
        <v>20</v>
      </c>
    </row>
    <row r="122" spans="1:24">
      <c r="A122" s="25" t="s">
        <v>1254</v>
      </c>
      <c r="B122" s="25" t="s">
        <v>340</v>
      </c>
      <c r="C122" s="25" t="s">
        <v>341</v>
      </c>
      <c r="D122" s="25" t="s">
        <v>342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82900</f>
        <v>82900</v>
      </c>
      <c r="L122" s="32" t="s">
        <v>1239</v>
      </c>
      <c r="M122" s="31">
        <f>88000</f>
        <v>88000</v>
      </c>
      <c r="N122" s="32" t="s">
        <v>755</v>
      </c>
      <c r="O122" s="31">
        <f>81110</f>
        <v>81110</v>
      </c>
      <c r="P122" s="32" t="s">
        <v>1239</v>
      </c>
      <c r="Q122" s="31">
        <f>87990</f>
        <v>87990</v>
      </c>
      <c r="R122" s="32" t="s">
        <v>755</v>
      </c>
      <c r="S122" s="33">
        <f>85479</f>
        <v>85479</v>
      </c>
      <c r="T122" s="39">
        <f>53874</f>
        <v>53874</v>
      </c>
      <c r="U122" s="30">
        <f>34556</f>
        <v>34556</v>
      </c>
      <c r="V122" s="30">
        <f>4607512512</f>
        <v>4607512512</v>
      </c>
      <c r="W122" s="30">
        <f>2970208902</f>
        <v>2970208902</v>
      </c>
      <c r="X122" s="34">
        <f>20</f>
        <v>20</v>
      </c>
    </row>
    <row r="123" spans="1:24">
      <c r="A123" s="25" t="s">
        <v>1254</v>
      </c>
      <c r="B123" s="25" t="s">
        <v>1094</v>
      </c>
      <c r="C123" s="25" t="s">
        <v>1093</v>
      </c>
      <c r="D123" s="25" t="s">
        <v>1092</v>
      </c>
      <c r="E123" s="26" t="s">
        <v>43</v>
      </c>
      <c r="F123" s="27" t="s">
        <v>43</v>
      </c>
      <c r="G123" s="28" t="s">
        <v>43</v>
      </c>
      <c r="H123" s="29"/>
      <c r="I123" s="29" t="s">
        <v>452</v>
      </c>
      <c r="J123" s="30">
        <v>1</v>
      </c>
      <c r="K123" s="31">
        <f>9614</f>
        <v>9614</v>
      </c>
      <c r="L123" s="32" t="s">
        <v>1239</v>
      </c>
      <c r="M123" s="31">
        <f>10120</f>
        <v>10120</v>
      </c>
      <c r="N123" s="32" t="s">
        <v>859</v>
      </c>
      <c r="O123" s="31">
        <f>9614</f>
        <v>9614</v>
      </c>
      <c r="P123" s="32" t="s">
        <v>1239</v>
      </c>
      <c r="Q123" s="31">
        <f>9973</f>
        <v>9973</v>
      </c>
      <c r="R123" s="32" t="s">
        <v>755</v>
      </c>
      <c r="S123" s="33">
        <f>9882.93</f>
        <v>9882.93</v>
      </c>
      <c r="T123" s="39">
        <f>606</f>
        <v>606</v>
      </c>
      <c r="U123" s="30" t="str">
        <f>"－"</f>
        <v>－</v>
      </c>
      <c r="V123" s="30">
        <f>6012594</f>
        <v>6012594</v>
      </c>
      <c r="W123" s="30" t="str">
        <f>"－"</f>
        <v>－</v>
      </c>
      <c r="X123" s="34">
        <f>14</f>
        <v>14</v>
      </c>
    </row>
    <row r="124" spans="1:24">
      <c r="A124" s="25" t="s">
        <v>1254</v>
      </c>
      <c r="B124" s="25" t="s">
        <v>343</v>
      </c>
      <c r="C124" s="25" t="s">
        <v>344</v>
      </c>
      <c r="D124" s="25" t="s">
        <v>345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32450</f>
        <v>32450</v>
      </c>
      <c r="L124" s="32" t="s">
        <v>1239</v>
      </c>
      <c r="M124" s="31">
        <f>34050</f>
        <v>34050</v>
      </c>
      <c r="N124" s="32" t="s">
        <v>1078</v>
      </c>
      <c r="O124" s="31">
        <f>32430</f>
        <v>32430</v>
      </c>
      <c r="P124" s="32" t="s">
        <v>1239</v>
      </c>
      <c r="Q124" s="31">
        <f>33430</f>
        <v>33430</v>
      </c>
      <c r="R124" s="32" t="s">
        <v>755</v>
      </c>
      <c r="S124" s="33">
        <f>33269.5</f>
        <v>33269.5</v>
      </c>
      <c r="T124" s="39">
        <f>11540</f>
        <v>11540</v>
      </c>
      <c r="U124" s="30">
        <f>22</f>
        <v>22</v>
      </c>
      <c r="V124" s="30">
        <f>382780565</f>
        <v>382780565</v>
      </c>
      <c r="W124" s="30">
        <f>726795</f>
        <v>726795</v>
      </c>
      <c r="X124" s="34">
        <f>20</f>
        <v>20</v>
      </c>
    </row>
    <row r="125" spans="1:24">
      <c r="A125" s="25" t="s">
        <v>1254</v>
      </c>
      <c r="B125" s="25" t="s">
        <v>346</v>
      </c>
      <c r="C125" s="25" t="s">
        <v>347</v>
      </c>
      <c r="D125" s="25" t="s">
        <v>348</v>
      </c>
      <c r="E125" s="26" t="s">
        <v>43</v>
      </c>
      <c r="F125" s="27" t="s">
        <v>43</v>
      </c>
      <c r="G125" s="28" t="s">
        <v>43</v>
      </c>
      <c r="H125" s="29"/>
      <c r="I125" s="29" t="s">
        <v>44</v>
      </c>
      <c r="J125" s="30">
        <v>1</v>
      </c>
      <c r="K125" s="31">
        <f>20080</f>
        <v>20080</v>
      </c>
      <c r="L125" s="32" t="s">
        <v>1239</v>
      </c>
      <c r="M125" s="31">
        <f>22015</f>
        <v>22015</v>
      </c>
      <c r="N125" s="32" t="s">
        <v>755</v>
      </c>
      <c r="O125" s="31">
        <f>19010</f>
        <v>19010</v>
      </c>
      <c r="P125" s="32" t="s">
        <v>1240</v>
      </c>
      <c r="Q125" s="31">
        <f>21910</f>
        <v>21910</v>
      </c>
      <c r="R125" s="32" t="s">
        <v>755</v>
      </c>
      <c r="S125" s="33">
        <f>20822.75</f>
        <v>20822.75</v>
      </c>
      <c r="T125" s="39">
        <f>480918</f>
        <v>480918</v>
      </c>
      <c r="U125" s="30">
        <f>408102</f>
        <v>408102</v>
      </c>
      <c r="V125" s="30">
        <f>10205469481</f>
        <v>10205469481</v>
      </c>
      <c r="W125" s="30">
        <f>8699494546</f>
        <v>8699494546</v>
      </c>
      <c r="X125" s="34">
        <f>20</f>
        <v>20</v>
      </c>
    </row>
    <row r="126" spans="1:24">
      <c r="A126" s="25" t="s">
        <v>1254</v>
      </c>
      <c r="B126" s="25" t="s">
        <v>349</v>
      </c>
      <c r="C126" s="25" t="s">
        <v>350</v>
      </c>
      <c r="D126" s="25" t="s">
        <v>351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28430</f>
        <v>28430</v>
      </c>
      <c r="L126" s="32" t="s">
        <v>1239</v>
      </c>
      <c r="M126" s="31">
        <f>29785</f>
        <v>29785</v>
      </c>
      <c r="N126" s="32" t="s">
        <v>755</v>
      </c>
      <c r="O126" s="31">
        <f>27425</f>
        <v>27425</v>
      </c>
      <c r="P126" s="32" t="s">
        <v>1240</v>
      </c>
      <c r="Q126" s="31">
        <f>29715</f>
        <v>29715</v>
      </c>
      <c r="R126" s="32" t="s">
        <v>755</v>
      </c>
      <c r="S126" s="33">
        <f>28555.25</f>
        <v>28555.25</v>
      </c>
      <c r="T126" s="39">
        <f>40569</f>
        <v>40569</v>
      </c>
      <c r="U126" s="30">
        <f>24002</f>
        <v>24002</v>
      </c>
      <c r="V126" s="30">
        <f>1149205898</f>
        <v>1149205898</v>
      </c>
      <c r="W126" s="30">
        <f>675958988</f>
        <v>675958988</v>
      </c>
      <c r="X126" s="34">
        <f>20</f>
        <v>20</v>
      </c>
    </row>
    <row r="127" spans="1:24">
      <c r="A127" s="25" t="s">
        <v>1254</v>
      </c>
      <c r="B127" s="25" t="s">
        <v>352</v>
      </c>
      <c r="C127" s="25" t="s">
        <v>353</v>
      </c>
      <c r="D127" s="25" t="s">
        <v>354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41050</f>
        <v>41050</v>
      </c>
      <c r="L127" s="32" t="s">
        <v>1239</v>
      </c>
      <c r="M127" s="31">
        <f>42870</f>
        <v>42870</v>
      </c>
      <c r="N127" s="32" t="s">
        <v>1077</v>
      </c>
      <c r="O127" s="31">
        <f>40590</f>
        <v>40590</v>
      </c>
      <c r="P127" s="32" t="s">
        <v>850</v>
      </c>
      <c r="Q127" s="31">
        <f>41960</f>
        <v>41960</v>
      </c>
      <c r="R127" s="32" t="s">
        <v>755</v>
      </c>
      <c r="S127" s="33">
        <f>41709</f>
        <v>41709</v>
      </c>
      <c r="T127" s="39">
        <f>5123</f>
        <v>5123</v>
      </c>
      <c r="U127" s="30">
        <f>38</f>
        <v>38</v>
      </c>
      <c r="V127" s="30">
        <f>214774035</f>
        <v>214774035</v>
      </c>
      <c r="W127" s="30">
        <f>1608825</f>
        <v>1608825</v>
      </c>
      <c r="X127" s="34">
        <f>20</f>
        <v>20</v>
      </c>
    </row>
    <row r="128" spans="1:24">
      <c r="A128" s="25" t="s">
        <v>1254</v>
      </c>
      <c r="B128" s="25" t="s">
        <v>1091</v>
      </c>
      <c r="C128" s="25" t="s">
        <v>1090</v>
      </c>
      <c r="D128" s="25" t="s">
        <v>1089</v>
      </c>
      <c r="E128" s="26" t="s">
        <v>43</v>
      </c>
      <c r="F128" s="27" t="s">
        <v>43</v>
      </c>
      <c r="G128" s="28" t="s">
        <v>43</v>
      </c>
      <c r="H128" s="29"/>
      <c r="I128" s="29" t="s">
        <v>452</v>
      </c>
      <c r="J128" s="30">
        <v>1</v>
      </c>
      <c r="K128" s="31">
        <f>7369</f>
        <v>7369</v>
      </c>
      <c r="L128" s="32" t="s">
        <v>1239</v>
      </c>
      <c r="M128" s="31">
        <f>8168</f>
        <v>8168</v>
      </c>
      <c r="N128" s="32" t="s">
        <v>859</v>
      </c>
      <c r="O128" s="31">
        <f>7257</f>
        <v>7257</v>
      </c>
      <c r="P128" s="32" t="s">
        <v>1239</v>
      </c>
      <c r="Q128" s="31">
        <f>7896</f>
        <v>7896</v>
      </c>
      <c r="R128" s="32" t="s">
        <v>755</v>
      </c>
      <c r="S128" s="33">
        <f>7797.85</f>
        <v>7797.85</v>
      </c>
      <c r="T128" s="39">
        <f>47846</f>
        <v>47846</v>
      </c>
      <c r="U128" s="30">
        <f>4</f>
        <v>4</v>
      </c>
      <c r="V128" s="30">
        <f>378654271</f>
        <v>378654271</v>
      </c>
      <c r="W128" s="30">
        <f>31081</f>
        <v>31081</v>
      </c>
      <c r="X128" s="34">
        <f>20</f>
        <v>20</v>
      </c>
    </row>
    <row r="129" spans="1:24">
      <c r="A129" s="25" t="s">
        <v>1254</v>
      </c>
      <c r="B129" s="25" t="s">
        <v>355</v>
      </c>
      <c r="C129" s="25" t="s">
        <v>898</v>
      </c>
      <c r="D129" s="25" t="s">
        <v>899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2063</f>
        <v>2063</v>
      </c>
      <c r="L129" s="32" t="s">
        <v>1239</v>
      </c>
      <c r="M129" s="31">
        <f>2140</f>
        <v>2140</v>
      </c>
      <c r="N129" s="32" t="s">
        <v>755</v>
      </c>
      <c r="O129" s="31">
        <f>2026</f>
        <v>2026</v>
      </c>
      <c r="P129" s="32" t="s">
        <v>1077</v>
      </c>
      <c r="Q129" s="31">
        <f>2137</f>
        <v>2137</v>
      </c>
      <c r="R129" s="32" t="s">
        <v>755</v>
      </c>
      <c r="S129" s="33">
        <f>2081.65</f>
        <v>2081.65</v>
      </c>
      <c r="T129" s="39">
        <f>454222</f>
        <v>454222</v>
      </c>
      <c r="U129" s="30">
        <f>186142</f>
        <v>186142</v>
      </c>
      <c r="V129" s="30">
        <f>939545019</f>
        <v>939545019</v>
      </c>
      <c r="W129" s="30">
        <f>383546322</f>
        <v>383546322</v>
      </c>
      <c r="X129" s="34">
        <f>20</f>
        <v>20</v>
      </c>
    </row>
    <row r="130" spans="1:24">
      <c r="A130" s="25" t="s">
        <v>1254</v>
      </c>
      <c r="B130" s="25" t="s">
        <v>356</v>
      </c>
      <c r="C130" s="25" t="s">
        <v>900</v>
      </c>
      <c r="D130" s="25" t="s">
        <v>901</v>
      </c>
      <c r="E130" s="26" t="s">
        <v>43</v>
      </c>
      <c r="F130" s="27" t="s">
        <v>43</v>
      </c>
      <c r="G130" s="28" t="s">
        <v>43</v>
      </c>
      <c r="H130" s="29"/>
      <c r="I130" s="29" t="s">
        <v>44</v>
      </c>
      <c r="J130" s="30">
        <v>10</v>
      </c>
      <c r="K130" s="31">
        <f>3171</f>
        <v>3171</v>
      </c>
      <c r="L130" s="32" t="s">
        <v>1240</v>
      </c>
      <c r="M130" s="31">
        <f>3291</f>
        <v>3291</v>
      </c>
      <c r="N130" s="32" t="s">
        <v>1211</v>
      </c>
      <c r="O130" s="31">
        <f>3164</f>
        <v>3164</v>
      </c>
      <c r="P130" s="32" t="s">
        <v>1079</v>
      </c>
      <c r="Q130" s="31">
        <f>3253</f>
        <v>3253</v>
      </c>
      <c r="R130" s="32" t="s">
        <v>1075</v>
      </c>
      <c r="S130" s="33">
        <f>3229.25</f>
        <v>3229.25</v>
      </c>
      <c r="T130" s="39">
        <f>17420</f>
        <v>17420</v>
      </c>
      <c r="U130" s="30" t="str">
        <f>"－"</f>
        <v>－</v>
      </c>
      <c r="V130" s="30">
        <f>56367010</f>
        <v>56367010</v>
      </c>
      <c r="W130" s="30" t="str">
        <f>"－"</f>
        <v>－</v>
      </c>
      <c r="X130" s="34">
        <f>12</f>
        <v>12</v>
      </c>
    </row>
    <row r="131" spans="1:24">
      <c r="A131" s="25" t="s">
        <v>1254</v>
      </c>
      <c r="B131" s="25" t="s">
        <v>357</v>
      </c>
      <c r="C131" s="25" t="s">
        <v>902</v>
      </c>
      <c r="D131" s="25" t="s">
        <v>903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10</v>
      </c>
      <c r="K131" s="31">
        <f>3502</f>
        <v>3502</v>
      </c>
      <c r="L131" s="32" t="s">
        <v>1240</v>
      </c>
      <c r="M131" s="31">
        <f>3650</f>
        <v>3650</v>
      </c>
      <c r="N131" s="32" t="s">
        <v>859</v>
      </c>
      <c r="O131" s="31">
        <f>3494</f>
        <v>3494</v>
      </c>
      <c r="P131" s="32" t="s">
        <v>1077</v>
      </c>
      <c r="Q131" s="31">
        <f>3650</f>
        <v>3650</v>
      </c>
      <c r="R131" s="32" t="s">
        <v>859</v>
      </c>
      <c r="S131" s="33">
        <f>3550</f>
        <v>3550</v>
      </c>
      <c r="T131" s="39">
        <f>11750</f>
        <v>11750</v>
      </c>
      <c r="U131" s="30">
        <f>10</f>
        <v>10</v>
      </c>
      <c r="V131" s="30">
        <f>41428980</f>
        <v>41428980</v>
      </c>
      <c r="W131" s="30">
        <f>36500</f>
        <v>36500</v>
      </c>
      <c r="X131" s="34">
        <f>12</f>
        <v>12</v>
      </c>
    </row>
    <row r="132" spans="1:24">
      <c r="A132" s="25" t="s">
        <v>1254</v>
      </c>
      <c r="B132" s="25" t="s">
        <v>358</v>
      </c>
      <c r="C132" s="25" t="s">
        <v>904</v>
      </c>
      <c r="D132" s="25" t="s">
        <v>905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2168.5</f>
        <v>2168.5</v>
      </c>
      <c r="L132" s="32" t="s">
        <v>1077</v>
      </c>
      <c r="M132" s="31">
        <f>2261.5</f>
        <v>2261.5</v>
      </c>
      <c r="N132" s="32" t="s">
        <v>1078</v>
      </c>
      <c r="O132" s="31">
        <f>2168.5</f>
        <v>2168.5</v>
      </c>
      <c r="P132" s="32" t="s">
        <v>1077</v>
      </c>
      <c r="Q132" s="31">
        <f>2251.5</f>
        <v>2251.5</v>
      </c>
      <c r="R132" s="32" t="s">
        <v>1078</v>
      </c>
      <c r="S132" s="33">
        <f>2216.5</f>
        <v>2216.5</v>
      </c>
      <c r="T132" s="39">
        <f>2760</f>
        <v>2760</v>
      </c>
      <c r="U132" s="30">
        <f>10</f>
        <v>10</v>
      </c>
      <c r="V132" s="30">
        <f>6105740</f>
        <v>6105740</v>
      </c>
      <c r="W132" s="30">
        <f>22285</f>
        <v>22285</v>
      </c>
      <c r="X132" s="34">
        <f>6</f>
        <v>6</v>
      </c>
    </row>
    <row r="133" spans="1:24">
      <c r="A133" s="25" t="s">
        <v>1254</v>
      </c>
      <c r="B133" s="25" t="s">
        <v>359</v>
      </c>
      <c r="C133" s="25" t="s">
        <v>360</v>
      </c>
      <c r="D133" s="25" t="s">
        <v>361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578.1</f>
        <v>578.1</v>
      </c>
      <c r="L133" s="32" t="s">
        <v>1239</v>
      </c>
      <c r="M133" s="31">
        <f>631.5</f>
        <v>631.5</v>
      </c>
      <c r="N133" s="32" t="s">
        <v>859</v>
      </c>
      <c r="O133" s="31">
        <f>578.1</f>
        <v>578.1</v>
      </c>
      <c r="P133" s="32" t="s">
        <v>1239</v>
      </c>
      <c r="Q133" s="31">
        <f>613.2</f>
        <v>613.20000000000005</v>
      </c>
      <c r="R133" s="32" t="s">
        <v>755</v>
      </c>
      <c r="S133" s="33">
        <f>607.76</f>
        <v>607.76</v>
      </c>
      <c r="T133" s="39">
        <f>55103350</f>
        <v>55103350</v>
      </c>
      <c r="U133" s="30">
        <f>1835210</f>
        <v>1835210</v>
      </c>
      <c r="V133" s="30">
        <f>33433865865</f>
        <v>33433865865</v>
      </c>
      <c r="W133" s="30">
        <f>1114795938</f>
        <v>1114795938</v>
      </c>
      <c r="X133" s="34">
        <f>20</f>
        <v>20</v>
      </c>
    </row>
    <row r="134" spans="1:24">
      <c r="A134" s="25" t="s">
        <v>1254</v>
      </c>
      <c r="B134" s="25" t="s">
        <v>362</v>
      </c>
      <c r="C134" s="25" t="s">
        <v>363</v>
      </c>
      <c r="D134" s="25" t="s">
        <v>364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285.6</f>
        <v>285.60000000000002</v>
      </c>
      <c r="L134" s="32" t="s">
        <v>1239</v>
      </c>
      <c r="M134" s="31">
        <f>291</f>
        <v>291</v>
      </c>
      <c r="N134" s="32" t="s">
        <v>1240</v>
      </c>
      <c r="O134" s="31">
        <f>278.4</f>
        <v>278.39999999999998</v>
      </c>
      <c r="P134" s="32" t="s">
        <v>1212</v>
      </c>
      <c r="Q134" s="31">
        <f>283.8</f>
        <v>283.8</v>
      </c>
      <c r="R134" s="32" t="s">
        <v>755</v>
      </c>
      <c r="S134" s="33">
        <f>284.66</f>
        <v>284.66000000000003</v>
      </c>
      <c r="T134" s="39">
        <f>20201220</f>
        <v>20201220</v>
      </c>
      <c r="U134" s="30">
        <f>17902080</f>
        <v>17902080</v>
      </c>
      <c r="V134" s="30">
        <f>5770045627</f>
        <v>5770045627</v>
      </c>
      <c r="W134" s="30">
        <f>5115824067</f>
        <v>5115824067</v>
      </c>
      <c r="X134" s="34">
        <f>20</f>
        <v>20</v>
      </c>
    </row>
    <row r="135" spans="1:24">
      <c r="A135" s="25" t="s">
        <v>1254</v>
      </c>
      <c r="B135" s="25" t="s">
        <v>365</v>
      </c>
      <c r="C135" s="25" t="s">
        <v>945</v>
      </c>
      <c r="D135" s="25" t="s">
        <v>366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</v>
      </c>
      <c r="K135" s="31">
        <f>4890</f>
        <v>4890</v>
      </c>
      <c r="L135" s="32" t="s">
        <v>1239</v>
      </c>
      <c r="M135" s="31">
        <f>5310</f>
        <v>5310</v>
      </c>
      <c r="N135" s="32" t="s">
        <v>859</v>
      </c>
      <c r="O135" s="31">
        <f>4880</f>
        <v>4880</v>
      </c>
      <c r="P135" s="32" t="s">
        <v>1239</v>
      </c>
      <c r="Q135" s="31">
        <f>5164</f>
        <v>5164</v>
      </c>
      <c r="R135" s="32" t="s">
        <v>755</v>
      </c>
      <c r="S135" s="33">
        <f>5124.15</f>
        <v>5124.1499999999996</v>
      </c>
      <c r="T135" s="39">
        <f>57227</f>
        <v>57227</v>
      </c>
      <c r="U135" s="30" t="str">
        <f>"－"</f>
        <v>－</v>
      </c>
      <c r="V135" s="30">
        <f>290076717</f>
        <v>290076717</v>
      </c>
      <c r="W135" s="30" t="str">
        <f>"－"</f>
        <v>－</v>
      </c>
      <c r="X135" s="34">
        <f>20</f>
        <v>20</v>
      </c>
    </row>
    <row r="136" spans="1:24">
      <c r="A136" s="25" t="s">
        <v>1254</v>
      </c>
      <c r="B136" s="25" t="s">
        <v>367</v>
      </c>
      <c r="C136" s="25" t="s">
        <v>368</v>
      </c>
      <c r="D136" s="25" t="s">
        <v>369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</v>
      </c>
      <c r="K136" s="31">
        <f>2622</f>
        <v>2622</v>
      </c>
      <c r="L136" s="32" t="s">
        <v>1239</v>
      </c>
      <c r="M136" s="31">
        <f>2843</f>
        <v>2843</v>
      </c>
      <c r="N136" s="32" t="s">
        <v>1211</v>
      </c>
      <c r="O136" s="31">
        <f>2615</f>
        <v>2615</v>
      </c>
      <c r="P136" s="32" t="s">
        <v>1239</v>
      </c>
      <c r="Q136" s="31">
        <f>2765</f>
        <v>2765</v>
      </c>
      <c r="R136" s="32" t="s">
        <v>755</v>
      </c>
      <c r="S136" s="33">
        <f>2757.3</f>
        <v>2757.3</v>
      </c>
      <c r="T136" s="39">
        <f>131828</f>
        <v>131828</v>
      </c>
      <c r="U136" s="30">
        <f>27954</f>
        <v>27954</v>
      </c>
      <c r="V136" s="30">
        <f>365517807</f>
        <v>365517807</v>
      </c>
      <c r="W136" s="30">
        <f>78466997</f>
        <v>78466997</v>
      </c>
      <c r="X136" s="34">
        <f>20</f>
        <v>20</v>
      </c>
    </row>
    <row r="137" spans="1:24">
      <c r="A137" s="25" t="s">
        <v>1254</v>
      </c>
      <c r="B137" s="25" t="s">
        <v>370</v>
      </c>
      <c r="C137" s="25" t="s">
        <v>371</v>
      </c>
      <c r="D137" s="25" t="s">
        <v>372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2976</f>
        <v>2976</v>
      </c>
      <c r="L137" s="32" t="s">
        <v>1239</v>
      </c>
      <c r="M137" s="31">
        <f>3143</f>
        <v>3143</v>
      </c>
      <c r="N137" s="32" t="s">
        <v>1211</v>
      </c>
      <c r="O137" s="31">
        <f>2941</f>
        <v>2941</v>
      </c>
      <c r="P137" s="32" t="s">
        <v>1075</v>
      </c>
      <c r="Q137" s="31">
        <f>3043</f>
        <v>3043</v>
      </c>
      <c r="R137" s="32" t="s">
        <v>755</v>
      </c>
      <c r="S137" s="33">
        <f>3031.15</f>
        <v>3031.15</v>
      </c>
      <c r="T137" s="39">
        <f>414647</f>
        <v>414647</v>
      </c>
      <c r="U137" s="30">
        <f>121950</f>
        <v>121950</v>
      </c>
      <c r="V137" s="30">
        <f>1258443132</f>
        <v>1258443132</v>
      </c>
      <c r="W137" s="30">
        <f>368508461</f>
        <v>368508461</v>
      </c>
      <c r="X137" s="34">
        <f>20</f>
        <v>20</v>
      </c>
    </row>
    <row r="138" spans="1:24">
      <c r="A138" s="25" t="s">
        <v>1254</v>
      </c>
      <c r="B138" s="25" t="s">
        <v>373</v>
      </c>
      <c r="C138" s="25" t="s">
        <v>374</v>
      </c>
      <c r="D138" s="25" t="s">
        <v>375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9856</f>
        <v>9856</v>
      </c>
      <c r="L138" s="32" t="s">
        <v>1239</v>
      </c>
      <c r="M138" s="31">
        <f>10125</f>
        <v>10125</v>
      </c>
      <c r="N138" s="32" t="s">
        <v>859</v>
      </c>
      <c r="O138" s="31">
        <f>9819</f>
        <v>9819</v>
      </c>
      <c r="P138" s="32" t="s">
        <v>1239</v>
      </c>
      <c r="Q138" s="31">
        <f>10045</f>
        <v>10045</v>
      </c>
      <c r="R138" s="32" t="s">
        <v>755</v>
      </c>
      <c r="S138" s="33">
        <f>9964.35</f>
        <v>9964.35</v>
      </c>
      <c r="T138" s="39">
        <f>305099</f>
        <v>305099</v>
      </c>
      <c r="U138" s="30">
        <f>254080</f>
        <v>254080</v>
      </c>
      <c r="V138" s="30">
        <f>3022387142</f>
        <v>3022387142</v>
      </c>
      <c r="W138" s="30">
        <f>2514420367</f>
        <v>2514420367</v>
      </c>
      <c r="X138" s="34">
        <f>20</f>
        <v>20</v>
      </c>
    </row>
    <row r="139" spans="1:24">
      <c r="A139" s="25" t="s">
        <v>1254</v>
      </c>
      <c r="B139" s="25" t="s">
        <v>376</v>
      </c>
      <c r="C139" s="25" t="s">
        <v>377</v>
      </c>
      <c r="D139" s="25" t="s">
        <v>378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2508</f>
        <v>2508</v>
      </c>
      <c r="L139" s="32" t="s">
        <v>1239</v>
      </c>
      <c r="M139" s="31">
        <f>2824</f>
        <v>2824</v>
      </c>
      <c r="N139" s="32" t="s">
        <v>1080</v>
      </c>
      <c r="O139" s="31">
        <f>2497</f>
        <v>2497</v>
      </c>
      <c r="P139" s="32" t="s">
        <v>1239</v>
      </c>
      <c r="Q139" s="31">
        <f>2645</f>
        <v>2645</v>
      </c>
      <c r="R139" s="32" t="s">
        <v>755</v>
      </c>
      <c r="S139" s="33">
        <f>2670.45</f>
        <v>2670.45</v>
      </c>
      <c r="T139" s="39">
        <f>3221607</f>
        <v>3221607</v>
      </c>
      <c r="U139" s="30">
        <f>594</f>
        <v>594</v>
      </c>
      <c r="V139" s="30">
        <f>8556305405</f>
        <v>8556305405</v>
      </c>
      <c r="W139" s="30">
        <f>1608181</f>
        <v>1608181</v>
      </c>
      <c r="X139" s="34">
        <f>20</f>
        <v>20</v>
      </c>
    </row>
    <row r="140" spans="1:24">
      <c r="A140" s="25" t="s">
        <v>1254</v>
      </c>
      <c r="B140" s="25" t="s">
        <v>379</v>
      </c>
      <c r="C140" s="25" t="s">
        <v>380</v>
      </c>
      <c r="D140" s="25" t="s">
        <v>381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43760</f>
        <v>43760</v>
      </c>
      <c r="L140" s="32" t="s">
        <v>1239</v>
      </c>
      <c r="M140" s="31">
        <f>45600</f>
        <v>45600</v>
      </c>
      <c r="N140" s="32" t="s">
        <v>1077</v>
      </c>
      <c r="O140" s="31">
        <f>42550</f>
        <v>42550</v>
      </c>
      <c r="P140" s="32" t="s">
        <v>851</v>
      </c>
      <c r="Q140" s="31">
        <f>44250</f>
        <v>44250</v>
      </c>
      <c r="R140" s="32" t="s">
        <v>755</v>
      </c>
      <c r="S140" s="33">
        <f>44222.5</f>
        <v>44222.5</v>
      </c>
      <c r="T140" s="39">
        <f>16383</f>
        <v>16383</v>
      </c>
      <c r="U140" s="30" t="str">
        <f>"－"</f>
        <v>－</v>
      </c>
      <c r="V140" s="30">
        <f>726147940</f>
        <v>726147940</v>
      </c>
      <c r="W140" s="30" t="str">
        <f>"－"</f>
        <v>－</v>
      </c>
      <c r="X140" s="34">
        <f>20</f>
        <v>20</v>
      </c>
    </row>
    <row r="141" spans="1:24">
      <c r="A141" s="25" t="s">
        <v>1254</v>
      </c>
      <c r="B141" s="25" t="s">
        <v>382</v>
      </c>
      <c r="C141" s="25" t="s">
        <v>383</v>
      </c>
      <c r="D141" s="25" t="s">
        <v>384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10</v>
      </c>
      <c r="K141" s="31">
        <f>4274</f>
        <v>4274</v>
      </c>
      <c r="L141" s="32" t="s">
        <v>1239</v>
      </c>
      <c r="M141" s="31">
        <f>4478</f>
        <v>4478</v>
      </c>
      <c r="N141" s="32" t="s">
        <v>1080</v>
      </c>
      <c r="O141" s="31">
        <f>4210</f>
        <v>4210</v>
      </c>
      <c r="P141" s="32" t="s">
        <v>1239</v>
      </c>
      <c r="Q141" s="31">
        <f>4354</f>
        <v>4354</v>
      </c>
      <c r="R141" s="32" t="s">
        <v>755</v>
      </c>
      <c r="S141" s="33">
        <f>4353.05</f>
        <v>4353.05</v>
      </c>
      <c r="T141" s="39">
        <f>69840</f>
        <v>69840</v>
      </c>
      <c r="U141" s="30" t="str">
        <f>"－"</f>
        <v>－</v>
      </c>
      <c r="V141" s="30">
        <f>304245740</f>
        <v>304245740</v>
      </c>
      <c r="W141" s="30" t="str">
        <f>"－"</f>
        <v>－</v>
      </c>
      <c r="X141" s="34">
        <f>20</f>
        <v>20</v>
      </c>
    </row>
    <row r="142" spans="1:24">
      <c r="A142" s="25" t="s">
        <v>1254</v>
      </c>
      <c r="B142" s="25" t="s">
        <v>385</v>
      </c>
      <c r="C142" s="25" t="s">
        <v>386</v>
      </c>
      <c r="D142" s="25" t="s">
        <v>387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12990</f>
        <v>12990</v>
      </c>
      <c r="L142" s="32" t="s">
        <v>1239</v>
      </c>
      <c r="M142" s="31">
        <f>14535</f>
        <v>14535</v>
      </c>
      <c r="N142" s="32" t="s">
        <v>859</v>
      </c>
      <c r="O142" s="31">
        <f>12635</f>
        <v>12635</v>
      </c>
      <c r="P142" s="32" t="s">
        <v>1239</v>
      </c>
      <c r="Q142" s="31">
        <f>14150</f>
        <v>14150</v>
      </c>
      <c r="R142" s="32" t="s">
        <v>755</v>
      </c>
      <c r="S142" s="33">
        <f>13558.25</f>
        <v>13558.25</v>
      </c>
      <c r="T142" s="39">
        <f>9679</f>
        <v>9679</v>
      </c>
      <c r="U142" s="30" t="str">
        <f>"－"</f>
        <v>－</v>
      </c>
      <c r="V142" s="30">
        <f>134311050</f>
        <v>134311050</v>
      </c>
      <c r="W142" s="30" t="str">
        <f>"－"</f>
        <v>－</v>
      </c>
      <c r="X142" s="34">
        <f>20</f>
        <v>20</v>
      </c>
    </row>
    <row r="143" spans="1:24">
      <c r="A143" s="25" t="s">
        <v>1254</v>
      </c>
      <c r="B143" s="25" t="s">
        <v>388</v>
      </c>
      <c r="C143" s="25" t="s">
        <v>389</v>
      </c>
      <c r="D143" s="25" t="s">
        <v>390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</v>
      </c>
      <c r="K143" s="31">
        <f>12425</f>
        <v>12425</v>
      </c>
      <c r="L143" s="32" t="s">
        <v>1239</v>
      </c>
      <c r="M143" s="31">
        <f>13565</f>
        <v>13565</v>
      </c>
      <c r="N143" s="32" t="s">
        <v>850</v>
      </c>
      <c r="O143" s="31">
        <f>12235</f>
        <v>12235</v>
      </c>
      <c r="P143" s="32" t="s">
        <v>1239</v>
      </c>
      <c r="Q143" s="31">
        <f>12780</f>
        <v>12780</v>
      </c>
      <c r="R143" s="32" t="s">
        <v>755</v>
      </c>
      <c r="S143" s="33">
        <f>12908.75</f>
        <v>12908.75</v>
      </c>
      <c r="T143" s="39">
        <f>9436</f>
        <v>9436</v>
      </c>
      <c r="U143" s="30" t="str">
        <f>"－"</f>
        <v>－</v>
      </c>
      <c r="V143" s="30">
        <f>123021350</f>
        <v>123021350</v>
      </c>
      <c r="W143" s="30" t="str">
        <f>"－"</f>
        <v>－</v>
      </c>
      <c r="X143" s="34">
        <f>20</f>
        <v>20</v>
      </c>
    </row>
    <row r="144" spans="1:24">
      <c r="A144" s="25" t="s">
        <v>1254</v>
      </c>
      <c r="B144" s="25" t="s">
        <v>391</v>
      </c>
      <c r="C144" s="25" t="s">
        <v>392</v>
      </c>
      <c r="D144" s="25" t="s">
        <v>393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26950</f>
        <v>26950</v>
      </c>
      <c r="L144" s="32" t="s">
        <v>1239</v>
      </c>
      <c r="M144" s="31">
        <f>27895</f>
        <v>27895</v>
      </c>
      <c r="N144" s="32" t="s">
        <v>1240</v>
      </c>
      <c r="O144" s="31">
        <f>25570</f>
        <v>25570</v>
      </c>
      <c r="P144" s="32" t="s">
        <v>1081</v>
      </c>
      <c r="Q144" s="31">
        <f>27470</f>
        <v>27470</v>
      </c>
      <c r="R144" s="32" t="s">
        <v>755</v>
      </c>
      <c r="S144" s="33">
        <f>27101.58</f>
        <v>27101.58</v>
      </c>
      <c r="T144" s="39">
        <f>595</f>
        <v>595</v>
      </c>
      <c r="U144" s="30" t="str">
        <f>"－"</f>
        <v>－</v>
      </c>
      <c r="V144" s="30">
        <f>16015855</f>
        <v>16015855</v>
      </c>
      <c r="W144" s="30" t="str">
        <f>"－"</f>
        <v>－</v>
      </c>
      <c r="X144" s="34">
        <f>19</f>
        <v>19</v>
      </c>
    </row>
    <row r="145" spans="1:24">
      <c r="A145" s="25" t="s">
        <v>1254</v>
      </c>
      <c r="B145" s="25" t="s">
        <v>394</v>
      </c>
      <c r="C145" s="25" t="s">
        <v>395</v>
      </c>
      <c r="D145" s="25" t="s">
        <v>396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10</v>
      </c>
      <c r="K145" s="31">
        <f>54020</f>
        <v>54020</v>
      </c>
      <c r="L145" s="32" t="s">
        <v>1239</v>
      </c>
      <c r="M145" s="31">
        <f>55300</f>
        <v>55300</v>
      </c>
      <c r="N145" s="32" t="s">
        <v>1080</v>
      </c>
      <c r="O145" s="31">
        <f>53330</f>
        <v>53330</v>
      </c>
      <c r="P145" s="32" t="s">
        <v>756</v>
      </c>
      <c r="Q145" s="31">
        <f>54300</f>
        <v>54300</v>
      </c>
      <c r="R145" s="32" t="s">
        <v>755</v>
      </c>
      <c r="S145" s="33">
        <f>54270.53</f>
        <v>54270.53</v>
      </c>
      <c r="T145" s="39">
        <f>10170</f>
        <v>10170</v>
      </c>
      <c r="U145" s="30">
        <f>7490</f>
        <v>7490</v>
      </c>
      <c r="V145" s="30">
        <f>556374597</f>
        <v>556374597</v>
      </c>
      <c r="W145" s="30">
        <f>411008997</f>
        <v>411008997</v>
      </c>
      <c r="X145" s="34">
        <f>19</f>
        <v>19</v>
      </c>
    </row>
    <row r="146" spans="1:24">
      <c r="A146" s="25" t="s">
        <v>1254</v>
      </c>
      <c r="B146" s="25" t="s">
        <v>397</v>
      </c>
      <c r="C146" s="25" t="s">
        <v>946</v>
      </c>
      <c r="D146" s="25" t="s">
        <v>398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10</v>
      </c>
      <c r="K146" s="31">
        <f>339.3</f>
        <v>339.3</v>
      </c>
      <c r="L146" s="32" t="s">
        <v>1239</v>
      </c>
      <c r="M146" s="31">
        <f>360</f>
        <v>360</v>
      </c>
      <c r="N146" s="32" t="s">
        <v>1211</v>
      </c>
      <c r="O146" s="31">
        <f>332.3</f>
        <v>332.3</v>
      </c>
      <c r="P146" s="32" t="s">
        <v>852</v>
      </c>
      <c r="Q146" s="31">
        <f>345</f>
        <v>345</v>
      </c>
      <c r="R146" s="32" t="s">
        <v>755</v>
      </c>
      <c r="S146" s="33">
        <f>346.61</f>
        <v>346.61</v>
      </c>
      <c r="T146" s="39">
        <f>42515240</f>
        <v>42515240</v>
      </c>
      <c r="U146" s="30">
        <f>2123960</f>
        <v>2123960</v>
      </c>
      <c r="V146" s="30">
        <f>14707828182</f>
        <v>14707828182</v>
      </c>
      <c r="W146" s="30">
        <f>757084805</f>
        <v>757084805</v>
      </c>
      <c r="X146" s="34">
        <f>20</f>
        <v>20</v>
      </c>
    </row>
    <row r="147" spans="1:24">
      <c r="A147" s="25" t="s">
        <v>1254</v>
      </c>
      <c r="B147" s="25" t="s">
        <v>399</v>
      </c>
      <c r="C147" s="25" t="s">
        <v>947</v>
      </c>
      <c r="D147" s="25" t="s">
        <v>400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47900</f>
        <v>47900</v>
      </c>
      <c r="L147" s="32" t="s">
        <v>1239</v>
      </c>
      <c r="M147" s="31">
        <f>51310</f>
        <v>51310</v>
      </c>
      <c r="N147" s="32" t="s">
        <v>1211</v>
      </c>
      <c r="O147" s="31">
        <f>47900</f>
        <v>47900</v>
      </c>
      <c r="P147" s="32" t="s">
        <v>1239</v>
      </c>
      <c r="Q147" s="31">
        <f>49820</f>
        <v>49820</v>
      </c>
      <c r="R147" s="32" t="s">
        <v>755</v>
      </c>
      <c r="S147" s="33">
        <f>49881.88</f>
        <v>49881.88</v>
      </c>
      <c r="T147" s="39">
        <f>810</f>
        <v>810</v>
      </c>
      <c r="U147" s="30">
        <f>10</f>
        <v>10</v>
      </c>
      <c r="V147" s="30">
        <f>40190500</f>
        <v>40190500</v>
      </c>
      <c r="W147" s="30">
        <f>488400</f>
        <v>488400</v>
      </c>
      <c r="X147" s="34">
        <f>16</f>
        <v>16</v>
      </c>
    </row>
    <row r="148" spans="1:24">
      <c r="A148" s="25" t="s">
        <v>1254</v>
      </c>
      <c r="B148" s="25" t="s">
        <v>401</v>
      </c>
      <c r="C148" s="25" t="s">
        <v>402</v>
      </c>
      <c r="D148" s="25" t="s">
        <v>948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</v>
      </c>
      <c r="K148" s="31">
        <f>5577</f>
        <v>5577</v>
      </c>
      <c r="L148" s="32" t="s">
        <v>1239</v>
      </c>
      <c r="M148" s="31">
        <f>6079</f>
        <v>6079</v>
      </c>
      <c r="N148" s="32" t="s">
        <v>859</v>
      </c>
      <c r="O148" s="31">
        <f>5550</f>
        <v>5550</v>
      </c>
      <c r="P148" s="32" t="s">
        <v>1239</v>
      </c>
      <c r="Q148" s="31">
        <f>5904</f>
        <v>5904</v>
      </c>
      <c r="R148" s="32" t="s">
        <v>755</v>
      </c>
      <c r="S148" s="33">
        <f>5851.9</f>
        <v>5851.9</v>
      </c>
      <c r="T148" s="39">
        <f>47478</f>
        <v>47478</v>
      </c>
      <c r="U148" s="30" t="str">
        <f>"－"</f>
        <v>－</v>
      </c>
      <c r="V148" s="30">
        <f>280021109</f>
        <v>280021109</v>
      </c>
      <c r="W148" s="30" t="str">
        <f>"－"</f>
        <v>－</v>
      </c>
      <c r="X148" s="34">
        <f>20</f>
        <v>20</v>
      </c>
    </row>
    <row r="149" spans="1:24">
      <c r="A149" s="25" t="s">
        <v>1254</v>
      </c>
      <c r="B149" s="25" t="s">
        <v>403</v>
      </c>
      <c r="C149" s="25" t="s">
        <v>949</v>
      </c>
      <c r="D149" s="25" t="s">
        <v>950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</v>
      </c>
      <c r="K149" s="31">
        <f>1971</f>
        <v>1971</v>
      </c>
      <c r="L149" s="32" t="s">
        <v>1239</v>
      </c>
      <c r="M149" s="31">
        <f>2164</f>
        <v>2164</v>
      </c>
      <c r="N149" s="32" t="s">
        <v>851</v>
      </c>
      <c r="O149" s="31">
        <f>1971</f>
        <v>1971</v>
      </c>
      <c r="P149" s="32" t="s">
        <v>1239</v>
      </c>
      <c r="Q149" s="31">
        <f>2092</f>
        <v>2092</v>
      </c>
      <c r="R149" s="32" t="s">
        <v>755</v>
      </c>
      <c r="S149" s="33">
        <f>2088.65</f>
        <v>2088.65</v>
      </c>
      <c r="T149" s="39">
        <f>53647</f>
        <v>53647</v>
      </c>
      <c r="U149" s="30">
        <f>14000</f>
        <v>14000</v>
      </c>
      <c r="V149" s="30">
        <f>111841802</f>
        <v>111841802</v>
      </c>
      <c r="W149" s="30">
        <f>29046540</f>
        <v>29046540</v>
      </c>
      <c r="X149" s="34">
        <f>20</f>
        <v>20</v>
      </c>
    </row>
    <row r="150" spans="1:24">
      <c r="A150" s="25" t="s">
        <v>1254</v>
      </c>
      <c r="B150" s="25" t="s">
        <v>404</v>
      </c>
      <c r="C150" s="25" t="s">
        <v>405</v>
      </c>
      <c r="D150" s="25" t="s">
        <v>406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10</v>
      </c>
      <c r="K150" s="31">
        <f>1659</f>
        <v>1659</v>
      </c>
      <c r="L150" s="32" t="s">
        <v>1239</v>
      </c>
      <c r="M150" s="31">
        <f>1734.5</f>
        <v>1734.5</v>
      </c>
      <c r="N150" s="32" t="s">
        <v>1080</v>
      </c>
      <c r="O150" s="31">
        <f>1583.5</f>
        <v>1583.5</v>
      </c>
      <c r="P150" s="32" t="s">
        <v>1239</v>
      </c>
      <c r="Q150" s="31">
        <f>1630</f>
        <v>1630</v>
      </c>
      <c r="R150" s="32" t="s">
        <v>755</v>
      </c>
      <c r="S150" s="33">
        <f>1657.44</f>
        <v>1657.44</v>
      </c>
      <c r="T150" s="39">
        <f>3430</f>
        <v>3430</v>
      </c>
      <c r="U150" s="30" t="str">
        <f t="shared" ref="U150:U163" si="0">"－"</f>
        <v>－</v>
      </c>
      <c r="V150" s="30">
        <f>5689415</f>
        <v>5689415</v>
      </c>
      <c r="W150" s="30" t="str">
        <f t="shared" ref="W150:W163" si="1">"－"</f>
        <v>－</v>
      </c>
      <c r="X150" s="34">
        <f>16</f>
        <v>16</v>
      </c>
    </row>
    <row r="151" spans="1:24">
      <c r="A151" s="25" t="s">
        <v>1254</v>
      </c>
      <c r="B151" s="25" t="s">
        <v>407</v>
      </c>
      <c r="C151" s="25" t="s">
        <v>408</v>
      </c>
      <c r="D151" s="25" t="s">
        <v>409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10</v>
      </c>
      <c r="K151" s="31">
        <f>466.2</f>
        <v>466.2</v>
      </c>
      <c r="L151" s="32" t="s">
        <v>1239</v>
      </c>
      <c r="M151" s="31">
        <f>525.9</f>
        <v>525.9</v>
      </c>
      <c r="N151" s="32" t="s">
        <v>1080</v>
      </c>
      <c r="O151" s="31">
        <f>466.1</f>
        <v>466.1</v>
      </c>
      <c r="P151" s="32" t="s">
        <v>1239</v>
      </c>
      <c r="Q151" s="31">
        <f>478</f>
        <v>478</v>
      </c>
      <c r="R151" s="32" t="s">
        <v>755</v>
      </c>
      <c r="S151" s="33">
        <f>493.93</f>
        <v>493.93</v>
      </c>
      <c r="T151" s="39">
        <f>38600</f>
        <v>38600</v>
      </c>
      <c r="U151" s="30" t="str">
        <f t="shared" si="0"/>
        <v>－</v>
      </c>
      <c r="V151" s="30">
        <f>19025801</f>
        <v>19025801</v>
      </c>
      <c r="W151" s="30" t="str">
        <f t="shared" si="1"/>
        <v>－</v>
      </c>
      <c r="X151" s="34">
        <f>19</f>
        <v>19</v>
      </c>
    </row>
    <row r="152" spans="1:24">
      <c r="A152" s="25" t="s">
        <v>1254</v>
      </c>
      <c r="B152" s="25" t="s">
        <v>410</v>
      </c>
      <c r="C152" s="25" t="s">
        <v>411</v>
      </c>
      <c r="D152" s="25" t="s">
        <v>412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2079</f>
        <v>2079</v>
      </c>
      <c r="L152" s="32" t="s">
        <v>1239</v>
      </c>
      <c r="M152" s="31">
        <f>2279</f>
        <v>2279</v>
      </c>
      <c r="N152" s="32" t="s">
        <v>1079</v>
      </c>
      <c r="O152" s="31">
        <f>2079</f>
        <v>2079</v>
      </c>
      <c r="P152" s="32" t="s">
        <v>1239</v>
      </c>
      <c r="Q152" s="31">
        <f>2200</f>
        <v>2200</v>
      </c>
      <c r="R152" s="32" t="s">
        <v>755</v>
      </c>
      <c r="S152" s="33">
        <f>2187.96</f>
        <v>2187.96</v>
      </c>
      <c r="T152" s="39">
        <f>1260</f>
        <v>1260</v>
      </c>
      <c r="U152" s="30" t="str">
        <f t="shared" si="0"/>
        <v>－</v>
      </c>
      <c r="V152" s="30">
        <f>2781495</f>
        <v>2781495</v>
      </c>
      <c r="W152" s="30" t="str">
        <f t="shared" si="1"/>
        <v>－</v>
      </c>
      <c r="X152" s="34">
        <f>12</f>
        <v>12</v>
      </c>
    </row>
    <row r="153" spans="1:24">
      <c r="A153" s="25" t="s">
        <v>1254</v>
      </c>
      <c r="B153" s="25" t="s">
        <v>413</v>
      </c>
      <c r="C153" s="25" t="s">
        <v>414</v>
      </c>
      <c r="D153" s="25" t="s">
        <v>415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920</f>
        <v>920</v>
      </c>
      <c r="L153" s="32" t="s">
        <v>1239</v>
      </c>
      <c r="M153" s="31">
        <f>924.9</f>
        <v>924.9</v>
      </c>
      <c r="N153" s="32" t="s">
        <v>1239</v>
      </c>
      <c r="O153" s="31">
        <f>860</f>
        <v>860</v>
      </c>
      <c r="P153" s="32" t="s">
        <v>1079</v>
      </c>
      <c r="Q153" s="31">
        <f>868.1</f>
        <v>868.1</v>
      </c>
      <c r="R153" s="32" t="s">
        <v>755</v>
      </c>
      <c r="S153" s="33">
        <f>890.39</f>
        <v>890.39</v>
      </c>
      <c r="T153" s="39">
        <f>30670</f>
        <v>30670</v>
      </c>
      <c r="U153" s="30" t="str">
        <f t="shared" si="0"/>
        <v>－</v>
      </c>
      <c r="V153" s="30">
        <f>27258426</f>
        <v>27258426</v>
      </c>
      <c r="W153" s="30" t="str">
        <f t="shared" si="1"/>
        <v>－</v>
      </c>
      <c r="X153" s="34">
        <f>20</f>
        <v>20</v>
      </c>
    </row>
    <row r="154" spans="1:24">
      <c r="A154" s="25" t="s">
        <v>1254</v>
      </c>
      <c r="B154" s="25" t="s">
        <v>416</v>
      </c>
      <c r="C154" s="25" t="s">
        <v>417</v>
      </c>
      <c r="D154" s="25" t="s">
        <v>418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517.9</f>
        <v>517.9</v>
      </c>
      <c r="L154" s="32" t="s">
        <v>1239</v>
      </c>
      <c r="M154" s="31">
        <f>519.8</f>
        <v>519.79999999999995</v>
      </c>
      <c r="N154" s="32" t="s">
        <v>1240</v>
      </c>
      <c r="O154" s="31">
        <f>488</f>
        <v>488</v>
      </c>
      <c r="P154" s="32" t="s">
        <v>851</v>
      </c>
      <c r="Q154" s="31">
        <f>492.5</f>
        <v>492.5</v>
      </c>
      <c r="R154" s="32" t="s">
        <v>755</v>
      </c>
      <c r="S154" s="33">
        <f>497.93</f>
        <v>497.93</v>
      </c>
      <c r="T154" s="39">
        <f>61700</f>
        <v>61700</v>
      </c>
      <c r="U154" s="30" t="str">
        <f t="shared" si="0"/>
        <v>－</v>
      </c>
      <c r="V154" s="30">
        <f>30682693</f>
        <v>30682693</v>
      </c>
      <c r="W154" s="30" t="str">
        <f t="shared" si="1"/>
        <v>－</v>
      </c>
      <c r="X154" s="34">
        <f>20</f>
        <v>20</v>
      </c>
    </row>
    <row r="155" spans="1:24">
      <c r="A155" s="25" t="s">
        <v>1254</v>
      </c>
      <c r="B155" s="25" t="s">
        <v>419</v>
      </c>
      <c r="C155" s="25" t="s">
        <v>420</v>
      </c>
      <c r="D155" s="25" t="s">
        <v>421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</v>
      </c>
      <c r="K155" s="31">
        <f>1220</f>
        <v>1220</v>
      </c>
      <c r="L155" s="32" t="s">
        <v>1239</v>
      </c>
      <c r="M155" s="31">
        <f>1394</f>
        <v>1394</v>
      </c>
      <c r="N155" s="32" t="s">
        <v>1211</v>
      </c>
      <c r="O155" s="31">
        <f>1168</f>
        <v>1168</v>
      </c>
      <c r="P155" s="32" t="s">
        <v>1081</v>
      </c>
      <c r="Q155" s="31">
        <f>1190</f>
        <v>1190</v>
      </c>
      <c r="R155" s="32" t="s">
        <v>755</v>
      </c>
      <c r="S155" s="33">
        <f>1271.45</f>
        <v>1271.45</v>
      </c>
      <c r="T155" s="39">
        <f>353779</f>
        <v>353779</v>
      </c>
      <c r="U155" s="30" t="str">
        <f t="shared" si="0"/>
        <v>－</v>
      </c>
      <c r="V155" s="30">
        <f>448703050</f>
        <v>448703050</v>
      </c>
      <c r="W155" s="30" t="str">
        <f t="shared" si="1"/>
        <v>－</v>
      </c>
      <c r="X155" s="34">
        <f>20</f>
        <v>20</v>
      </c>
    </row>
    <row r="156" spans="1:24">
      <c r="A156" s="25" t="s">
        <v>1254</v>
      </c>
      <c r="B156" s="25" t="s">
        <v>422</v>
      </c>
      <c r="C156" s="25" t="s">
        <v>423</v>
      </c>
      <c r="D156" s="25" t="s">
        <v>424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1238.5</f>
        <v>1238.5</v>
      </c>
      <c r="L156" s="32" t="s">
        <v>1239</v>
      </c>
      <c r="M156" s="31">
        <f>1411</f>
        <v>1411</v>
      </c>
      <c r="N156" s="32" t="s">
        <v>1078</v>
      </c>
      <c r="O156" s="31">
        <f>1189</f>
        <v>1189</v>
      </c>
      <c r="P156" s="32" t="s">
        <v>1239</v>
      </c>
      <c r="Q156" s="31">
        <f>1252.5</f>
        <v>1252.5</v>
      </c>
      <c r="R156" s="32" t="s">
        <v>755</v>
      </c>
      <c r="S156" s="33">
        <f>1269.23</f>
        <v>1269.23</v>
      </c>
      <c r="T156" s="39">
        <f>60130</f>
        <v>60130</v>
      </c>
      <c r="U156" s="30" t="str">
        <f t="shared" si="0"/>
        <v>－</v>
      </c>
      <c r="V156" s="30">
        <f>76930750</f>
        <v>76930750</v>
      </c>
      <c r="W156" s="30" t="str">
        <f t="shared" si="1"/>
        <v>－</v>
      </c>
      <c r="X156" s="34">
        <f>20</f>
        <v>20</v>
      </c>
    </row>
    <row r="157" spans="1:24">
      <c r="A157" s="25" t="s">
        <v>1254</v>
      </c>
      <c r="B157" s="25" t="s">
        <v>425</v>
      </c>
      <c r="C157" s="25" t="s">
        <v>426</v>
      </c>
      <c r="D157" s="25" t="s">
        <v>427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7198</f>
        <v>7198</v>
      </c>
      <c r="L157" s="32" t="s">
        <v>1239</v>
      </c>
      <c r="M157" s="31">
        <f>7577</f>
        <v>7577</v>
      </c>
      <c r="N157" s="32" t="s">
        <v>739</v>
      </c>
      <c r="O157" s="31">
        <f>6851</f>
        <v>6851</v>
      </c>
      <c r="P157" s="32" t="s">
        <v>1239</v>
      </c>
      <c r="Q157" s="31">
        <f>6962</f>
        <v>6962</v>
      </c>
      <c r="R157" s="32" t="s">
        <v>755</v>
      </c>
      <c r="S157" s="33">
        <f>7180.44</f>
        <v>7180.44</v>
      </c>
      <c r="T157" s="39">
        <f>3529</f>
        <v>3529</v>
      </c>
      <c r="U157" s="30" t="str">
        <f t="shared" si="0"/>
        <v>－</v>
      </c>
      <c r="V157" s="30">
        <f>25245931</f>
        <v>25245931</v>
      </c>
      <c r="W157" s="30" t="str">
        <f t="shared" si="1"/>
        <v>－</v>
      </c>
      <c r="X157" s="34">
        <f>18</f>
        <v>18</v>
      </c>
    </row>
    <row r="158" spans="1:24">
      <c r="A158" s="25" t="s">
        <v>1254</v>
      </c>
      <c r="B158" s="25" t="s">
        <v>428</v>
      </c>
      <c r="C158" s="25" t="s">
        <v>429</v>
      </c>
      <c r="D158" s="25" t="s">
        <v>430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100</v>
      </c>
      <c r="K158" s="31">
        <f>442.1</f>
        <v>442.1</v>
      </c>
      <c r="L158" s="32" t="s">
        <v>1239</v>
      </c>
      <c r="M158" s="31">
        <f>492</f>
        <v>492</v>
      </c>
      <c r="N158" s="32" t="s">
        <v>1080</v>
      </c>
      <c r="O158" s="31">
        <f>442.1</f>
        <v>442.1</v>
      </c>
      <c r="P158" s="32" t="s">
        <v>1239</v>
      </c>
      <c r="Q158" s="31">
        <f>464.1</f>
        <v>464.1</v>
      </c>
      <c r="R158" s="32" t="s">
        <v>1078</v>
      </c>
      <c r="S158" s="33">
        <f>462.86</f>
        <v>462.86</v>
      </c>
      <c r="T158" s="39">
        <f>20300</f>
        <v>20300</v>
      </c>
      <c r="U158" s="30" t="str">
        <f t="shared" si="0"/>
        <v>－</v>
      </c>
      <c r="V158" s="30">
        <f>9427580</f>
        <v>9427580</v>
      </c>
      <c r="W158" s="30" t="str">
        <f t="shared" si="1"/>
        <v>－</v>
      </c>
      <c r="X158" s="34">
        <f>14</f>
        <v>14</v>
      </c>
    </row>
    <row r="159" spans="1:24">
      <c r="A159" s="25" t="s">
        <v>1254</v>
      </c>
      <c r="B159" s="25" t="s">
        <v>431</v>
      </c>
      <c r="C159" s="25" t="s">
        <v>432</v>
      </c>
      <c r="D159" s="25" t="s">
        <v>433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10</v>
      </c>
      <c r="K159" s="31">
        <f>5880</f>
        <v>5880</v>
      </c>
      <c r="L159" s="32" t="s">
        <v>1239</v>
      </c>
      <c r="M159" s="31">
        <f>6202</f>
        <v>6202</v>
      </c>
      <c r="N159" s="32" t="s">
        <v>1212</v>
      </c>
      <c r="O159" s="31">
        <f>5805</f>
        <v>5805</v>
      </c>
      <c r="P159" s="32" t="s">
        <v>852</v>
      </c>
      <c r="Q159" s="31">
        <f>5986</f>
        <v>5986</v>
      </c>
      <c r="R159" s="32" t="s">
        <v>755</v>
      </c>
      <c r="S159" s="33">
        <f>6025.7</f>
        <v>6025.7</v>
      </c>
      <c r="T159" s="39">
        <f>58800</f>
        <v>58800</v>
      </c>
      <c r="U159" s="30" t="str">
        <f t="shared" si="0"/>
        <v>－</v>
      </c>
      <c r="V159" s="30">
        <f>353545850</f>
        <v>353545850</v>
      </c>
      <c r="W159" s="30" t="str">
        <f t="shared" si="1"/>
        <v>－</v>
      </c>
      <c r="X159" s="34">
        <f>20</f>
        <v>20</v>
      </c>
    </row>
    <row r="160" spans="1:24">
      <c r="A160" s="25" t="s">
        <v>1254</v>
      </c>
      <c r="B160" s="25" t="s">
        <v>434</v>
      </c>
      <c r="C160" s="25" t="s">
        <v>435</v>
      </c>
      <c r="D160" s="25" t="s">
        <v>436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</v>
      </c>
      <c r="K160" s="31">
        <f>2048</f>
        <v>2048</v>
      </c>
      <c r="L160" s="32" t="s">
        <v>1239</v>
      </c>
      <c r="M160" s="31">
        <f>2050</f>
        <v>2050</v>
      </c>
      <c r="N160" s="32" t="s">
        <v>1080</v>
      </c>
      <c r="O160" s="31">
        <f>1930</f>
        <v>1930</v>
      </c>
      <c r="P160" s="32" t="s">
        <v>1207</v>
      </c>
      <c r="Q160" s="31">
        <f>1988.5</f>
        <v>1988.5</v>
      </c>
      <c r="R160" s="32" t="s">
        <v>755</v>
      </c>
      <c r="S160" s="33">
        <f>2006</f>
        <v>2006</v>
      </c>
      <c r="T160" s="39">
        <f>3770</f>
        <v>3770</v>
      </c>
      <c r="U160" s="30" t="str">
        <f t="shared" si="0"/>
        <v>－</v>
      </c>
      <c r="V160" s="30">
        <f>7560680</f>
        <v>7560680</v>
      </c>
      <c r="W160" s="30" t="str">
        <f t="shared" si="1"/>
        <v>－</v>
      </c>
      <c r="X160" s="34">
        <f>18</f>
        <v>18</v>
      </c>
    </row>
    <row r="161" spans="1:24">
      <c r="A161" s="25" t="s">
        <v>1254</v>
      </c>
      <c r="B161" s="25" t="s">
        <v>437</v>
      </c>
      <c r="C161" s="25" t="s">
        <v>438</v>
      </c>
      <c r="D161" s="25" t="s">
        <v>439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</v>
      </c>
      <c r="K161" s="31">
        <f>2740</f>
        <v>2740</v>
      </c>
      <c r="L161" s="32" t="s">
        <v>1239</v>
      </c>
      <c r="M161" s="31">
        <f>2880</f>
        <v>2880</v>
      </c>
      <c r="N161" s="32" t="s">
        <v>850</v>
      </c>
      <c r="O161" s="31">
        <f>2725</f>
        <v>2725</v>
      </c>
      <c r="P161" s="32" t="s">
        <v>1206</v>
      </c>
      <c r="Q161" s="31">
        <f>2807</f>
        <v>2807</v>
      </c>
      <c r="R161" s="32" t="s">
        <v>755</v>
      </c>
      <c r="S161" s="33">
        <f>2800.95</f>
        <v>2800.95</v>
      </c>
      <c r="T161" s="39">
        <f>193364</f>
        <v>193364</v>
      </c>
      <c r="U161" s="30" t="str">
        <f t="shared" si="0"/>
        <v>－</v>
      </c>
      <c r="V161" s="30">
        <f>537527234</f>
        <v>537527234</v>
      </c>
      <c r="W161" s="30" t="str">
        <f t="shared" si="1"/>
        <v>－</v>
      </c>
      <c r="X161" s="34">
        <f>20</f>
        <v>20</v>
      </c>
    </row>
    <row r="162" spans="1:24">
      <c r="A162" s="25" t="s">
        <v>1254</v>
      </c>
      <c r="B162" s="25" t="s">
        <v>440</v>
      </c>
      <c r="C162" s="25" t="s">
        <v>441</v>
      </c>
      <c r="D162" s="25" t="s">
        <v>442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</v>
      </c>
      <c r="K162" s="31">
        <f>2975</f>
        <v>2975</v>
      </c>
      <c r="L162" s="32" t="s">
        <v>1239</v>
      </c>
      <c r="M162" s="31">
        <f>3095</f>
        <v>3095</v>
      </c>
      <c r="N162" s="32" t="s">
        <v>1240</v>
      </c>
      <c r="O162" s="31">
        <f>2880</f>
        <v>2880</v>
      </c>
      <c r="P162" s="32" t="s">
        <v>1077</v>
      </c>
      <c r="Q162" s="31">
        <f>2900</f>
        <v>2900</v>
      </c>
      <c r="R162" s="32" t="s">
        <v>755</v>
      </c>
      <c r="S162" s="33">
        <f>2948.4</f>
        <v>2948.4</v>
      </c>
      <c r="T162" s="39">
        <f>13863</f>
        <v>13863</v>
      </c>
      <c r="U162" s="30" t="str">
        <f t="shared" si="0"/>
        <v>－</v>
      </c>
      <c r="V162" s="30">
        <f>40814959</f>
        <v>40814959</v>
      </c>
      <c r="W162" s="30" t="str">
        <f t="shared" si="1"/>
        <v>－</v>
      </c>
      <c r="X162" s="34">
        <f>20</f>
        <v>20</v>
      </c>
    </row>
    <row r="163" spans="1:24">
      <c r="A163" s="25" t="s">
        <v>1254</v>
      </c>
      <c r="B163" s="25" t="s">
        <v>443</v>
      </c>
      <c r="C163" s="25" t="s">
        <v>444</v>
      </c>
      <c r="D163" s="25" t="s">
        <v>445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10</v>
      </c>
      <c r="K163" s="31">
        <f>3648</f>
        <v>3648</v>
      </c>
      <c r="L163" s="32" t="s">
        <v>1239</v>
      </c>
      <c r="M163" s="31">
        <f>3848</f>
        <v>3848</v>
      </c>
      <c r="N163" s="32" t="s">
        <v>1080</v>
      </c>
      <c r="O163" s="31">
        <f>3508</f>
        <v>3508</v>
      </c>
      <c r="P163" s="32" t="s">
        <v>1239</v>
      </c>
      <c r="Q163" s="31">
        <f>3637</f>
        <v>3637</v>
      </c>
      <c r="R163" s="32" t="s">
        <v>755</v>
      </c>
      <c r="S163" s="33">
        <f>3688.15</f>
        <v>3688.15</v>
      </c>
      <c r="T163" s="39">
        <f>10220</f>
        <v>10220</v>
      </c>
      <c r="U163" s="30" t="str">
        <f t="shared" si="0"/>
        <v>－</v>
      </c>
      <c r="V163" s="30">
        <f>37763190</f>
        <v>37763190</v>
      </c>
      <c r="W163" s="30" t="str">
        <f t="shared" si="1"/>
        <v>－</v>
      </c>
      <c r="X163" s="34">
        <f>20</f>
        <v>20</v>
      </c>
    </row>
    <row r="164" spans="1:24">
      <c r="A164" s="25" t="s">
        <v>1254</v>
      </c>
      <c r="B164" s="25" t="s">
        <v>446</v>
      </c>
      <c r="C164" s="25" t="s">
        <v>447</v>
      </c>
      <c r="D164" s="25" t="s">
        <v>951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</v>
      </c>
      <c r="K164" s="31">
        <f>2975</f>
        <v>2975</v>
      </c>
      <c r="L164" s="32" t="s">
        <v>1239</v>
      </c>
      <c r="M164" s="31">
        <f>3084</f>
        <v>3084</v>
      </c>
      <c r="N164" s="32" t="s">
        <v>755</v>
      </c>
      <c r="O164" s="31">
        <f>2952</f>
        <v>2952</v>
      </c>
      <c r="P164" s="32" t="s">
        <v>1239</v>
      </c>
      <c r="Q164" s="31">
        <f>3078</f>
        <v>3078</v>
      </c>
      <c r="R164" s="32" t="s">
        <v>755</v>
      </c>
      <c r="S164" s="33">
        <f>3020.6</f>
        <v>3020.6</v>
      </c>
      <c r="T164" s="39">
        <f>247245</f>
        <v>247245</v>
      </c>
      <c r="U164" s="30">
        <f>280</f>
        <v>280</v>
      </c>
      <c r="V164" s="30">
        <f>746313464</f>
        <v>746313464</v>
      </c>
      <c r="W164" s="30">
        <f>854960</f>
        <v>854960</v>
      </c>
      <c r="X164" s="34">
        <f>20</f>
        <v>20</v>
      </c>
    </row>
    <row r="165" spans="1:24">
      <c r="A165" s="25" t="s">
        <v>1254</v>
      </c>
      <c r="B165" s="25" t="s">
        <v>448</v>
      </c>
      <c r="C165" s="25" t="s">
        <v>952</v>
      </c>
      <c r="D165" s="25" t="s">
        <v>953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330.2</f>
        <v>330.2</v>
      </c>
      <c r="L165" s="32" t="s">
        <v>1239</v>
      </c>
      <c r="M165" s="31">
        <f>370.3</f>
        <v>370.3</v>
      </c>
      <c r="N165" s="32" t="s">
        <v>1080</v>
      </c>
      <c r="O165" s="31">
        <f>328.4</f>
        <v>328.4</v>
      </c>
      <c r="P165" s="32" t="s">
        <v>1239</v>
      </c>
      <c r="Q165" s="31">
        <f>344.7</f>
        <v>344.7</v>
      </c>
      <c r="R165" s="32" t="s">
        <v>755</v>
      </c>
      <c r="S165" s="33">
        <f>349.79</f>
        <v>349.79</v>
      </c>
      <c r="T165" s="39">
        <f>12042160</f>
        <v>12042160</v>
      </c>
      <c r="U165" s="30">
        <f>33970</f>
        <v>33970</v>
      </c>
      <c r="V165" s="30">
        <f>4179637143</f>
        <v>4179637143</v>
      </c>
      <c r="W165" s="30">
        <f>11997922</f>
        <v>11997922</v>
      </c>
      <c r="X165" s="34">
        <f>20</f>
        <v>20</v>
      </c>
    </row>
    <row r="166" spans="1:24">
      <c r="A166" s="25" t="s">
        <v>1254</v>
      </c>
      <c r="B166" s="25" t="s">
        <v>1088</v>
      </c>
      <c r="C166" s="25" t="s">
        <v>1087</v>
      </c>
      <c r="D166" s="25" t="s">
        <v>1086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1924</f>
        <v>1924</v>
      </c>
      <c r="L166" s="32" t="s">
        <v>1239</v>
      </c>
      <c r="M166" s="31">
        <f>2035</f>
        <v>2035</v>
      </c>
      <c r="N166" s="32" t="s">
        <v>859</v>
      </c>
      <c r="O166" s="31">
        <f>1918</f>
        <v>1918</v>
      </c>
      <c r="P166" s="32" t="s">
        <v>1239</v>
      </c>
      <c r="Q166" s="31">
        <f>2034</f>
        <v>2034</v>
      </c>
      <c r="R166" s="32" t="s">
        <v>755</v>
      </c>
      <c r="S166" s="33">
        <f>1980.4</f>
        <v>1980.4</v>
      </c>
      <c r="T166" s="39">
        <f>38255</f>
        <v>38255</v>
      </c>
      <c r="U166" s="30" t="str">
        <f>"－"</f>
        <v>－</v>
      </c>
      <c r="V166" s="30">
        <f>74997125</f>
        <v>74997125</v>
      </c>
      <c r="W166" s="30" t="str">
        <f>"－"</f>
        <v>－</v>
      </c>
      <c r="X166" s="34">
        <f>20</f>
        <v>20</v>
      </c>
    </row>
    <row r="167" spans="1:24">
      <c r="A167" s="25" t="s">
        <v>1254</v>
      </c>
      <c r="B167" s="25" t="s">
        <v>1098</v>
      </c>
      <c r="C167" s="25" t="s">
        <v>1099</v>
      </c>
      <c r="D167" s="25" t="s">
        <v>1100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</v>
      </c>
      <c r="K167" s="31">
        <f>1016</f>
        <v>1016</v>
      </c>
      <c r="L167" s="32" t="s">
        <v>1239</v>
      </c>
      <c r="M167" s="31">
        <f>1134</f>
        <v>1134</v>
      </c>
      <c r="N167" s="32" t="s">
        <v>859</v>
      </c>
      <c r="O167" s="31">
        <f>1014</f>
        <v>1014</v>
      </c>
      <c r="P167" s="32" t="s">
        <v>1239</v>
      </c>
      <c r="Q167" s="31">
        <f>1093</f>
        <v>1093</v>
      </c>
      <c r="R167" s="32" t="s">
        <v>755</v>
      </c>
      <c r="S167" s="33">
        <f>1078.55</f>
        <v>1078.55</v>
      </c>
      <c r="T167" s="39">
        <f>728316</f>
        <v>728316</v>
      </c>
      <c r="U167" s="30">
        <f>253</f>
        <v>253</v>
      </c>
      <c r="V167" s="30">
        <f>778739287</f>
        <v>778739287</v>
      </c>
      <c r="W167" s="30">
        <f>279971</f>
        <v>279971</v>
      </c>
      <c r="X167" s="34">
        <f>20</f>
        <v>20</v>
      </c>
    </row>
    <row r="168" spans="1:24">
      <c r="A168" s="25" t="s">
        <v>1254</v>
      </c>
      <c r="B168" s="25" t="s">
        <v>1101</v>
      </c>
      <c r="C168" s="25" t="s">
        <v>1102</v>
      </c>
      <c r="D168" s="25" t="s">
        <v>1103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10</v>
      </c>
      <c r="K168" s="31">
        <f>276</f>
        <v>276</v>
      </c>
      <c r="L168" s="32" t="s">
        <v>1239</v>
      </c>
      <c r="M168" s="31">
        <f>276.9</f>
        <v>276.89999999999998</v>
      </c>
      <c r="N168" s="32" t="s">
        <v>1239</v>
      </c>
      <c r="O168" s="31">
        <f>255.1</f>
        <v>255.1</v>
      </c>
      <c r="P168" s="32" t="s">
        <v>850</v>
      </c>
      <c r="Q168" s="31">
        <f>263.4</f>
        <v>263.39999999999998</v>
      </c>
      <c r="R168" s="32" t="s">
        <v>755</v>
      </c>
      <c r="S168" s="33">
        <f>266.06</f>
        <v>266.06</v>
      </c>
      <c r="T168" s="39">
        <f>1167790</f>
        <v>1167790</v>
      </c>
      <c r="U168" s="30">
        <f>20</f>
        <v>20</v>
      </c>
      <c r="V168" s="30">
        <f>308385292</f>
        <v>308385292</v>
      </c>
      <c r="W168" s="30">
        <f>5374</f>
        <v>5374</v>
      </c>
      <c r="X168" s="34">
        <f>20</f>
        <v>20</v>
      </c>
    </row>
    <row r="169" spans="1:24">
      <c r="A169" s="25" t="s">
        <v>1254</v>
      </c>
      <c r="B169" s="25" t="s">
        <v>1104</v>
      </c>
      <c r="C169" s="25" t="s">
        <v>1105</v>
      </c>
      <c r="D169" s="25" t="s">
        <v>1106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10</v>
      </c>
      <c r="K169" s="31">
        <f>277.5</f>
        <v>277.5</v>
      </c>
      <c r="L169" s="32" t="s">
        <v>1239</v>
      </c>
      <c r="M169" s="31">
        <f>280.4</f>
        <v>280.39999999999998</v>
      </c>
      <c r="N169" s="32" t="s">
        <v>1240</v>
      </c>
      <c r="O169" s="31">
        <f>256.5</f>
        <v>256.5</v>
      </c>
      <c r="P169" s="32" t="s">
        <v>1212</v>
      </c>
      <c r="Q169" s="31">
        <f>266.5</f>
        <v>266.5</v>
      </c>
      <c r="R169" s="32" t="s">
        <v>755</v>
      </c>
      <c r="S169" s="33">
        <f>269.8</f>
        <v>269.8</v>
      </c>
      <c r="T169" s="39">
        <f>1913780</f>
        <v>1913780</v>
      </c>
      <c r="U169" s="30">
        <f>250</f>
        <v>250</v>
      </c>
      <c r="V169" s="30">
        <f>503196843</f>
        <v>503196843</v>
      </c>
      <c r="W169" s="30">
        <f>69200</f>
        <v>69200</v>
      </c>
      <c r="X169" s="34">
        <f>20</f>
        <v>20</v>
      </c>
    </row>
    <row r="170" spans="1:24">
      <c r="A170" s="25" t="s">
        <v>1254</v>
      </c>
      <c r="B170" s="25" t="s">
        <v>1107</v>
      </c>
      <c r="C170" s="25" t="s">
        <v>1108</v>
      </c>
      <c r="D170" s="25" t="s">
        <v>1109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496.2</f>
        <v>496.2</v>
      </c>
      <c r="L170" s="32" t="s">
        <v>1239</v>
      </c>
      <c r="M170" s="31">
        <f>496.4</f>
        <v>496.4</v>
      </c>
      <c r="N170" s="32" t="s">
        <v>1211</v>
      </c>
      <c r="O170" s="31">
        <f>470.2</f>
        <v>470.2</v>
      </c>
      <c r="P170" s="32" t="s">
        <v>1075</v>
      </c>
      <c r="Q170" s="31">
        <f>479</f>
        <v>479</v>
      </c>
      <c r="R170" s="32" t="s">
        <v>1078</v>
      </c>
      <c r="S170" s="33">
        <f>481.09</f>
        <v>481.09</v>
      </c>
      <c r="T170" s="39">
        <f>3451010</f>
        <v>3451010</v>
      </c>
      <c r="U170" s="30">
        <f>1750000</f>
        <v>1750000</v>
      </c>
      <c r="V170" s="30">
        <f>1650917151</f>
        <v>1650917151</v>
      </c>
      <c r="W170" s="30">
        <f>837725000</f>
        <v>837725000</v>
      </c>
      <c r="X170" s="34">
        <f>12</f>
        <v>12</v>
      </c>
    </row>
    <row r="171" spans="1:24">
      <c r="A171" s="25" t="s">
        <v>1254</v>
      </c>
      <c r="B171" s="25" t="s">
        <v>1110</v>
      </c>
      <c r="C171" s="25" t="s">
        <v>1111</v>
      </c>
      <c r="D171" s="25" t="s">
        <v>1112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508.8</f>
        <v>508.8</v>
      </c>
      <c r="L171" s="32" t="s">
        <v>1239</v>
      </c>
      <c r="M171" s="31">
        <f>508.8</f>
        <v>508.8</v>
      </c>
      <c r="N171" s="32" t="s">
        <v>1239</v>
      </c>
      <c r="O171" s="31">
        <f>440.8</f>
        <v>440.8</v>
      </c>
      <c r="P171" s="32" t="s">
        <v>1212</v>
      </c>
      <c r="Q171" s="31">
        <f>456.6</f>
        <v>456.6</v>
      </c>
      <c r="R171" s="32" t="s">
        <v>755</v>
      </c>
      <c r="S171" s="33">
        <f>463.2</f>
        <v>463.2</v>
      </c>
      <c r="T171" s="39">
        <f>23840</f>
        <v>23840</v>
      </c>
      <c r="U171" s="30" t="str">
        <f>"－"</f>
        <v>－</v>
      </c>
      <c r="V171" s="30">
        <f>10994339</f>
        <v>10994339</v>
      </c>
      <c r="W171" s="30" t="str">
        <f>"－"</f>
        <v>－</v>
      </c>
      <c r="X171" s="34">
        <f>20</f>
        <v>20</v>
      </c>
    </row>
    <row r="172" spans="1:24">
      <c r="A172" s="25" t="s">
        <v>1254</v>
      </c>
      <c r="B172" s="25" t="s">
        <v>1113</v>
      </c>
      <c r="C172" s="25" t="s">
        <v>1114</v>
      </c>
      <c r="D172" s="25" t="s">
        <v>1115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490</f>
        <v>490</v>
      </c>
      <c r="L172" s="32" t="s">
        <v>1239</v>
      </c>
      <c r="M172" s="31">
        <f>490</f>
        <v>490</v>
      </c>
      <c r="N172" s="32" t="s">
        <v>1239</v>
      </c>
      <c r="O172" s="31">
        <f>453.6</f>
        <v>453.6</v>
      </c>
      <c r="P172" s="32" t="s">
        <v>1212</v>
      </c>
      <c r="Q172" s="31">
        <f>464.5</f>
        <v>464.5</v>
      </c>
      <c r="R172" s="32" t="s">
        <v>755</v>
      </c>
      <c r="S172" s="33">
        <f>466.29</f>
        <v>466.29</v>
      </c>
      <c r="T172" s="39">
        <f>93840</f>
        <v>93840</v>
      </c>
      <c r="U172" s="30" t="str">
        <f>"－"</f>
        <v>－</v>
      </c>
      <c r="V172" s="30">
        <f>43110402</f>
        <v>43110402</v>
      </c>
      <c r="W172" s="30" t="str">
        <f>"－"</f>
        <v>－</v>
      </c>
      <c r="X172" s="34">
        <f>18</f>
        <v>18</v>
      </c>
    </row>
    <row r="173" spans="1:24">
      <c r="A173" s="25" t="s">
        <v>1254</v>
      </c>
      <c r="B173" s="25" t="s">
        <v>1116</v>
      </c>
      <c r="C173" s="25" t="s">
        <v>1117</v>
      </c>
      <c r="D173" s="25" t="s">
        <v>1118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</v>
      </c>
      <c r="K173" s="31">
        <f>905</f>
        <v>905</v>
      </c>
      <c r="L173" s="32" t="s">
        <v>1239</v>
      </c>
      <c r="M173" s="31">
        <f>977</f>
        <v>977</v>
      </c>
      <c r="N173" s="32" t="s">
        <v>1211</v>
      </c>
      <c r="O173" s="31">
        <f>905</f>
        <v>905</v>
      </c>
      <c r="P173" s="32" t="s">
        <v>1239</v>
      </c>
      <c r="Q173" s="31">
        <f>930</f>
        <v>930</v>
      </c>
      <c r="R173" s="32" t="s">
        <v>755</v>
      </c>
      <c r="S173" s="33">
        <f>936.95</f>
        <v>936.95</v>
      </c>
      <c r="T173" s="39">
        <f>371544</f>
        <v>371544</v>
      </c>
      <c r="U173" s="30">
        <f>411</f>
        <v>411</v>
      </c>
      <c r="V173" s="30">
        <f>347082096</f>
        <v>347082096</v>
      </c>
      <c r="W173" s="30">
        <f>380403</f>
        <v>380403</v>
      </c>
      <c r="X173" s="34">
        <f>20</f>
        <v>20</v>
      </c>
    </row>
    <row r="174" spans="1:24">
      <c r="A174" s="25" t="s">
        <v>1254</v>
      </c>
      <c r="B174" s="25" t="s">
        <v>1119</v>
      </c>
      <c r="C174" s="25" t="s">
        <v>1120</v>
      </c>
      <c r="D174" s="25" t="s">
        <v>1121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</v>
      </c>
      <c r="K174" s="31">
        <f>1360</f>
        <v>1360</v>
      </c>
      <c r="L174" s="32" t="s">
        <v>1239</v>
      </c>
      <c r="M174" s="31">
        <f>1540</f>
        <v>1540</v>
      </c>
      <c r="N174" s="32" t="s">
        <v>1080</v>
      </c>
      <c r="O174" s="31">
        <f>1339</f>
        <v>1339</v>
      </c>
      <c r="P174" s="32" t="s">
        <v>1239</v>
      </c>
      <c r="Q174" s="31">
        <f>1498</f>
        <v>1498</v>
      </c>
      <c r="R174" s="32" t="s">
        <v>755</v>
      </c>
      <c r="S174" s="33">
        <f>1463.1</f>
        <v>1463.1</v>
      </c>
      <c r="T174" s="39">
        <f>1533366</f>
        <v>1533366</v>
      </c>
      <c r="U174" s="30">
        <f>14821</f>
        <v>14821</v>
      </c>
      <c r="V174" s="30">
        <f>2233442243</f>
        <v>2233442243</v>
      </c>
      <c r="W174" s="30">
        <f>21978642</f>
        <v>21978642</v>
      </c>
      <c r="X174" s="34">
        <f>20</f>
        <v>20</v>
      </c>
    </row>
    <row r="175" spans="1:24">
      <c r="A175" s="25" t="s">
        <v>1254</v>
      </c>
      <c r="B175" s="25" t="s">
        <v>1026</v>
      </c>
      <c r="C175" s="25" t="s">
        <v>1027</v>
      </c>
      <c r="D175" s="25" t="s">
        <v>1028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10</v>
      </c>
      <c r="K175" s="31">
        <f>588.7</f>
        <v>588.70000000000005</v>
      </c>
      <c r="L175" s="32" t="s">
        <v>1239</v>
      </c>
      <c r="M175" s="31">
        <f>609.7</f>
        <v>609.70000000000005</v>
      </c>
      <c r="N175" s="32" t="s">
        <v>1211</v>
      </c>
      <c r="O175" s="31">
        <f>581</f>
        <v>581</v>
      </c>
      <c r="P175" s="32" t="s">
        <v>1239</v>
      </c>
      <c r="Q175" s="31">
        <f>600</f>
        <v>600</v>
      </c>
      <c r="R175" s="32" t="s">
        <v>755</v>
      </c>
      <c r="S175" s="33">
        <f>593.14</f>
        <v>593.14</v>
      </c>
      <c r="T175" s="39">
        <f>360420</f>
        <v>360420</v>
      </c>
      <c r="U175" s="30">
        <f>80</f>
        <v>80</v>
      </c>
      <c r="V175" s="30">
        <f>213906059</f>
        <v>213906059</v>
      </c>
      <c r="W175" s="30">
        <f>46824</f>
        <v>46824</v>
      </c>
      <c r="X175" s="34">
        <f>20</f>
        <v>20</v>
      </c>
    </row>
    <row r="176" spans="1:24">
      <c r="A176" s="25" t="s">
        <v>1254</v>
      </c>
      <c r="B176" s="25" t="s">
        <v>1051</v>
      </c>
      <c r="C176" s="25" t="s">
        <v>1052</v>
      </c>
      <c r="D176" s="25" t="s">
        <v>1053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10</v>
      </c>
      <c r="K176" s="31">
        <f>207.9</f>
        <v>207.9</v>
      </c>
      <c r="L176" s="32" t="s">
        <v>1239</v>
      </c>
      <c r="M176" s="31">
        <f>215</f>
        <v>215</v>
      </c>
      <c r="N176" s="32" t="s">
        <v>1080</v>
      </c>
      <c r="O176" s="31">
        <f>206.3</f>
        <v>206.3</v>
      </c>
      <c r="P176" s="32" t="s">
        <v>1075</v>
      </c>
      <c r="Q176" s="31">
        <f>209.2</f>
        <v>209.2</v>
      </c>
      <c r="R176" s="32" t="s">
        <v>755</v>
      </c>
      <c r="S176" s="33">
        <f>209.9</f>
        <v>209.9</v>
      </c>
      <c r="T176" s="39">
        <f>26922350</f>
        <v>26922350</v>
      </c>
      <c r="U176" s="30">
        <f>25000000</f>
        <v>25000000</v>
      </c>
      <c r="V176" s="30">
        <f>5760495687</f>
        <v>5760495687</v>
      </c>
      <c r="W176" s="30">
        <f>5354100000</f>
        <v>5354100000</v>
      </c>
      <c r="X176" s="34">
        <f>20</f>
        <v>20</v>
      </c>
    </row>
    <row r="177" spans="1:24">
      <c r="A177" s="25" t="s">
        <v>1254</v>
      </c>
      <c r="B177" s="25" t="s">
        <v>1054</v>
      </c>
      <c r="C177" s="25" t="s">
        <v>1055</v>
      </c>
      <c r="D177" s="25" t="s">
        <v>1056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222.8</f>
        <v>222.8</v>
      </c>
      <c r="L177" s="32" t="s">
        <v>1239</v>
      </c>
      <c r="M177" s="31">
        <f>229.2</f>
        <v>229.2</v>
      </c>
      <c r="N177" s="32" t="s">
        <v>1211</v>
      </c>
      <c r="O177" s="31">
        <f>220.2</f>
        <v>220.2</v>
      </c>
      <c r="P177" s="32" t="s">
        <v>756</v>
      </c>
      <c r="Q177" s="31">
        <f>223.3</f>
        <v>223.3</v>
      </c>
      <c r="R177" s="32" t="s">
        <v>755</v>
      </c>
      <c r="S177" s="33">
        <f>223.99</f>
        <v>223.99</v>
      </c>
      <c r="T177" s="39">
        <f>8957100</f>
        <v>8957100</v>
      </c>
      <c r="U177" s="30">
        <f>2510</f>
        <v>2510</v>
      </c>
      <c r="V177" s="30">
        <f>2003357591</f>
        <v>2003357591</v>
      </c>
      <c r="W177" s="30">
        <f>564612</f>
        <v>564612</v>
      </c>
      <c r="X177" s="34">
        <f>20</f>
        <v>20</v>
      </c>
    </row>
    <row r="178" spans="1:24">
      <c r="A178" s="25" t="s">
        <v>1254</v>
      </c>
      <c r="B178" s="25" t="s">
        <v>1057</v>
      </c>
      <c r="C178" s="25" t="s">
        <v>1058</v>
      </c>
      <c r="D178" s="25" t="s">
        <v>1059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221.6</f>
        <v>221.6</v>
      </c>
      <c r="L178" s="32" t="s">
        <v>1239</v>
      </c>
      <c r="M178" s="31">
        <f>234.4</f>
        <v>234.4</v>
      </c>
      <c r="N178" s="32" t="s">
        <v>1211</v>
      </c>
      <c r="O178" s="31">
        <f>220.1</f>
        <v>220.1</v>
      </c>
      <c r="P178" s="32" t="s">
        <v>1239</v>
      </c>
      <c r="Q178" s="31">
        <f>227.8</f>
        <v>227.8</v>
      </c>
      <c r="R178" s="32" t="s">
        <v>755</v>
      </c>
      <c r="S178" s="33">
        <f>227.25</f>
        <v>227.25</v>
      </c>
      <c r="T178" s="39">
        <f>2838740</f>
        <v>2838740</v>
      </c>
      <c r="U178" s="30">
        <f>44420</f>
        <v>44420</v>
      </c>
      <c r="V178" s="30">
        <f>645168977</f>
        <v>645168977</v>
      </c>
      <c r="W178" s="30">
        <f>10096108</f>
        <v>10096108</v>
      </c>
      <c r="X178" s="34">
        <f>20</f>
        <v>20</v>
      </c>
    </row>
    <row r="179" spans="1:24">
      <c r="A179" s="25" t="s">
        <v>1254</v>
      </c>
      <c r="B179" s="25" t="s">
        <v>1060</v>
      </c>
      <c r="C179" s="25" t="s">
        <v>1061</v>
      </c>
      <c r="D179" s="25" t="s">
        <v>1062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</v>
      </c>
      <c r="K179" s="31">
        <f>1981</f>
        <v>1981</v>
      </c>
      <c r="L179" s="32" t="s">
        <v>1239</v>
      </c>
      <c r="M179" s="31">
        <f>2009</f>
        <v>2009</v>
      </c>
      <c r="N179" s="32" t="s">
        <v>1080</v>
      </c>
      <c r="O179" s="31">
        <f>1905</f>
        <v>1905</v>
      </c>
      <c r="P179" s="32" t="s">
        <v>1212</v>
      </c>
      <c r="Q179" s="31">
        <f>1944</f>
        <v>1944</v>
      </c>
      <c r="R179" s="32" t="s">
        <v>755</v>
      </c>
      <c r="S179" s="33">
        <f>1962.1</f>
        <v>1962.1</v>
      </c>
      <c r="T179" s="39">
        <f>59130</f>
        <v>59130</v>
      </c>
      <c r="U179" s="30" t="str">
        <f>"－"</f>
        <v>－</v>
      </c>
      <c r="V179" s="30">
        <f>116146216</f>
        <v>116146216</v>
      </c>
      <c r="W179" s="30" t="str">
        <f>"－"</f>
        <v>－</v>
      </c>
      <c r="X179" s="34">
        <f>20</f>
        <v>20</v>
      </c>
    </row>
    <row r="180" spans="1:24">
      <c r="A180" s="25" t="s">
        <v>1254</v>
      </c>
      <c r="B180" s="25" t="s">
        <v>1063</v>
      </c>
      <c r="C180" s="25" t="s">
        <v>1064</v>
      </c>
      <c r="D180" s="25" t="s">
        <v>1065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</v>
      </c>
      <c r="K180" s="31">
        <f>1910</f>
        <v>1910</v>
      </c>
      <c r="L180" s="32" t="s">
        <v>1239</v>
      </c>
      <c r="M180" s="31">
        <f>1910</f>
        <v>1910</v>
      </c>
      <c r="N180" s="32" t="s">
        <v>1239</v>
      </c>
      <c r="O180" s="31">
        <f>1835</f>
        <v>1835</v>
      </c>
      <c r="P180" s="32" t="s">
        <v>850</v>
      </c>
      <c r="Q180" s="31">
        <f>1854</f>
        <v>1854</v>
      </c>
      <c r="R180" s="32" t="s">
        <v>755</v>
      </c>
      <c r="S180" s="33">
        <f>1864.55</f>
        <v>1864.55</v>
      </c>
      <c r="T180" s="39">
        <f>19181</f>
        <v>19181</v>
      </c>
      <c r="U180" s="30" t="str">
        <f>"－"</f>
        <v>－</v>
      </c>
      <c r="V180" s="30">
        <f>35692864</f>
        <v>35692864</v>
      </c>
      <c r="W180" s="30" t="str">
        <f>"－"</f>
        <v>－</v>
      </c>
      <c r="X180" s="34">
        <f>20</f>
        <v>20</v>
      </c>
    </row>
    <row r="181" spans="1:24">
      <c r="A181" s="25" t="s">
        <v>1254</v>
      </c>
      <c r="B181" s="25" t="s">
        <v>1066</v>
      </c>
      <c r="C181" s="25" t="s">
        <v>1067</v>
      </c>
      <c r="D181" s="25" t="s">
        <v>1068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1045</f>
        <v>1045</v>
      </c>
      <c r="L181" s="32" t="s">
        <v>1239</v>
      </c>
      <c r="M181" s="31">
        <f>1101</f>
        <v>1101</v>
      </c>
      <c r="N181" s="32" t="s">
        <v>859</v>
      </c>
      <c r="O181" s="31">
        <f>1039</f>
        <v>1039</v>
      </c>
      <c r="P181" s="32" t="s">
        <v>1239</v>
      </c>
      <c r="Q181" s="31">
        <f>1094</f>
        <v>1094</v>
      </c>
      <c r="R181" s="32" t="s">
        <v>755</v>
      </c>
      <c r="S181" s="33">
        <f>1071.35</f>
        <v>1071.3499999999999</v>
      </c>
      <c r="T181" s="39">
        <f>1170771</f>
        <v>1170771</v>
      </c>
      <c r="U181" s="30">
        <f>479008</f>
        <v>479008</v>
      </c>
      <c r="V181" s="30">
        <f>1254229868</f>
        <v>1254229868</v>
      </c>
      <c r="W181" s="30">
        <f>510655608</f>
        <v>510655608</v>
      </c>
      <c r="X181" s="34">
        <f>20</f>
        <v>20</v>
      </c>
    </row>
    <row r="182" spans="1:24">
      <c r="A182" s="25" t="s">
        <v>1254</v>
      </c>
      <c r="B182" s="25" t="s">
        <v>1069</v>
      </c>
      <c r="C182" s="25" t="s">
        <v>1070</v>
      </c>
      <c r="D182" s="25" t="s">
        <v>1071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1040</f>
        <v>1040</v>
      </c>
      <c r="L182" s="32" t="s">
        <v>1239</v>
      </c>
      <c r="M182" s="31">
        <f>1100</f>
        <v>1100</v>
      </c>
      <c r="N182" s="32" t="s">
        <v>1211</v>
      </c>
      <c r="O182" s="31">
        <f>1035</f>
        <v>1035</v>
      </c>
      <c r="P182" s="32" t="s">
        <v>756</v>
      </c>
      <c r="Q182" s="31">
        <f>1070</f>
        <v>1070</v>
      </c>
      <c r="R182" s="32" t="s">
        <v>755</v>
      </c>
      <c r="S182" s="33">
        <f>1063.65</f>
        <v>1063.6500000000001</v>
      </c>
      <c r="T182" s="39">
        <f>200661</f>
        <v>200661</v>
      </c>
      <c r="U182" s="30" t="str">
        <f>"－"</f>
        <v>－</v>
      </c>
      <c r="V182" s="30">
        <f>212839013</f>
        <v>212839013</v>
      </c>
      <c r="W182" s="30" t="str">
        <f>"－"</f>
        <v>－</v>
      </c>
      <c r="X182" s="34">
        <f>20</f>
        <v>20</v>
      </c>
    </row>
    <row r="183" spans="1:24">
      <c r="A183" s="25" t="s">
        <v>1254</v>
      </c>
      <c r="B183" s="25" t="s">
        <v>1072</v>
      </c>
      <c r="C183" s="25" t="s">
        <v>1073</v>
      </c>
      <c r="D183" s="25" t="s">
        <v>1074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932</f>
        <v>932</v>
      </c>
      <c r="L183" s="32" t="s">
        <v>1239</v>
      </c>
      <c r="M183" s="31">
        <f>986</f>
        <v>986</v>
      </c>
      <c r="N183" s="32" t="s">
        <v>1076</v>
      </c>
      <c r="O183" s="31">
        <f>910</f>
        <v>910</v>
      </c>
      <c r="P183" s="32" t="s">
        <v>756</v>
      </c>
      <c r="Q183" s="31">
        <f>929</f>
        <v>929</v>
      </c>
      <c r="R183" s="32" t="s">
        <v>755</v>
      </c>
      <c r="S183" s="33">
        <f>942.9</f>
        <v>942.9</v>
      </c>
      <c r="T183" s="39">
        <f>113489</f>
        <v>113489</v>
      </c>
      <c r="U183" s="30" t="str">
        <f>"－"</f>
        <v>－</v>
      </c>
      <c r="V183" s="30">
        <f>106906842</f>
        <v>106906842</v>
      </c>
      <c r="W183" s="30" t="str">
        <f>"－"</f>
        <v>－</v>
      </c>
      <c r="X183" s="34">
        <f>20</f>
        <v>20</v>
      </c>
    </row>
    <row r="184" spans="1:24">
      <c r="A184" s="25" t="s">
        <v>1254</v>
      </c>
      <c r="B184" s="25" t="s">
        <v>1122</v>
      </c>
      <c r="C184" s="25" t="s">
        <v>1123</v>
      </c>
      <c r="D184" s="25" t="s">
        <v>1124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10</v>
      </c>
      <c r="K184" s="31">
        <f>186.1</f>
        <v>186.1</v>
      </c>
      <c r="L184" s="32" t="s">
        <v>1239</v>
      </c>
      <c r="M184" s="31">
        <f>197.2</f>
        <v>197.2</v>
      </c>
      <c r="N184" s="32" t="s">
        <v>1211</v>
      </c>
      <c r="O184" s="31">
        <f>181.3</f>
        <v>181.3</v>
      </c>
      <c r="P184" s="32" t="s">
        <v>1079</v>
      </c>
      <c r="Q184" s="31">
        <f>188.4</f>
        <v>188.4</v>
      </c>
      <c r="R184" s="32" t="s">
        <v>755</v>
      </c>
      <c r="S184" s="33">
        <f>189.28</f>
        <v>189.28</v>
      </c>
      <c r="T184" s="39">
        <f>4614340</f>
        <v>4614340</v>
      </c>
      <c r="U184" s="30">
        <f>55690</f>
        <v>55690</v>
      </c>
      <c r="V184" s="30">
        <f>871974484</f>
        <v>871974484</v>
      </c>
      <c r="W184" s="30">
        <f>10484974</f>
        <v>10484974</v>
      </c>
      <c r="X184" s="34">
        <f>20</f>
        <v>20</v>
      </c>
    </row>
    <row r="185" spans="1:24">
      <c r="A185" s="25" t="s">
        <v>1254</v>
      </c>
      <c r="B185" s="25" t="s">
        <v>449</v>
      </c>
      <c r="C185" s="25" t="s">
        <v>450</v>
      </c>
      <c r="D185" s="25" t="s">
        <v>451</v>
      </c>
      <c r="E185" s="26" t="s">
        <v>43</v>
      </c>
      <c r="F185" s="27" t="s">
        <v>43</v>
      </c>
      <c r="G185" s="28" t="s">
        <v>43</v>
      </c>
      <c r="H185" s="29"/>
      <c r="I185" s="29" t="s">
        <v>452</v>
      </c>
      <c r="J185" s="30">
        <v>1</v>
      </c>
      <c r="K185" s="31">
        <f>5960</f>
        <v>5960</v>
      </c>
      <c r="L185" s="32" t="s">
        <v>1239</v>
      </c>
      <c r="M185" s="31">
        <f>6994</f>
        <v>6994</v>
      </c>
      <c r="N185" s="32" t="s">
        <v>1211</v>
      </c>
      <c r="O185" s="31">
        <f>5890</f>
        <v>5890</v>
      </c>
      <c r="P185" s="32" t="s">
        <v>1239</v>
      </c>
      <c r="Q185" s="31">
        <f>6522</f>
        <v>6522</v>
      </c>
      <c r="R185" s="32" t="s">
        <v>755</v>
      </c>
      <c r="S185" s="33">
        <f>6582.4</f>
        <v>6582.4</v>
      </c>
      <c r="T185" s="39">
        <f>51992</f>
        <v>51992</v>
      </c>
      <c r="U185" s="30" t="str">
        <f>"－"</f>
        <v>－</v>
      </c>
      <c r="V185" s="30">
        <f>342653047</f>
        <v>342653047</v>
      </c>
      <c r="W185" s="30" t="str">
        <f>"－"</f>
        <v>－</v>
      </c>
      <c r="X185" s="34">
        <f>20</f>
        <v>20</v>
      </c>
    </row>
    <row r="186" spans="1:24">
      <c r="A186" s="25" t="s">
        <v>1254</v>
      </c>
      <c r="B186" s="25" t="s">
        <v>453</v>
      </c>
      <c r="C186" s="25" t="s">
        <v>454</v>
      </c>
      <c r="D186" s="25" t="s">
        <v>455</v>
      </c>
      <c r="E186" s="26" t="s">
        <v>43</v>
      </c>
      <c r="F186" s="27" t="s">
        <v>43</v>
      </c>
      <c r="G186" s="28" t="s">
        <v>43</v>
      </c>
      <c r="H186" s="29"/>
      <c r="I186" s="29" t="s">
        <v>452</v>
      </c>
      <c r="J186" s="30">
        <v>1</v>
      </c>
      <c r="K186" s="31">
        <f>6718</f>
        <v>6718</v>
      </c>
      <c r="L186" s="32" t="s">
        <v>1239</v>
      </c>
      <c r="M186" s="31">
        <f>6853</f>
        <v>6853</v>
      </c>
      <c r="N186" s="32" t="s">
        <v>1240</v>
      </c>
      <c r="O186" s="31">
        <f>6103</f>
        <v>6103</v>
      </c>
      <c r="P186" s="32" t="s">
        <v>1076</v>
      </c>
      <c r="Q186" s="31">
        <f>6299</f>
        <v>6299</v>
      </c>
      <c r="R186" s="32" t="s">
        <v>755</v>
      </c>
      <c r="S186" s="33">
        <f>6363.15</f>
        <v>6363.15</v>
      </c>
      <c r="T186" s="39">
        <f>6191</f>
        <v>6191</v>
      </c>
      <c r="U186" s="30" t="str">
        <f>"－"</f>
        <v>－</v>
      </c>
      <c r="V186" s="30">
        <f>39546176</f>
        <v>39546176</v>
      </c>
      <c r="W186" s="30" t="str">
        <f>"－"</f>
        <v>－</v>
      </c>
      <c r="X186" s="34">
        <f>20</f>
        <v>20</v>
      </c>
    </row>
    <row r="187" spans="1:24">
      <c r="A187" s="25" t="s">
        <v>1254</v>
      </c>
      <c r="B187" s="25" t="s">
        <v>456</v>
      </c>
      <c r="C187" s="25" t="s">
        <v>457</v>
      </c>
      <c r="D187" s="25" t="s">
        <v>458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9600</f>
        <v>9600</v>
      </c>
      <c r="L187" s="32" t="s">
        <v>1239</v>
      </c>
      <c r="M187" s="31">
        <f>11600</f>
        <v>11600</v>
      </c>
      <c r="N187" s="32" t="s">
        <v>859</v>
      </c>
      <c r="O187" s="31">
        <f>9600</f>
        <v>9600</v>
      </c>
      <c r="P187" s="32" t="s">
        <v>1239</v>
      </c>
      <c r="Q187" s="31">
        <f>11455</f>
        <v>11455</v>
      </c>
      <c r="R187" s="32" t="s">
        <v>755</v>
      </c>
      <c r="S187" s="33">
        <f>10602</f>
        <v>10602</v>
      </c>
      <c r="T187" s="39">
        <f>2384</f>
        <v>2384</v>
      </c>
      <c r="U187" s="30" t="str">
        <f>"－"</f>
        <v>－</v>
      </c>
      <c r="V187" s="30">
        <f>25485179</f>
        <v>25485179</v>
      </c>
      <c r="W187" s="30" t="str">
        <f>"－"</f>
        <v>－</v>
      </c>
      <c r="X187" s="34">
        <f>20</f>
        <v>20</v>
      </c>
    </row>
    <row r="188" spans="1:24">
      <c r="A188" s="25" t="s">
        <v>1254</v>
      </c>
      <c r="B188" s="25" t="s">
        <v>459</v>
      </c>
      <c r="C188" s="25" t="s">
        <v>460</v>
      </c>
      <c r="D188" s="25" t="s">
        <v>461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7250</f>
        <v>7250</v>
      </c>
      <c r="L188" s="32" t="s">
        <v>1239</v>
      </c>
      <c r="M188" s="31">
        <f>7361</f>
        <v>7361</v>
      </c>
      <c r="N188" s="32" t="s">
        <v>1212</v>
      </c>
      <c r="O188" s="31">
        <f>7089</f>
        <v>7089</v>
      </c>
      <c r="P188" s="32" t="s">
        <v>755</v>
      </c>
      <c r="Q188" s="31">
        <f>7115</f>
        <v>7115</v>
      </c>
      <c r="R188" s="32" t="s">
        <v>755</v>
      </c>
      <c r="S188" s="33">
        <f>7253.75</f>
        <v>7253.75</v>
      </c>
      <c r="T188" s="39">
        <f>1526</f>
        <v>1526</v>
      </c>
      <c r="U188" s="30" t="str">
        <f>"－"</f>
        <v>－</v>
      </c>
      <c r="V188" s="30">
        <f>11029540</f>
        <v>11029540</v>
      </c>
      <c r="W188" s="30" t="str">
        <f>"－"</f>
        <v>－</v>
      </c>
      <c r="X188" s="34">
        <f>20</f>
        <v>20</v>
      </c>
    </row>
    <row r="189" spans="1:24">
      <c r="A189" s="25" t="s">
        <v>1254</v>
      </c>
      <c r="B189" s="25" t="s">
        <v>462</v>
      </c>
      <c r="C189" s="25" t="s">
        <v>463</v>
      </c>
      <c r="D189" s="25" t="s">
        <v>464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89330</f>
        <v>89330</v>
      </c>
      <c r="L189" s="32" t="s">
        <v>1239</v>
      </c>
      <c r="M189" s="31">
        <f>97790</f>
        <v>97790</v>
      </c>
      <c r="N189" s="32" t="s">
        <v>1077</v>
      </c>
      <c r="O189" s="31">
        <f>84950</f>
        <v>84950</v>
      </c>
      <c r="P189" s="32" t="s">
        <v>851</v>
      </c>
      <c r="Q189" s="31">
        <f>91580</f>
        <v>91580</v>
      </c>
      <c r="R189" s="32" t="s">
        <v>755</v>
      </c>
      <c r="S189" s="33">
        <f>91788</f>
        <v>91788</v>
      </c>
      <c r="T189" s="39">
        <f>135702</f>
        <v>135702</v>
      </c>
      <c r="U189" s="30">
        <f>48</f>
        <v>48</v>
      </c>
      <c r="V189" s="30">
        <f>12388660470</f>
        <v>12388660470</v>
      </c>
      <c r="W189" s="30">
        <f>4486880</f>
        <v>4486880</v>
      </c>
      <c r="X189" s="34">
        <f>20</f>
        <v>20</v>
      </c>
    </row>
    <row r="190" spans="1:24">
      <c r="A190" s="25" t="s">
        <v>1254</v>
      </c>
      <c r="B190" s="25" t="s">
        <v>465</v>
      </c>
      <c r="C190" s="25" t="s">
        <v>466</v>
      </c>
      <c r="D190" s="25" t="s">
        <v>467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2127</f>
        <v>2127</v>
      </c>
      <c r="L190" s="32" t="s">
        <v>1239</v>
      </c>
      <c r="M190" s="31">
        <f>2165</f>
        <v>2165</v>
      </c>
      <c r="N190" s="32" t="s">
        <v>851</v>
      </c>
      <c r="O190" s="31">
        <f>2018</f>
        <v>2018</v>
      </c>
      <c r="P190" s="32" t="s">
        <v>1077</v>
      </c>
      <c r="Q190" s="31">
        <f>2088</f>
        <v>2088</v>
      </c>
      <c r="R190" s="32" t="s">
        <v>755</v>
      </c>
      <c r="S190" s="33">
        <f>2077.95</f>
        <v>2077.9499999999998</v>
      </c>
      <c r="T190" s="39">
        <f>115767</f>
        <v>115767</v>
      </c>
      <c r="U190" s="30" t="str">
        <f>"－"</f>
        <v>－</v>
      </c>
      <c r="V190" s="30">
        <f>241421651</f>
        <v>241421651</v>
      </c>
      <c r="W190" s="30" t="str">
        <f>"－"</f>
        <v>－</v>
      </c>
      <c r="X190" s="34">
        <f>20</f>
        <v>20</v>
      </c>
    </row>
    <row r="191" spans="1:24">
      <c r="A191" s="25" t="s">
        <v>1254</v>
      </c>
      <c r="B191" s="25" t="s">
        <v>468</v>
      </c>
      <c r="C191" s="25" t="s">
        <v>469</v>
      </c>
      <c r="D191" s="25" t="s">
        <v>470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1219</f>
        <v>1219</v>
      </c>
      <c r="L191" s="32" t="s">
        <v>1239</v>
      </c>
      <c r="M191" s="31">
        <f>1414</f>
        <v>1414</v>
      </c>
      <c r="N191" s="32" t="s">
        <v>1080</v>
      </c>
      <c r="O191" s="31">
        <f>1185</f>
        <v>1185</v>
      </c>
      <c r="P191" s="32" t="s">
        <v>1077</v>
      </c>
      <c r="Q191" s="31">
        <f>1220</f>
        <v>1220</v>
      </c>
      <c r="R191" s="32" t="s">
        <v>755</v>
      </c>
      <c r="S191" s="33">
        <f>1277.4</f>
        <v>1277.4000000000001</v>
      </c>
      <c r="T191" s="39">
        <f>9286929</f>
        <v>9286929</v>
      </c>
      <c r="U191" s="30">
        <f>19290</f>
        <v>19290</v>
      </c>
      <c r="V191" s="30">
        <f>11780650067</f>
        <v>11780650067</v>
      </c>
      <c r="W191" s="30">
        <f>23676858</f>
        <v>23676858</v>
      </c>
      <c r="X191" s="34">
        <f>20</f>
        <v>20</v>
      </c>
    </row>
    <row r="192" spans="1:24">
      <c r="A192" s="25" t="s">
        <v>1254</v>
      </c>
      <c r="B192" s="25" t="s">
        <v>471</v>
      </c>
      <c r="C192" s="25" t="s">
        <v>472</v>
      </c>
      <c r="D192" s="25" t="s">
        <v>473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1093</f>
        <v>1093</v>
      </c>
      <c r="L192" s="32" t="s">
        <v>1239</v>
      </c>
      <c r="M192" s="31">
        <f>1100</f>
        <v>1100</v>
      </c>
      <c r="N192" s="32" t="s">
        <v>1077</v>
      </c>
      <c r="O192" s="31">
        <f>1000</f>
        <v>1000</v>
      </c>
      <c r="P192" s="32" t="s">
        <v>1080</v>
      </c>
      <c r="Q192" s="31">
        <f>1061</f>
        <v>1061</v>
      </c>
      <c r="R192" s="32" t="s">
        <v>755</v>
      </c>
      <c r="S192" s="33">
        <f>1048.1</f>
        <v>1048.0999999999999</v>
      </c>
      <c r="T192" s="39">
        <f>991499</f>
        <v>991499</v>
      </c>
      <c r="U192" s="30">
        <f>8</f>
        <v>8</v>
      </c>
      <c r="V192" s="30">
        <f>1041097206</f>
        <v>1041097206</v>
      </c>
      <c r="W192" s="30">
        <f>7600</f>
        <v>7600</v>
      </c>
      <c r="X192" s="34">
        <f>20</f>
        <v>20</v>
      </c>
    </row>
    <row r="193" spans="1:24">
      <c r="A193" s="25" t="s">
        <v>1254</v>
      </c>
      <c r="B193" s="25" t="s">
        <v>474</v>
      </c>
      <c r="C193" s="25" t="s">
        <v>475</v>
      </c>
      <c r="D193" s="25" t="s">
        <v>476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26365</f>
        <v>26365</v>
      </c>
      <c r="L193" s="32" t="s">
        <v>1239</v>
      </c>
      <c r="M193" s="31">
        <f>29080</f>
        <v>29080</v>
      </c>
      <c r="N193" s="32" t="s">
        <v>1081</v>
      </c>
      <c r="O193" s="31">
        <f>26365</f>
        <v>26365</v>
      </c>
      <c r="P193" s="32" t="s">
        <v>1239</v>
      </c>
      <c r="Q193" s="31">
        <f>28225</f>
        <v>28225</v>
      </c>
      <c r="R193" s="32" t="s">
        <v>755</v>
      </c>
      <c r="S193" s="33">
        <f>27911</f>
        <v>27911</v>
      </c>
      <c r="T193" s="39">
        <f>26310</f>
        <v>26310</v>
      </c>
      <c r="U193" s="30">
        <f>8</f>
        <v>8</v>
      </c>
      <c r="V193" s="30">
        <f>731878280</f>
        <v>731878280</v>
      </c>
      <c r="W193" s="30">
        <f>225925</f>
        <v>225925</v>
      </c>
      <c r="X193" s="34">
        <f>20</f>
        <v>20</v>
      </c>
    </row>
    <row r="194" spans="1:24">
      <c r="A194" s="25" t="s">
        <v>1254</v>
      </c>
      <c r="B194" s="25" t="s">
        <v>477</v>
      </c>
      <c r="C194" s="25" t="s">
        <v>478</v>
      </c>
      <c r="D194" s="25" t="s">
        <v>479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2490</f>
        <v>2490</v>
      </c>
      <c r="L194" s="32" t="s">
        <v>1239</v>
      </c>
      <c r="M194" s="31">
        <f>2499</f>
        <v>2499</v>
      </c>
      <c r="N194" s="32" t="s">
        <v>1240</v>
      </c>
      <c r="O194" s="31">
        <f>2365</f>
        <v>2365</v>
      </c>
      <c r="P194" s="32" t="s">
        <v>1081</v>
      </c>
      <c r="Q194" s="31">
        <f>2395</f>
        <v>2395</v>
      </c>
      <c r="R194" s="32" t="s">
        <v>755</v>
      </c>
      <c r="S194" s="33">
        <f>2419.95</f>
        <v>2419.9499999999998</v>
      </c>
      <c r="T194" s="39">
        <f>181449</f>
        <v>181449</v>
      </c>
      <c r="U194" s="30" t="str">
        <f t="shared" ref="U194:U208" si="2">"－"</f>
        <v>－</v>
      </c>
      <c r="V194" s="30">
        <f>440143738</f>
        <v>440143738</v>
      </c>
      <c r="W194" s="30" t="str">
        <f t="shared" ref="W194:W208" si="3">"－"</f>
        <v>－</v>
      </c>
      <c r="X194" s="34">
        <f>20</f>
        <v>20</v>
      </c>
    </row>
    <row r="195" spans="1:24">
      <c r="A195" s="25" t="s">
        <v>1254</v>
      </c>
      <c r="B195" s="25" t="s">
        <v>480</v>
      </c>
      <c r="C195" s="25" t="s">
        <v>1029</v>
      </c>
      <c r="D195" s="25" t="s">
        <v>1030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7098</f>
        <v>7098</v>
      </c>
      <c r="L195" s="32" t="s">
        <v>1239</v>
      </c>
      <c r="M195" s="31">
        <f>7880</f>
        <v>7880</v>
      </c>
      <c r="N195" s="32" t="s">
        <v>1078</v>
      </c>
      <c r="O195" s="31">
        <f>7060</f>
        <v>7060</v>
      </c>
      <c r="P195" s="32" t="s">
        <v>1240</v>
      </c>
      <c r="Q195" s="31">
        <f>7807</f>
        <v>7807</v>
      </c>
      <c r="R195" s="32" t="s">
        <v>755</v>
      </c>
      <c r="S195" s="33">
        <f>7446.8</f>
        <v>7446.8</v>
      </c>
      <c r="T195" s="39">
        <f>39388</f>
        <v>39388</v>
      </c>
      <c r="U195" s="30" t="str">
        <f t="shared" si="2"/>
        <v>－</v>
      </c>
      <c r="V195" s="30">
        <f>295254703</f>
        <v>295254703</v>
      </c>
      <c r="W195" s="30" t="str">
        <f t="shared" si="3"/>
        <v>－</v>
      </c>
      <c r="X195" s="34">
        <f>20</f>
        <v>20</v>
      </c>
    </row>
    <row r="196" spans="1:24">
      <c r="A196" s="25" t="s">
        <v>1254</v>
      </c>
      <c r="B196" s="25" t="s">
        <v>481</v>
      </c>
      <c r="C196" s="25" t="s">
        <v>482</v>
      </c>
      <c r="D196" s="25" t="s">
        <v>483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19765</f>
        <v>19765</v>
      </c>
      <c r="L196" s="32" t="s">
        <v>1240</v>
      </c>
      <c r="M196" s="31">
        <f>21035</f>
        <v>21035</v>
      </c>
      <c r="N196" s="32" t="s">
        <v>1207</v>
      </c>
      <c r="O196" s="31">
        <f>19540</f>
        <v>19540</v>
      </c>
      <c r="P196" s="32" t="s">
        <v>1079</v>
      </c>
      <c r="Q196" s="31">
        <f>20385</f>
        <v>20385</v>
      </c>
      <c r="R196" s="32" t="s">
        <v>755</v>
      </c>
      <c r="S196" s="33">
        <f>20338.82</f>
        <v>20338.82</v>
      </c>
      <c r="T196" s="39">
        <f>291</f>
        <v>291</v>
      </c>
      <c r="U196" s="30" t="str">
        <f t="shared" si="2"/>
        <v>－</v>
      </c>
      <c r="V196" s="30">
        <f>5886570</f>
        <v>5886570</v>
      </c>
      <c r="W196" s="30" t="str">
        <f t="shared" si="3"/>
        <v>－</v>
      </c>
      <c r="X196" s="34">
        <f>17</f>
        <v>17</v>
      </c>
    </row>
    <row r="197" spans="1:24">
      <c r="A197" s="25" t="s">
        <v>1254</v>
      </c>
      <c r="B197" s="25" t="s">
        <v>484</v>
      </c>
      <c r="C197" s="25" t="s">
        <v>485</v>
      </c>
      <c r="D197" s="25" t="s">
        <v>486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26900</f>
        <v>26900</v>
      </c>
      <c r="L197" s="32" t="s">
        <v>1239</v>
      </c>
      <c r="M197" s="31">
        <f>28700</f>
        <v>28700</v>
      </c>
      <c r="N197" s="32" t="s">
        <v>1211</v>
      </c>
      <c r="O197" s="31">
        <f>26730</f>
        <v>26730</v>
      </c>
      <c r="P197" s="32" t="s">
        <v>1079</v>
      </c>
      <c r="Q197" s="31">
        <f>27675</f>
        <v>27675</v>
      </c>
      <c r="R197" s="32" t="s">
        <v>755</v>
      </c>
      <c r="S197" s="33">
        <f>27664.5</f>
        <v>27664.5</v>
      </c>
      <c r="T197" s="39">
        <f>9411</f>
        <v>9411</v>
      </c>
      <c r="U197" s="30" t="str">
        <f t="shared" si="2"/>
        <v>－</v>
      </c>
      <c r="V197" s="30">
        <f>259791675</f>
        <v>259791675</v>
      </c>
      <c r="W197" s="30" t="str">
        <f t="shared" si="3"/>
        <v>－</v>
      </c>
      <c r="X197" s="34">
        <f>20</f>
        <v>20</v>
      </c>
    </row>
    <row r="198" spans="1:24">
      <c r="A198" s="25" t="s">
        <v>1254</v>
      </c>
      <c r="B198" s="25" t="s">
        <v>487</v>
      </c>
      <c r="C198" s="25" t="s">
        <v>488</v>
      </c>
      <c r="D198" s="25" t="s">
        <v>489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16065</f>
        <v>16065</v>
      </c>
      <c r="L198" s="32" t="s">
        <v>1240</v>
      </c>
      <c r="M198" s="31">
        <f>16430</f>
        <v>16430</v>
      </c>
      <c r="N198" s="32" t="s">
        <v>1206</v>
      </c>
      <c r="O198" s="31">
        <f>15900</f>
        <v>15900</v>
      </c>
      <c r="P198" s="32" t="s">
        <v>850</v>
      </c>
      <c r="Q198" s="31">
        <f>16210</f>
        <v>16210</v>
      </c>
      <c r="R198" s="32" t="s">
        <v>859</v>
      </c>
      <c r="S198" s="33">
        <f>16114.38</f>
        <v>16114.38</v>
      </c>
      <c r="T198" s="39">
        <f>108</f>
        <v>108</v>
      </c>
      <c r="U198" s="30" t="str">
        <f t="shared" si="2"/>
        <v>－</v>
      </c>
      <c r="V198" s="30">
        <f>1736230</f>
        <v>1736230</v>
      </c>
      <c r="W198" s="30" t="str">
        <f t="shared" si="3"/>
        <v>－</v>
      </c>
      <c r="X198" s="34">
        <f>8</f>
        <v>8</v>
      </c>
    </row>
    <row r="199" spans="1:24">
      <c r="A199" s="25" t="s">
        <v>1254</v>
      </c>
      <c r="B199" s="25" t="s">
        <v>490</v>
      </c>
      <c r="C199" s="25" t="s">
        <v>491</v>
      </c>
      <c r="D199" s="25" t="s">
        <v>492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28450</f>
        <v>28450</v>
      </c>
      <c r="L199" s="32" t="s">
        <v>1239</v>
      </c>
      <c r="M199" s="31">
        <f>30900</f>
        <v>30900</v>
      </c>
      <c r="N199" s="32" t="s">
        <v>1211</v>
      </c>
      <c r="O199" s="31">
        <f>27765</f>
        <v>27765</v>
      </c>
      <c r="P199" s="32" t="s">
        <v>852</v>
      </c>
      <c r="Q199" s="31">
        <f>29440</f>
        <v>29440</v>
      </c>
      <c r="R199" s="32" t="s">
        <v>755</v>
      </c>
      <c r="S199" s="33">
        <f>29518.5</f>
        <v>29518.5</v>
      </c>
      <c r="T199" s="39">
        <f>62266</f>
        <v>62266</v>
      </c>
      <c r="U199" s="30" t="str">
        <f t="shared" si="2"/>
        <v>－</v>
      </c>
      <c r="V199" s="30">
        <f>1829199940</f>
        <v>1829199940</v>
      </c>
      <c r="W199" s="30" t="str">
        <f t="shared" si="3"/>
        <v>－</v>
      </c>
      <c r="X199" s="34">
        <f>20</f>
        <v>20</v>
      </c>
    </row>
    <row r="200" spans="1:24">
      <c r="A200" s="25" t="s">
        <v>1254</v>
      </c>
      <c r="B200" s="25" t="s">
        <v>493</v>
      </c>
      <c r="C200" s="25" t="s">
        <v>494</v>
      </c>
      <c r="D200" s="25" t="s">
        <v>495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3430</f>
        <v>3430</v>
      </c>
      <c r="L200" s="32" t="s">
        <v>1239</v>
      </c>
      <c r="M200" s="31">
        <f>3498</f>
        <v>3498</v>
      </c>
      <c r="N200" s="32" t="s">
        <v>1079</v>
      </c>
      <c r="O200" s="31">
        <f>3236</f>
        <v>3236</v>
      </c>
      <c r="P200" s="32" t="s">
        <v>1212</v>
      </c>
      <c r="Q200" s="31">
        <f>3296</f>
        <v>3296</v>
      </c>
      <c r="R200" s="32" t="s">
        <v>755</v>
      </c>
      <c r="S200" s="33">
        <f>3367.6</f>
        <v>3367.6</v>
      </c>
      <c r="T200" s="39">
        <f>11064</f>
        <v>11064</v>
      </c>
      <c r="U200" s="30" t="str">
        <f t="shared" si="2"/>
        <v>－</v>
      </c>
      <c r="V200" s="30">
        <f>37363428</f>
        <v>37363428</v>
      </c>
      <c r="W200" s="30" t="str">
        <f t="shared" si="3"/>
        <v>－</v>
      </c>
      <c r="X200" s="34">
        <f>20</f>
        <v>20</v>
      </c>
    </row>
    <row r="201" spans="1:24">
      <c r="A201" s="25" t="s">
        <v>1254</v>
      </c>
      <c r="B201" s="25" t="s">
        <v>496</v>
      </c>
      <c r="C201" s="25" t="s">
        <v>497</v>
      </c>
      <c r="D201" s="25" t="s">
        <v>498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29345</f>
        <v>29345</v>
      </c>
      <c r="L201" s="32" t="s">
        <v>1239</v>
      </c>
      <c r="M201" s="31">
        <f>31740</f>
        <v>31740</v>
      </c>
      <c r="N201" s="32" t="s">
        <v>1211</v>
      </c>
      <c r="O201" s="31">
        <f>29310</f>
        <v>29310</v>
      </c>
      <c r="P201" s="32" t="s">
        <v>1239</v>
      </c>
      <c r="Q201" s="31">
        <f>31130</f>
        <v>31130</v>
      </c>
      <c r="R201" s="32" t="s">
        <v>859</v>
      </c>
      <c r="S201" s="33">
        <f>30424.58</f>
        <v>30424.58</v>
      </c>
      <c r="T201" s="39">
        <f>11046</f>
        <v>11046</v>
      </c>
      <c r="U201" s="30" t="str">
        <f t="shared" si="2"/>
        <v>－</v>
      </c>
      <c r="V201" s="30">
        <f>337045960</f>
        <v>337045960</v>
      </c>
      <c r="W201" s="30" t="str">
        <f t="shared" si="3"/>
        <v>－</v>
      </c>
      <c r="X201" s="34">
        <f>12</f>
        <v>12</v>
      </c>
    </row>
    <row r="202" spans="1:24">
      <c r="A202" s="25" t="s">
        <v>1254</v>
      </c>
      <c r="B202" s="25" t="s">
        <v>499</v>
      </c>
      <c r="C202" s="25" t="s">
        <v>500</v>
      </c>
      <c r="D202" s="25" t="s">
        <v>501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19400</f>
        <v>19400</v>
      </c>
      <c r="L202" s="32" t="s">
        <v>1239</v>
      </c>
      <c r="M202" s="31">
        <f>20335</f>
        <v>20335</v>
      </c>
      <c r="N202" s="32" t="s">
        <v>1078</v>
      </c>
      <c r="O202" s="31">
        <f>19400</f>
        <v>19400</v>
      </c>
      <c r="P202" s="32" t="s">
        <v>1239</v>
      </c>
      <c r="Q202" s="31">
        <f>20335</f>
        <v>20335</v>
      </c>
      <c r="R202" s="32" t="s">
        <v>1078</v>
      </c>
      <c r="S202" s="33">
        <f>20024.38</f>
        <v>20024.38</v>
      </c>
      <c r="T202" s="39">
        <f>19</f>
        <v>19</v>
      </c>
      <c r="U202" s="30" t="str">
        <f t="shared" si="2"/>
        <v>－</v>
      </c>
      <c r="V202" s="30">
        <f>377380</f>
        <v>377380</v>
      </c>
      <c r="W202" s="30" t="str">
        <f t="shared" si="3"/>
        <v>－</v>
      </c>
      <c r="X202" s="34">
        <f>8</f>
        <v>8</v>
      </c>
    </row>
    <row r="203" spans="1:24">
      <c r="A203" s="25" t="s">
        <v>1254</v>
      </c>
      <c r="B203" s="25" t="s">
        <v>502</v>
      </c>
      <c r="C203" s="25" t="s">
        <v>503</v>
      </c>
      <c r="D203" s="25" t="s">
        <v>504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35440</f>
        <v>35440</v>
      </c>
      <c r="L203" s="32" t="s">
        <v>1240</v>
      </c>
      <c r="M203" s="31">
        <f>35900</f>
        <v>35900</v>
      </c>
      <c r="N203" s="32" t="s">
        <v>1211</v>
      </c>
      <c r="O203" s="31">
        <f>34460</f>
        <v>34460</v>
      </c>
      <c r="P203" s="32" t="s">
        <v>1077</v>
      </c>
      <c r="Q203" s="31">
        <f>35430</f>
        <v>35430</v>
      </c>
      <c r="R203" s="32" t="s">
        <v>1078</v>
      </c>
      <c r="S203" s="33">
        <f>35263.33</f>
        <v>35263.33</v>
      </c>
      <c r="T203" s="39">
        <f>259</f>
        <v>259</v>
      </c>
      <c r="U203" s="30" t="str">
        <f t="shared" si="2"/>
        <v>－</v>
      </c>
      <c r="V203" s="30">
        <f>9087810</f>
        <v>9087810</v>
      </c>
      <c r="W203" s="30" t="str">
        <f t="shared" si="3"/>
        <v>－</v>
      </c>
      <c r="X203" s="34">
        <f>9</f>
        <v>9</v>
      </c>
    </row>
    <row r="204" spans="1:24">
      <c r="A204" s="25" t="s">
        <v>1254</v>
      </c>
      <c r="B204" s="25" t="s">
        <v>505</v>
      </c>
      <c r="C204" s="25" t="s">
        <v>506</v>
      </c>
      <c r="D204" s="25" t="s">
        <v>507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19750</f>
        <v>19750</v>
      </c>
      <c r="L204" s="32" t="s">
        <v>739</v>
      </c>
      <c r="M204" s="31">
        <f>19750</f>
        <v>19750</v>
      </c>
      <c r="N204" s="32" t="s">
        <v>739</v>
      </c>
      <c r="O204" s="31">
        <f>19355</f>
        <v>19355</v>
      </c>
      <c r="P204" s="32" t="s">
        <v>850</v>
      </c>
      <c r="Q204" s="31">
        <f>19355</f>
        <v>19355</v>
      </c>
      <c r="R204" s="32" t="s">
        <v>850</v>
      </c>
      <c r="S204" s="33">
        <f>19552.5</f>
        <v>19552.5</v>
      </c>
      <c r="T204" s="39">
        <f>340</f>
        <v>340</v>
      </c>
      <c r="U204" s="30" t="str">
        <f t="shared" si="2"/>
        <v>－</v>
      </c>
      <c r="V204" s="30">
        <f>6643900</f>
        <v>6643900</v>
      </c>
      <c r="W204" s="30" t="str">
        <f t="shared" si="3"/>
        <v>－</v>
      </c>
      <c r="X204" s="34">
        <f>2</f>
        <v>2</v>
      </c>
    </row>
    <row r="205" spans="1:24">
      <c r="A205" s="25" t="s">
        <v>1254</v>
      </c>
      <c r="B205" s="25" t="s">
        <v>508</v>
      </c>
      <c r="C205" s="25" t="s">
        <v>509</v>
      </c>
      <c r="D205" s="25" t="s">
        <v>510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19610</f>
        <v>19610</v>
      </c>
      <c r="L205" s="32" t="s">
        <v>1079</v>
      </c>
      <c r="M205" s="31">
        <f>20395</f>
        <v>20395</v>
      </c>
      <c r="N205" s="32" t="s">
        <v>1211</v>
      </c>
      <c r="O205" s="31">
        <f>19435</f>
        <v>19435</v>
      </c>
      <c r="P205" s="32" t="s">
        <v>1077</v>
      </c>
      <c r="Q205" s="31">
        <f>20250</f>
        <v>20250</v>
      </c>
      <c r="R205" s="32" t="s">
        <v>859</v>
      </c>
      <c r="S205" s="33">
        <f>19976</f>
        <v>19976</v>
      </c>
      <c r="T205" s="39">
        <f>188</f>
        <v>188</v>
      </c>
      <c r="U205" s="30" t="str">
        <f t="shared" si="2"/>
        <v>－</v>
      </c>
      <c r="V205" s="30">
        <f>3738775</f>
        <v>3738775</v>
      </c>
      <c r="W205" s="30" t="str">
        <f t="shared" si="3"/>
        <v>－</v>
      </c>
      <c r="X205" s="34">
        <f>10</f>
        <v>10</v>
      </c>
    </row>
    <row r="206" spans="1:24">
      <c r="A206" s="25" t="s">
        <v>1254</v>
      </c>
      <c r="B206" s="25" t="s">
        <v>511</v>
      </c>
      <c r="C206" s="25" t="s">
        <v>512</v>
      </c>
      <c r="D206" s="25" t="s">
        <v>513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22230</f>
        <v>22230</v>
      </c>
      <c r="L206" s="32" t="s">
        <v>1239</v>
      </c>
      <c r="M206" s="31">
        <f>24145</f>
        <v>24145</v>
      </c>
      <c r="N206" s="32" t="s">
        <v>1078</v>
      </c>
      <c r="O206" s="31">
        <f>22230</f>
        <v>22230</v>
      </c>
      <c r="P206" s="32" t="s">
        <v>1239</v>
      </c>
      <c r="Q206" s="31">
        <f>24145</f>
        <v>24145</v>
      </c>
      <c r="R206" s="32" t="s">
        <v>1078</v>
      </c>
      <c r="S206" s="33">
        <f>23048.75</f>
        <v>23048.75</v>
      </c>
      <c r="T206" s="39">
        <f>204</f>
        <v>204</v>
      </c>
      <c r="U206" s="30" t="str">
        <f t="shared" si="2"/>
        <v>－</v>
      </c>
      <c r="V206" s="30">
        <f>4675645</f>
        <v>4675645</v>
      </c>
      <c r="W206" s="30" t="str">
        <f t="shared" si="3"/>
        <v>－</v>
      </c>
      <c r="X206" s="34">
        <f>4</f>
        <v>4</v>
      </c>
    </row>
    <row r="207" spans="1:24">
      <c r="A207" s="25" t="s">
        <v>1254</v>
      </c>
      <c r="B207" s="25" t="s">
        <v>514</v>
      </c>
      <c r="C207" s="25" t="s">
        <v>515</v>
      </c>
      <c r="D207" s="25" t="s">
        <v>516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>
        <f>18665</f>
        <v>18665</v>
      </c>
      <c r="L207" s="32" t="s">
        <v>1206</v>
      </c>
      <c r="M207" s="31">
        <f>18665</f>
        <v>18665</v>
      </c>
      <c r="N207" s="32" t="s">
        <v>1206</v>
      </c>
      <c r="O207" s="31">
        <f>18665</f>
        <v>18665</v>
      </c>
      <c r="P207" s="32" t="s">
        <v>1206</v>
      </c>
      <c r="Q207" s="31">
        <f>18665</f>
        <v>18665</v>
      </c>
      <c r="R207" s="32" t="s">
        <v>1206</v>
      </c>
      <c r="S207" s="33">
        <f>18665</f>
        <v>18665</v>
      </c>
      <c r="T207" s="39">
        <f>1</f>
        <v>1</v>
      </c>
      <c r="U207" s="30" t="str">
        <f t="shared" si="2"/>
        <v>－</v>
      </c>
      <c r="V207" s="30">
        <f>18665</f>
        <v>18665</v>
      </c>
      <c r="W207" s="30" t="str">
        <f t="shared" si="3"/>
        <v>－</v>
      </c>
      <c r="X207" s="34">
        <f>1</f>
        <v>1</v>
      </c>
    </row>
    <row r="208" spans="1:24">
      <c r="A208" s="25" t="s">
        <v>1254</v>
      </c>
      <c r="B208" s="25" t="s">
        <v>517</v>
      </c>
      <c r="C208" s="25" t="s">
        <v>518</v>
      </c>
      <c r="D208" s="25" t="s">
        <v>519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12430</f>
        <v>12430</v>
      </c>
      <c r="L208" s="32" t="s">
        <v>1240</v>
      </c>
      <c r="M208" s="31">
        <f>12615</f>
        <v>12615</v>
      </c>
      <c r="N208" s="32" t="s">
        <v>852</v>
      </c>
      <c r="O208" s="31">
        <f>12195</f>
        <v>12195</v>
      </c>
      <c r="P208" s="32" t="s">
        <v>1212</v>
      </c>
      <c r="Q208" s="31">
        <f>12340</f>
        <v>12340</v>
      </c>
      <c r="R208" s="32" t="s">
        <v>755</v>
      </c>
      <c r="S208" s="33">
        <f>12368.33</f>
        <v>12368.33</v>
      </c>
      <c r="T208" s="39">
        <f>1016</f>
        <v>1016</v>
      </c>
      <c r="U208" s="30" t="str">
        <f t="shared" si="2"/>
        <v>－</v>
      </c>
      <c r="V208" s="30">
        <f>12677285</f>
        <v>12677285</v>
      </c>
      <c r="W208" s="30" t="str">
        <f t="shared" si="3"/>
        <v>－</v>
      </c>
      <c r="X208" s="34">
        <f>6</f>
        <v>6</v>
      </c>
    </row>
    <row r="209" spans="1:24">
      <c r="A209" s="25" t="s">
        <v>1254</v>
      </c>
      <c r="B209" s="25" t="s">
        <v>520</v>
      </c>
      <c r="C209" s="25" t="s">
        <v>521</v>
      </c>
      <c r="D209" s="25" t="s">
        <v>522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14495</f>
        <v>14495</v>
      </c>
      <c r="L209" s="32" t="s">
        <v>1240</v>
      </c>
      <c r="M209" s="31">
        <f>15140</f>
        <v>15140</v>
      </c>
      <c r="N209" s="32" t="s">
        <v>859</v>
      </c>
      <c r="O209" s="31">
        <f>14495</f>
        <v>14495</v>
      </c>
      <c r="P209" s="32" t="s">
        <v>1240</v>
      </c>
      <c r="Q209" s="31">
        <f>14950</f>
        <v>14950</v>
      </c>
      <c r="R209" s="32" t="s">
        <v>755</v>
      </c>
      <c r="S209" s="33">
        <f>14952</f>
        <v>14952</v>
      </c>
      <c r="T209" s="39">
        <f>14697</f>
        <v>14697</v>
      </c>
      <c r="U209" s="30">
        <f>2500</f>
        <v>2500</v>
      </c>
      <c r="V209" s="30">
        <f>219505295</f>
        <v>219505295</v>
      </c>
      <c r="W209" s="30">
        <f>37017500</f>
        <v>37017500</v>
      </c>
      <c r="X209" s="34">
        <f>10</f>
        <v>10</v>
      </c>
    </row>
    <row r="210" spans="1:24">
      <c r="A210" s="25" t="s">
        <v>1254</v>
      </c>
      <c r="B210" s="25" t="s">
        <v>523</v>
      </c>
      <c r="C210" s="25" t="s">
        <v>524</v>
      </c>
      <c r="D210" s="25" t="s">
        <v>525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12490</f>
        <v>12490</v>
      </c>
      <c r="L210" s="32" t="s">
        <v>1077</v>
      </c>
      <c r="M210" s="31">
        <f>12885</f>
        <v>12885</v>
      </c>
      <c r="N210" s="32" t="s">
        <v>859</v>
      </c>
      <c r="O210" s="31">
        <f>12490</f>
        <v>12490</v>
      </c>
      <c r="P210" s="32" t="s">
        <v>1077</v>
      </c>
      <c r="Q210" s="31">
        <f>12885</f>
        <v>12885</v>
      </c>
      <c r="R210" s="32" t="s">
        <v>859</v>
      </c>
      <c r="S210" s="33">
        <f>12712.5</f>
        <v>12712.5</v>
      </c>
      <c r="T210" s="39">
        <f>857</f>
        <v>857</v>
      </c>
      <c r="U210" s="30" t="str">
        <f>"－"</f>
        <v>－</v>
      </c>
      <c r="V210" s="30">
        <f>10879495</f>
        <v>10879495</v>
      </c>
      <c r="W210" s="30" t="str">
        <f>"－"</f>
        <v>－</v>
      </c>
      <c r="X210" s="34">
        <f>6</f>
        <v>6</v>
      </c>
    </row>
    <row r="211" spans="1:24">
      <c r="A211" s="25" t="s">
        <v>1254</v>
      </c>
      <c r="B211" s="25" t="s">
        <v>761</v>
      </c>
      <c r="C211" s="25" t="s">
        <v>762</v>
      </c>
      <c r="D211" s="25" t="s">
        <v>763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>
        <f>14460</f>
        <v>14460</v>
      </c>
      <c r="L211" s="32" t="s">
        <v>1080</v>
      </c>
      <c r="M211" s="31">
        <f>14730</f>
        <v>14730</v>
      </c>
      <c r="N211" s="32" t="s">
        <v>1207</v>
      </c>
      <c r="O211" s="31">
        <f>14460</f>
        <v>14460</v>
      </c>
      <c r="P211" s="32" t="s">
        <v>1080</v>
      </c>
      <c r="Q211" s="31">
        <f>14595</f>
        <v>14595</v>
      </c>
      <c r="R211" s="32" t="s">
        <v>1212</v>
      </c>
      <c r="S211" s="33">
        <f>14590</f>
        <v>14590</v>
      </c>
      <c r="T211" s="39">
        <f>212</f>
        <v>212</v>
      </c>
      <c r="U211" s="30" t="str">
        <f>"－"</f>
        <v>－</v>
      </c>
      <c r="V211" s="30">
        <f>3068340</f>
        <v>3068340</v>
      </c>
      <c r="W211" s="30" t="str">
        <f>"－"</f>
        <v>－</v>
      </c>
      <c r="X211" s="34">
        <f>3</f>
        <v>3</v>
      </c>
    </row>
    <row r="212" spans="1:24">
      <c r="A212" s="25" t="s">
        <v>1254</v>
      </c>
      <c r="B212" s="25" t="s">
        <v>963</v>
      </c>
      <c r="C212" s="25" t="s">
        <v>964</v>
      </c>
      <c r="D212" s="25" t="s">
        <v>965</v>
      </c>
      <c r="E212" s="26" t="s">
        <v>43</v>
      </c>
      <c r="F212" s="27" t="s">
        <v>43</v>
      </c>
      <c r="G212" s="28" t="s">
        <v>43</v>
      </c>
      <c r="H212" s="29"/>
      <c r="I212" s="29" t="s">
        <v>44</v>
      </c>
      <c r="J212" s="30">
        <v>1</v>
      </c>
      <c r="K212" s="31">
        <f>1197</f>
        <v>1197</v>
      </c>
      <c r="L212" s="32" t="s">
        <v>1239</v>
      </c>
      <c r="M212" s="31">
        <f>1255</f>
        <v>1255</v>
      </c>
      <c r="N212" s="32" t="s">
        <v>755</v>
      </c>
      <c r="O212" s="31">
        <f>1177</f>
        <v>1177</v>
      </c>
      <c r="P212" s="32" t="s">
        <v>1240</v>
      </c>
      <c r="Q212" s="31">
        <f>1255</f>
        <v>1255</v>
      </c>
      <c r="R212" s="32" t="s">
        <v>755</v>
      </c>
      <c r="S212" s="33">
        <f>1217.65</f>
        <v>1217.6500000000001</v>
      </c>
      <c r="T212" s="39">
        <f>1022244</f>
        <v>1022244</v>
      </c>
      <c r="U212" s="30">
        <f>50016</f>
        <v>50016</v>
      </c>
      <c r="V212" s="30">
        <f>1248083842</f>
        <v>1248083842</v>
      </c>
      <c r="W212" s="30">
        <f>59145007</f>
        <v>59145007</v>
      </c>
      <c r="X212" s="34">
        <f>20</f>
        <v>20</v>
      </c>
    </row>
    <row r="213" spans="1:24">
      <c r="A213" s="25" t="s">
        <v>1254</v>
      </c>
      <c r="B213" s="25" t="s">
        <v>966</v>
      </c>
      <c r="C213" s="25" t="s">
        <v>967</v>
      </c>
      <c r="D213" s="25" t="s">
        <v>968</v>
      </c>
      <c r="E213" s="26" t="s">
        <v>43</v>
      </c>
      <c r="F213" s="27" t="s">
        <v>43</v>
      </c>
      <c r="G213" s="28" t="s">
        <v>43</v>
      </c>
      <c r="H213" s="29"/>
      <c r="I213" s="29" t="s">
        <v>44</v>
      </c>
      <c r="J213" s="30">
        <v>1</v>
      </c>
      <c r="K213" s="31">
        <f>1278</f>
        <v>1278</v>
      </c>
      <c r="L213" s="32" t="s">
        <v>1239</v>
      </c>
      <c r="M213" s="31">
        <f>1350</f>
        <v>1350</v>
      </c>
      <c r="N213" s="32" t="s">
        <v>859</v>
      </c>
      <c r="O213" s="31">
        <f>1262</f>
        <v>1262</v>
      </c>
      <c r="P213" s="32" t="s">
        <v>1240</v>
      </c>
      <c r="Q213" s="31">
        <f>1345</f>
        <v>1345</v>
      </c>
      <c r="R213" s="32" t="s">
        <v>755</v>
      </c>
      <c r="S213" s="33">
        <f>1304.95</f>
        <v>1304.95</v>
      </c>
      <c r="T213" s="39">
        <f>14074</f>
        <v>14074</v>
      </c>
      <c r="U213" s="30" t="str">
        <f>"－"</f>
        <v>－</v>
      </c>
      <c r="V213" s="30">
        <f>18302130</f>
        <v>18302130</v>
      </c>
      <c r="W213" s="30" t="str">
        <f>"－"</f>
        <v>－</v>
      </c>
      <c r="X213" s="34">
        <f>20</f>
        <v>20</v>
      </c>
    </row>
    <row r="214" spans="1:24">
      <c r="A214" s="25" t="s">
        <v>1254</v>
      </c>
      <c r="B214" s="25" t="s">
        <v>969</v>
      </c>
      <c r="C214" s="25" t="s">
        <v>970</v>
      </c>
      <c r="D214" s="25" t="s">
        <v>971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1066</f>
        <v>1066</v>
      </c>
      <c r="L214" s="32" t="s">
        <v>1239</v>
      </c>
      <c r="M214" s="31">
        <f>1124</f>
        <v>1124</v>
      </c>
      <c r="N214" s="32" t="s">
        <v>859</v>
      </c>
      <c r="O214" s="31">
        <f>1058</f>
        <v>1058</v>
      </c>
      <c r="P214" s="32" t="s">
        <v>1239</v>
      </c>
      <c r="Q214" s="31">
        <f>1107</f>
        <v>1107</v>
      </c>
      <c r="R214" s="32" t="s">
        <v>755</v>
      </c>
      <c r="S214" s="33">
        <f>1091.95</f>
        <v>1091.95</v>
      </c>
      <c r="T214" s="39">
        <f>22319</f>
        <v>22319</v>
      </c>
      <c r="U214" s="30" t="str">
        <f>"－"</f>
        <v>－</v>
      </c>
      <c r="V214" s="30">
        <f>24490638</f>
        <v>24490638</v>
      </c>
      <c r="W214" s="30" t="str">
        <f>"－"</f>
        <v>－</v>
      </c>
      <c r="X214" s="34">
        <f>20</f>
        <v>20</v>
      </c>
    </row>
    <row r="215" spans="1:24">
      <c r="A215" s="25" t="s">
        <v>1254</v>
      </c>
      <c r="B215" s="25" t="s">
        <v>972</v>
      </c>
      <c r="C215" s="25" t="s">
        <v>973</v>
      </c>
      <c r="D215" s="25" t="s">
        <v>974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2130</f>
        <v>2130</v>
      </c>
      <c r="L215" s="32" t="s">
        <v>1239</v>
      </c>
      <c r="M215" s="31">
        <f>2255</f>
        <v>2255</v>
      </c>
      <c r="N215" s="32" t="s">
        <v>859</v>
      </c>
      <c r="O215" s="31">
        <f>2111</f>
        <v>2111</v>
      </c>
      <c r="P215" s="32" t="s">
        <v>1239</v>
      </c>
      <c r="Q215" s="31">
        <f>2236</f>
        <v>2236</v>
      </c>
      <c r="R215" s="32" t="s">
        <v>755</v>
      </c>
      <c r="S215" s="33">
        <f>2186.6</f>
        <v>2186.6</v>
      </c>
      <c r="T215" s="39">
        <f>120655</f>
        <v>120655</v>
      </c>
      <c r="U215" s="30" t="str">
        <f>"－"</f>
        <v>－</v>
      </c>
      <c r="V215" s="30">
        <f>265403686</f>
        <v>265403686</v>
      </c>
      <c r="W215" s="30" t="str">
        <f>"－"</f>
        <v>－</v>
      </c>
      <c r="X215" s="34">
        <f>20</f>
        <v>20</v>
      </c>
    </row>
    <row r="216" spans="1:24">
      <c r="A216" s="25" t="s">
        <v>1254</v>
      </c>
      <c r="B216" s="25" t="s">
        <v>975</v>
      </c>
      <c r="C216" s="25" t="s">
        <v>976</v>
      </c>
      <c r="D216" s="25" t="s">
        <v>977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2190</f>
        <v>2190</v>
      </c>
      <c r="L216" s="32" t="s">
        <v>1239</v>
      </c>
      <c r="M216" s="31">
        <f>2323</f>
        <v>2323</v>
      </c>
      <c r="N216" s="32" t="s">
        <v>755</v>
      </c>
      <c r="O216" s="31">
        <f>2172</f>
        <v>2172</v>
      </c>
      <c r="P216" s="32" t="s">
        <v>1239</v>
      </c>
      <c r="Q216" s="31">
        <f>2320</f>
        <v>2320</v>
      </c>
      <c r="R216" s="32" t="s">
        <v>755</v>
      </c>
      <c r="S216" s="33">
        <f>2247.55</f>
        <v>2247.5500000000002</v>
      </c>
      <c r="T216" s="39">
        <f>253478</f>
        <v>253478</v>
      </c>
      <c r="U216" s="30">
        <f>4502</f>
        <v>4502</v>
      </c>
      <c r="V216" s="30">
        <f>570209593</f>
        <v>570209593</v>
      </c>
      <c r="W216" s="30">
        <f>10096766</f>
        <v>10096766</v>
      </c>
      <c r="X216" s="34">
        <f>20</f>
        <v>20</v>
      </c>
    </row>
    <row r="217" spans="1:24">
      <c r="A217" s="25" t="s">
        <v>1254</v>
      </c>
      <c r="B217" s="25" t="s">
        <v>978</v>
      </c>
      <c r="C217" s="25" t="s">
        <v>979</v>
      </c>
      <c r="D217" s="25" t="s">
        <v>980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10</v>
      </c>
      <c r="K217" s="31">
        <f>544.8</f>
        <v>544.79999999999995</v>
      </c>
      <c r="L217" s="32" t="s">
        <v>1239</v>
      </c>
      <c r="M217" s="31">
        <f>565</f>
        <v>565</v>
      </c>
      <c r="N217" s="32" t="s">
        <v>755</v>
      </c>
      <c r="O217" s="31">
        <f>536</f>
        <v>536</v>
      </c>
      <c r="P217" s="32" t="s">
        <v>1077</v>
      </c>
      <c r="Q217" s="31">
        <f>565</f>
        <v>565</v>
      </c>
      <c r="R217" s="32" t="s">
        <v>755</v>
      </c>
      <c r="S217" s="33">
        <f>550.24</f>
        <v>550.24</v>
      </c>
      <c r="T217" s="39">
        <f>662960</f>
        <v>662960</v>
      </c>
      <c r="U217" s="30" t="str">
        <f>"－"</f>
        <v>－</v>
      </c>
      <c r="V217" s="30">
        <f>365737812</f>
        <v>365737812</v>
      </c>
      <c r="W217" s="30" t="str">
        <f>"－"</f>
        <v>－</v>
      </c>
      <c r="X217" s="34">
        <f>20</f>
        <v>20</v>
      </c>
    </row>
    <row r="218" spans="1:24">
      <c r="A218" s="25" t="s">
        <v>1254</v>
      </c>
      <c r="B218" s="25" t="s">
        <v>981</v>
      </c>
      <c r="C218" s="25" t="s">
        <v>982</v>
      </c>
      <c r="D218" s="25" t="s">
        <v>983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10</v>
      </c>
      <c r="K218" s="31">
        <f>2340.5</f>
        <v>2340.5</v>
      </c>
      <c r="L218" s="32" t="s">
        <v>1239</v>
      </c>
      <c r="M218" s="31">
        <f>2502.5</f>
        <v>2502.5</v>
      </c>
      <c r="N218" s="32" t="s">
        <v>1207</v>
      </c>
      <c r="O218" s="31">
        <f>2330</f>
        <v>2330</v>
      </c>
      <c r="P218" s="32" t="s">
        <v>1240</v>
      </c>
      <c r="Q218" s="31">
        <f>2449.5</f>
        <v>2449.5</v>
      </c>
      <c r="R218" s="32" t="s">
        <v>755</v>
      </c>
      <c r="S218" s="33">
        <f>2425.2</f>
        <v>2425.1999999999998</v>
      </c>
      <c r="T218" s="39">
        <f>1535640</f>
        <v>1535640</v>
      </c>
      <c r="U218" s="30">
        <f>843000</f>
        <v>843000</v>
      </c>
      <c r="V218" s="30">
        <f>3711819915</f>
        <v>3711819915</v>
      </c>
      <c r="W218" s="30">
        <f>2042699500</f>
        <v>2042699500</v>
      </c>
      <c r="X218" s="34">
        <f>15</f>
        <v>15</v>
      </c>
    </row>
    <row r="219" spans="1:24">
      <c r="A219" s="25" t="s">
        <v>1254</v>
      </c>
      <c r="B219" s="25" t="s">
        <v>984</v>
      </c>
      <c r="C219" s="25" t="s">
        <v>985</v>
      </c>
      <c r="D219" s="25" t="s">
        <v>986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2432.5</f>
        <v>2432.5</v>
      </c>
      <c r="L219" s="32" t="s">
        <v>1239</v>
      </c>
      <c r="M219" s="31">
        <f>2616.5</f>
        <v>2616.5</v>
      </c>
      <c r="N219" s="32" t="s">
        <v>1078</v>
      </c>
      <c r="O219" s="31">
        <f>2425</f>
        <v>2425</v>
      </c>
      <c r="P219" s="32" t="s">
        <v>1239</v>
      </c>
      <c r="Q219" s="31">
        <f>2616.5</f>
        <v>2616.5</v>
      </c>
      <c r="R219" s="32" t="s">
        <v>1078</v>
      </c>
      <c r="S219" s="33">
        <f>2539.63</f>
        <v>2539.63</v>
      </c>
      <c r="T219" s="39">
        <f>234140</f>
        <v>234140</v>
      </c>
      <c r="U219" s="30">
        <f>205800</f>
        <v>205800</v>
      </c>
      <c r="V219" s="30">
        <f>570876390</f>
        <v>570876390</v>
      </c>
      <c r="W219" s="30">
        <f>499605780</f>
        <v>499605780</v>
      </c>
      <c r="X219" s="34">
        <f>8</f>
        <v>8</v>
      </c>
    </row>
    <row r="220" spans="1:24">
      <c r="A220" s="25" t="s">
        <v>1254</v>
      </c>
      <c r="B220" s="25" t="s">
        <v>987</v>
      </c>
      <c r="C220" s="25" t="s">
        <v>988</v>
      </c>
      <c r="D220" s="25" t="s">
        <v>989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2152.5</f>
        <v>2152.5</v>
      </c>
      <c r="L220" s="32" t="s">
        <v>1239</v>
      </c>
      <c r="M220" s="31">
        <f>2243</f>
        <v>2243</v>
      </c>
      <c r="N220" s="32" t="s">
        <v>1076</v>
      </c>
      <c r="O220" s="31">
        <f>2150.5</f>
        <v>2150.5</v>
      </c>
      <c r="P220" s="32" t="s">
        <v>1240</v>
      </c>
      <c r="Q220" s="31">
        <f>2224.5</f>
        <v>2224.5</v>
      </c>
      <c r="R220" s="32" t="s">
        <v>1078</v>
      </c>
      <c r="S220" s="33">
        <f>2188.17</f>
        <v>2188.17</v>
      </c>
      <c r="T220" s="39">
        <f>727880</f>
        <v>727880</v>
      </c>
      <c r="U220" s="30">
        <f>698000</f>
        <v>698000</v>
      </c>
      <c r="V220" s="30">
        <f>1588285606</f>
        <v>1588285606</v>
      </c>
      <c r="W220" s="30">
        <f>1523773986</f>
        <v>1523773986</v>
      </c>
      <c r="X220" s="34">
        <f>6</f>
        <v>6</v>
      </c>
    </row>
    <row r="221" spans="1:24">
      <c r="A221" s="25" t="s">
        <v>1254</v>
      </c>
      <c r="B221" s="25" t="s">
        <v>990</v>
      </c>
      <c r="C221" s="25" t="s">
        <v>991</v>
      </c>
      <c r="D221" s="25" t="s">
        <v>992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2644</f>
        <v>2644</v>
      </c>
      <c r="L221" s="32" t="s">
        <v>1239</v>
      </c>
      <c r="M221" s="31">
        <f>2881</f>
        <v>2881</v>
      </c>
      <c r="N221" s="32" t="s">
        <v>1240</v>
      </c>
      <c r="O221" s="31">
        <f>2607</f>
        <v>2607</v>
      </c>
      <c r="P221" s="32" t="s">
        <v>1240</v>
      </c>
      <c r="Q221" s="31">
        <f>2760</f>
        <v>2760</v>
      </c>
      <c r="R221" s="32" t="s">
        <v>755</v>
      </c>
      <c r="S221" s="33">
        <f>2734.21</f>
        <v>2734.21</v>
      </c>
      <c r="T221" s="39">
        <f>872010</f>
        <v>872010</v>
      </c>
      <c r="U221" s="30">
        <f>586500</f>
        <v>586500</v>
      </c>
      <c r="V221" s="30">
        <f>2318705240</f>
        <v>2318705240</v>
      </c>
      <c r="W221" s="30">
        <f>1559687205</f>
        <v>1559687205</v>
      </c>
      <c r="X221" s="34">
        <f>19</f>
        <v>19</v>
      </c>
    </row>
    <row r="222" spans="1:24">
      <c r="A222" s="25" t="s">
        <v>1254</v>
      </c>
      <c r="B222" s="25" t="s">
        <v>993</v>
      </c>
      <c r="C222" s="25" t="s">
        <v>994</v>
      </c>
      <c r="D222" s="25" t="s">
        <v>995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>
        <f>4462</f>
        <v>4462</v>
      </c>
      <c r="L222" s="32" t="s">
        <v>851</v>
      </c>
      <c r="M222" s="31">
        <f>4519</f>
        <v>4519</v>
      </c>
      <c r="N222" s="32" t="s">
        <v>755</v>
      </c>
      <c r="O222" s="31">
        <f>4459</f>
        <v>4459</v>
      </c>
      <c r="P222" s="32" t="s">
        <v>850</v>
      </c>
      <c r="Q222" s="31">
        <f>4519</f>
        <v>4519</v>
      </c>
      <c r="R222" s="32" t="s">
        <v>755</v>
      </c>
      <c r="S222" s="33">
        <f>4480</f>
        <v>4480</v>
      </c>
      <c r="T222" s="39">
        <f>125260</f>
        <v>125260</v>
      </c>
      <c r="U222" s="30" t="str">
        <f>"－"</f>
        <v>－</v>
      </c>
      <c r="V222" s="30">
        <f>558918490</f>
        <v>558918490</v>
      </c>
      <c r="W222" s="30" t="str">
        <f>"－"</f>
        <v>－</v>
      </c>
      <c r="X222" s="34">
        <f>5</f>
        <v>5</v>
      </c>
    </row>
    <row r="223" spans="1:24">
      <c r="A223" s="25" t="s">
        <v>1254</v>
      </c>
      <c r="B223" s="25" t="s">
        <v>996</v>
      </c>
      <c r="C223" s="25" t="s">
        <v>997</v>
      </c>
      <c r="D223" s="25" t="s">
        <v>998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>
        <f>4786</f>
        <v>4786</v>
      </c>
      <c r="L223" s="32" t="s">
        <v>1211</v>
      </c>
      <c r="M223" s="31">
        <f>4786</f>
        <v>4786</v>
      </c>
      <c r="N223" s="32" t="s">
        <v>1211</v>
      </c>
      <c r="O223" s="31">
        <f>4786</f>
        <v>4786</v>
      </c>
      <c r="P223" s="32" t="s">
        <v>1211</v>
      </c>
      <c r="Q223" s="31">
        <f>4786</f>
        <v>4786</v>
      </c>
      <c r="R223" s="32" t="s">
        <v>1211</v>
      </c>
      <c r="S223" s="33">
        <f>4786</f>
        <v>4786</v>
      </c>
      <c r="T223" s="39">
        <f>10</f>
        <v>10</v>
      </c>
      <c r="U223" s="30" t="str">
        <f>"－"</f>
        <v>－</v>
      </c>
      <c r="V223" s="30">
        <f>47860</f>
        <v>47860</v>
      </c>
      <c r="W223" s="30" t="str">
        <f>"－"</f>
        <v>－</v>
      </c>
      <c r="X223" s="34">
        <f>1</f>
        <v>1</v>
      </c>
    </row>
    <row r="224" spans="1:24">
      <c r="A224" s="25" t="s">
        <v>1254</v>
      </c>
      <c r="B224" s="25" t="s">
        <v>999</v>
      </c>
      <c r="C224" s="25" t="s">
        <v>1000</v>
      </c>
      <c r="D224" s="25" t="s">
        <v>1001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>
        <f>4860</f>
        <v>4860</v>
      </c>
      <c r="L224" s="32" t="s">
        <v>1211</v>
      </c>
      <c r="M224" s="31">
        <f>4860</f>
        <v>4860</v>
      </c>
      <c r="N224" s="32" t="s">
        <v>1211</v>
      </c>
      <c r="O224" s="31">
        <f>4860</f>
        <v>4860</v>
      </c>
      <c r="P224" s="32" t="s">
        <v>1211</v>
      </c>
      <c r="Q224" s="31">
        <f>4860</f>
        <v>4860</v>
      </c>
      <c r="R224" s="32" t="s">
        <v>1211</v>
      </c>
      <c r="S224" s="33">
        <f>4860</f>
        <v>4860</v>
      </c>
      <c r="T224" s="39">
        <f>10</f>
        <v>10</v>
      </c>
      <c r="U224" s="30" t="str">
        <f>"－"</f>
        <v>－</v>
      </c>
      <c r="V224" s="30">
        <f>48600</f>
        <v>48600</v>
      </c>
      <c r="W224" s="30" t="str">
        <f>"－"</f>
        <v>－</v>
      </c>
      <c r="X224" s="34">
        <f>1</f>
        <v>1</v>
      </c>
    </row>
    <row r="225" spans="1:24">
      <c r="A225" s="25" t="s">
        <v>1254</v>
      </c>
      <c r="B225" s="25" t="s">
        <v>1025</v>
      </c>
      <c r="C225" s="25" t="s">
        <v>1024</v>
      </c>
      <c r="D225" s="25" t="s">
        <v>1023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4873</f>
        <v>4873</v>
      </c>
      <c r="L225" s="32" t="s">
        <v>1239</v>
      </c>
      <c r="M225" s="31">
        <f>4954</f>
        <v>4954</v>
      </c>
      <c r="N225" s="32" t="s">
        <v>1080</v>
      </c>
      <c r="O225" s="31">
        <f>4758</f>
        <v>4758</v>
      </c>
      <c r="P225" s="32" t="s">
        <v>1075</v>
      </c>
      <c r="Q225" s="31">
        <f>4824</f>
        <v>4824</v>
      </c>
      <c r="R225" s="32" t="s">
        <v>755</v>
      </c>
      <c r="S225" s="33">
        <f>4837.35</f>
        <v>4837.3500000000004</v>
      </c>
      <c r="T225" s="39">
        <f>1250500</f>
        <v>1250500</v>
      </c>
      <c r="U225" s="30">
        <f>1239240</f>
        <v>1239240</v>
      </c>
      <c r="V225" s="30">
        <f>6000252203</f>
        <v>6000252203</v>
      </c>
      <c r="W225" s="30">
        <f>5945752463</f>
        <v>5945752463</v>
      </c>
      <c r="X225" s="34">
        <f>20</f>
        <v>20</v>
      </c>
    </row>
    <row r="226" spans="1:24">
      <c r="A226" s="25" t="s">
        <v>1254</v>
      </c>
      <c r="B226" s="25" t="s">
        <v>1022</v>
      </c>
      <c r="C226" s="25" t="s">
        <v>1021</v>
      </c>
      <c r="D226" s="25" t="s">
        <v>1020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</v>
      </c>
      <c r="K226" s="31">
        <f>929</f>
        <v>929</v>
      </c>
      <c r="L226" s="32" t="s">
        <v>1239</v>
      </c>
      <c r="M226" s="31">
        <f>931</f>
        <v>931</v>
      </c>
      <c r="N226" s="32" t="s">
        <v>1239</v>
      </c>
      <c r="O226" s="31">
        <f>905</f>
        <v>905</v>
      </c>
      <c r="P226" s="32" t="s">
        <v>1079</v>
      </c>
      <c r="Q226" s="31">
        <f>913</f>
        <v>913</v>
      </c>
      <c r="R226" s="32" t="s">
        <v>755</v>
      </c>
      <c r="S226" s="33">
        <f>916.8</f>
        <v>916.8</v>
      </c>
      <c r="T226" s="39">
        <f>94819</f>
        <v>94819</v>
      </c>
      <c r="U226" s="30" t="str">
        <f>"－"</f>
        <v>－</v>
      </c>
      <c r="V226" s="30">
        <f>86620521</f>
        <v>86620521</v>
      </c>
      <c r="W226" s="30" t="str">
        <f>"－"</f>
        <v>－</v>
      </c>
      <c r="X226" s="34">
        <f>20</f>
        <v>20</v>
      </c>
    </row>
    <row r="227" spans="1:24">
      <c r="A227" s="25" t="s">
        <v>1254</v>
      </c>
      <c r="B227" s="25" t="s">
        <v>1019</v>
      </c>
      <c r="C227" s="25" t="s">
        <v>1018</v>
      </c>
      <c r="D227" s="25" t="s">
        <v>1017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</v>
      </c>
      <c r="K227" s="31">
        <f>1059</f>
        <v>1059</v>
      </c>
      <c r="L227" s="32" t="s">
        <v>1239</v>
      </c>
      <c r="M227" s="31">
        <f>1114</f>
        <v>1114</v>
      </c>
      <c r="N227" s="32" t="s">
        <v>1076</v>
      </c>
      <c r="O227" s="31">
        <f>1059</f>
        <v>1059</v>
      </c>
      <c r="P227" s="32" t="s">
        <v>1239</v>
      </c>
      <c r="Q227" s="31">
        <f>1070</f>
        <v>1070</v>
      </c>
      <c r="R227" s="32" t="s">
        <v>755</v>
      </c>
      <c r="S227" s="33">
        <f>1075.65</f>
        <v>1075.6500000000001</v>
      </c>
      <c r="T227" s="39">
        <f>482608</f>
        <v>482608</v>
      </c>
      <c r="U227" s="30">
        <f>430500</f>
        <v>430500</v>
      </c>
      <c r="V227" s="30">
        <f>513034360</f>
        <v>513034360</v>
      </c>
      <c r="W227" s="30">
        <f>456947969</f>
        <v>456947969</v>
      </c>
      <c r="X227" s="34">
        <f>20</f>
        <v>20</v>
      </c>
    </row>
    <row r="228" spans="1:24">
      <c r="A228" s="25" t="s">
        <v>1254</v>
      </c>
      <c r="B228" s="25" t="s">
        <v>1016</v>
      </c>
      <c r="C228" s="25" t="s">
        <v>1015</v>
      </c>
      <c r="D228" s="25" t="s">
        <v>1014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1003</f>
        <v>1003</v>
      </c>
      <c r="L228" s="32" t="s">
        <v>1239</v>
      </c>
      <c r="M228" s="31">
        <f>1032</f>
        <v>1032</v>
      </c>
      <c r="N228" s="32" t="s">
        <v>1079</v>
      </c>
      <c r="O228" s="31">
        <f>999</f>
        <v>999</v>
      </c>
      <c r="P228" s="32" t="s">
        <v>850</v>
      </c>
      <c r="Q228" s="31">
        <f>1015</f>
        <v>1015</v>
      </c>
      <c r="R228" s="32" t="s">
        <v>755</v>
      </c>
      <c r="S228" s="33">
        <f>1009.9</f>
        <v>1009.9</v>
      </c>
      <c r="T228" s="39">
        <f>34044</f>
        <v>34044</v>
      </c>
      <c r="U228" s="30" t="str">
        <f>"－"</f>
        <v>－</v>
      </c>
      <c r="V228" s="30">
        <f>34358655</f>
        <v>34358655</v>
      </c>
      <c r="W228" s="30" t="str">
        <f>"－"</f>
        <v>－</v>
      </c>
      <c r="X228" s="34">
        <f>20</f>
        <v>20</v>
      </c>
    </row>
    <row r="229" spans="1:24">
      <c r="A229" s="25" t="s">
        <v>1254</v>
      </c>
      <c r="B229" s="25" t="s">
        <v>1013</v>
      </c>
      <c r="C229" s="25" t="s">
        <v>1012</v>
      </c>
      <c r="D229" s="25" t="s">
        <v>1011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930</f>
        <v>930</v>
      </c>
      <c r="L229" s="32" t="s">
        <v>1239</v>
      </c>
      <c r="M229" s="31">
        <f>960</f>
        <v>960</v>
      </c>
      <c r="N229" s="32" t="s">
        <v>1079</v>
      </c>
      <c r="O229" s="31">
        <f>907</f>
        <v>907</v>
      </c>
      <c r="P229" s="32" t="s">
        <v>850</v>
      </c>
      <c r="Q229" s="31">
        <f>925</f>
        <v>925</v>
      </c>
      <c r="R229" s="32" t="s">
        <v>755</v>
      </c>
      <c r="S229" s="33">
        <f>925.65</f>
        <v>925.65</v>
      </c>
      <c r="T229" s="39">
        <f>59132</f>
        <v>59132</v>
      </c>
      <c r="U229" s="30" t="str">
        <f>"－"</f>
        <v>－</v>
      </c>
      <c r="V229" s="30">
        <f>54927872</f>
        <v>54927872</v>
      </c>
      <c r="W229" s="30" t="str">
        <f>"－"</f>
        <v>－</v>
      </c>
      <c r="X229" s="34">
        <f>20</f>
        <v>20</v>
      </c>
    </row>
    <row r="230" spans="1:24">
      <c r="A230" s="25" t="s">
        <v>1254</v>
      </c>
      <c r="B230" s="25" t="s">
        <v>1010</v>
      </c>
      <c r="C230" s="25" t="s">
        <v>1009</v>
      </c>
      <c r="D230" s="25" t="s">
        <v>1008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952</f>
        <v>952</v>
      </c>
      <c r="L230" s="32" t="s">
        <v>1239</v>
      </c>
      <c r="M230" s="31">
        <f>993</f>
        <v>993</v>
      </c>
      <c r="N230" s="32" t="s">
        <v>859</v>
      </c>
      <c r="O230" s="31">
        <f>952</f>
        <v>952</v>
      </c>
      <c r="P230" s="32" t="s">
        <v>1239</v>
      </c>
      <c r="Q230" s="31">
        <f>986</f>
        <v>986</v>
      </c>
      <c r="R230" s="32" t="s">
        <v>755</v>
      </c>
      <c r="S230" s="33">
        <f>972.8</f>
        <v>972.8</v>
      </c>
      <c r="T230" s="39">
        <f>27821</f>
        <v>27821</v>
      </c>
      <c r="U230" s="30" t="str">
        <f>"－"</f>
        <v>－</v>
      </c>
      <c r="V230" s="30">
        <f>27025800</f>
        <v>27025800</v>
      </c>
      <c r="W230" s="30" t="str">
        <f>"－"</f>
        <v>－</v>
      </c>
      <c r="X230" s="34">
        <f>20</f>
        <v>20</v>
      </c>
    </row>
    <row r="231" spans="1:24">
      <c r="A231" s="25" t="s">
        <v>1254</v>
      </c>
      <c r="B231" s="25" t="s">
        <v>1125</v>
      </c>
      <c r="C231" s="25" t="s">
        <v>1126</v>
      </c>
      <c r="D231" s="25" t="s">
        <v>1127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1510</f>
        <v>1510</v>
      </c>
      <c r="L231" s="32" t="s">
        <v>1239</v>
      </c>
      <c r="M231" s="31">
        <f>1551</f>
        <v>1551</v>
      </c>
      <c r="N231" s="32" t="s">
        <v>1079</v>
      </c>
      <c r="O231" s="31">
        <f>1502</f>
        <v>1502</v>
      </c>
      <c r="P231" s="32" t="s">
        <v>1239</v>
      </c>
      <c r="Q231" s="31">
        <f>1531</f>
        <v>1531</v>
      </c>
      <c r="R231" s="32" t="s">
        <v>755</v>
      </c>
      <c r="S231" s="33">
        <f>1523.55</f>
        <v>1523.55</v>
      </c>
      <c r="T231" s="39">
        <f>151265</f>
        <v>151265</v>
      </c>
      <c r="U231" s="30">
        <f>7328</f>
        <v>7328</v>
      </c>
      <c r="V231" s="30">
        <f>230614854</f>
        <v>230614854</v>
      </c>
      <c r="W231" s="30">
        <f>11127034</f>
        <v>11127034</v>
      </c>
      <c r="X231" s="34">
        <f>20</f>
        <v>20</v>
      </c>
    </row>
    <row r="232" spans="1:24">
      <c r="A232" s="25" t="s">
        <v>1254</v>
      </c>
      <c r="B232" s="25" t="s">
        <v>1139</v>
      </c>
      <c r="C232" s="25" t="s">
        <v>1138</v>
      </c>
      <c r="D232" s="25" t="s">
        <v>1137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10</v>
      </c>
      <c r="K232" s="31">
        <f>125</f>
        <v>125</v>
      </c>
      <c r="L232" s="32" t="s">
        <v>1239</v>
      </c>
      <c r="M232" s="31">
        <f>142.7</f>
        <v>142.69999999999999</v>
      </c>
      <c r="N232" s="32" t="s">
        <v>1080</v>
      </c>
      <c r="O232" s="31">
        <f>124</f>
        <v>124</v>
      </c>
      <c r="P232" s="32" t="s">
        <v>1239</v>
      </c>
      <c r="Q232" s="31">
        <f>137.8</f>
        <v>137.80000000000001</v>
      </c>
      <c r="R232" s="32" t="s">
        <v>755</v>
      </c>
      <c r="S232" s="33">
        <f>135.36</f>
        <v>135.36000000000001</v>
      </c>
      <c r="T232" s="39">
        <f>3264390</f>
        <v>3264390</v>
      </c>
      <c r="U232" s="30" t="str">
        <f>"－"</f>
        <v>－</v>
      </c>
      <c r="V232" s="30">
        <f>444568045</f>
        <v>444568045</v>
      </c>
      <c r="W232" s="30" t="str">
        <f>"－"</f>
        <v>－</v>
      </c>
      <c r="X232" s="34">
        <f>20</f>
        <v>20</v>
      </c>
    </row>
    <row r="233" spans="1:24">
      <c r="A233" s="25" t="s">
        <v>1254</v>
      </c>
      <c r="B233" s="25" t="s">
        <v>1136</v>
      </c>
      <c r="C233" s="25" t="s">
        <v>1135</v>
      </c>
      <c r="D233" s="25" t="s">
        <v>1134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10</v>
      </c>
      <c r="K233" s="31">
        <f>354.5</f>
        <v>354.5</v>
      </c>
      <c r="L233" s="32" t="s">
        <v>1239</v>
      </c>
      <c r="M233" s="31">
        <f>405.4</f>
        <v>405.4</v>
      </c>
      <c r="N233" s="32" t="s">
        <v>1080</v>
      </c>
      <c r="O233" s="31">
        <f>352.1</f>
        <v>352.1</v>
      </c>
      <c r="P233" s="32" t="s">
        <v>1239</v>
      </c>
      <c r="Q233" s="31">
        <f>394.9</f>
        <v>394.9</v>
      </c>
      <c r="R233" s="32" t="s">
        <v>755</v>
      </c>
      <c r="S233" s="33">
        <f>383.39</f>
        <v>383.39</v>
      </c>
      <c r="T233" s="39">
        <f>1141150</f>
        <v>1141150</v>
      </c>
      <c r="U233" s="30" t="str">
        <f>"－"</f>
        <v>－</v>
      </c>
      <c r="V233" s="30">
        <f>430208655</f>
        <v>430208655</v>
      </c>
      <c r="W233" s="30" t="str">
        <f>"－"</f>
        <v>－</v>
      </c>
      <c r="X233" s="34">
        <f>20</f>
        <v>20</v>
      </c>
    </row>
    <row r="234" spans="1:24">
      <c r="A234" s="25" t="s">
        <v>1254</v>
      </c>
      <c r="B234" s="25" t="s">
        <v>844</v>
      </c>
      <c r="C234" s="25" t="s">
        <v>845</v>
      </c>
      <c r="D234" s="25" t="s">
        <v>846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</v>
      </c>
      <c r="K234" s="31">
        <f>2551</f>
        <v>2551</v>
      </c>
      <c r="L234" s="32" t="s">
        <v>1239</v>
      </c>
      <c r="M234" s="31">
        <f>2743</f>
        <v>2743</v>
      </c>
      <c r="N234" s="32" t="s">
        <v>1211</v>
      </c>
      <c r="O234" s="31">
        <f>2548</f>
        <v>2548</v>
      </c>
      <c r="P234" s="32" t="s">
        <v>1239</v>
      </c>
      <c r="Q234" s="31">
        <f>2655</f>
        <v>2655</v>
      </c>
      <c r="R234" s="32" t="s">
        <v>755</v>
      </c>
      <c r="S234" s="33">
        <f>2653.2</f>
        <v>2653.2</v>
      </c>
      <c r="T234" s="39">
        <f>365992</f>
        <v>365992</v>
      </c>
      <c r="U234" s="30">
        <f>196831</f>
        <v>196831</v>
      </c>
      <c r="V234" s="30">
        <f>992292580</f>
        <v>992292580</v>
      </c>
      <c r="W234" s="30">
        <f>538263370</f>
        <v>538263370</v>
      </c>
      <c r="X234" s="34">
        <f>20</f>
        <v>20</v>
      </c>
    </row>
    <row r="235" spans="1:24">
      <c r="A235" s="25" t="s">
        <v>1254</v>
      </c>
      <c r="B235" s="25" t="s">
        <v>847</v>
      </c>
      <c r="C235" s="25" t="s">
        <v>848</v>
      </c>
      <c r="D235" s="25" t="s">
        <v>849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</v>
      </c>
      <c r="K235" s="31">
        <f>1140</f>
        <v>1140</v>
      </c>
      <c r="L235" s="32" t="s">
        <v>1239</v>
      </c>
      <c r="M235" s="31">
        <f>1213</f>
        <v>1213</v>
      </c>
      <c r="N235" s="32" t="s">
        <v>1211</v>
      </c>
      <c r="O235" s="31">
        <f>1137</f>
        <v>1137</v>
      </c>
      <c r="P235" s="32" t="s">
        <v>1239</v>
      </c>
      <c r="Q235" s="31">
        <f>1169</f>
        <v>1169</v>
      </c>
      <c r="R235" s="32" t="s">
        <v>755</v>
      </c>
      <c r="S235" s="33">
        <f>1173.4</f>
        <v>1173.4000000000001</v>
      </c>
      <c r="T235" s="39">
        <f>464321</f>
        <v>464321</v>
      </c>
      <c r="U235" s="30">
        <f>8713</f>
        <v>8713</v>
      </c>
      <c r="V235" s="30">
        <f>543858158</f>
        <v>543858158</v>
      </c>
      <c r="W235" s="30">
        <f>10202686</f>
        <v>10202686</v>
      </c>
      <c r="X235" s="34">
        <f>20</f>
        <v>20</v>
      </c>
    </row>
    <row r="236" spans="1:24">
      <c r="A236" s="25" t="s">
        <v>1254</v>
      </c>
      <c r="B236" s="25" t="s">
        <v>853</v>
      </c>
      <c r="C236" s="25" t="s">
        <v>854</v>
      </c>
      <c r="D236" s="25" t="s">
        <v>855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74160</f>
        <v>74160</v>
      </c>
      <c r="L236" s="32" t="s">
        <v>1239</v>
      </c>
      <c r="M236" s="31">
        <f>84190</f>
        <v>84190</v>
      </c>
      <c r="N236" s="32" t="s">
        <v>859</v>
      </c>
      <c r="O236" s="31">
        <f>73340</f>
        <v>73340</v>
      </c>
      <c r="P236" s="32" t="s">
        <v>1240</v>
      </c>
      <c r="Q236" s="31">
        <f>81560</f>
        <v>81560</v>
      </c>
      <c r="R236" s="32" t="s">
        <v>755</v>
      </c>
      <c r="S236" s="33">
        <f>79646</f>
        <v>79646</v>
      </c>
      <c r="T236" s="39">
        <f>36310</f>
        <v>36310</v>
      </c>
      <c r="U236" s="30" t="str">
        <f>"－"</f>
        <v>－</v>
      </c>
      <c r="V236" s="30">
        <f>2874318020</f>
        <v>2874318020</v>
      </c>
      <c r="W236" s="30" t="str">
        <f>"－"</f>
        <v>－</v>
      </c>
      <c r="X236" s="34">
        <f>20</f>
        <v>20</v>
      </c>
    </row>
    <row r="237" spans="1:24">
      <c r="A237" s="25" t="s">
        <v>1254</v>
      </c>
      <c r="B237" s="25" t="s">
        <v>856</v>
      </c>
      <c r="C237" s="25" t="s">
        <v>857</v>
      </c>
      <c r="D237" s="25" t="s">
        <v>858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7019</f>
        <v>7019</v>
      </c>
      <c r="L237" s="32" t="s">
        <v>1239</v>
      </c>
      <c r="M237" s="31">
        <f>7155</f>
        <v>7155</v>
      </c>
      <c r="N237" s="32" t="s">
        <v>1077</v>
      </c>
      <c r="O237" s="31">
        <f>6559</f>
        <v>6559</v>
      </c>
      <c r="P237" s="32" t="s">
        <v>859</v>
      </c>
      <c r="Q237" s="31">
        <f>6666</f>
        <v>6666</v>
      </c>
      <c r="R237" s="32" t="s">
        <v>755</v>
      </c>
      <c r="S237" s="33">
        <f>6776.7</f>
        <v>6776.7</v>
      </c>
      <c r="T237" s="39">
        <f>132331</f>
        <v>132331</v>
      </c>
      <c r="U237" s="30">
        <f>85563</f>
        <v>85563</v>
      </c>
      <c r="V237" s="30">
        <f>882746284</f>
        <v>882746284</v>
      </c>
      <c r="W237" s="30">
        <f>566665824</f>
        <v>566665824</v>
      </c>
      <c r="X237" s="34">
        <f>20</f>
        <v>20</v>
      </c>
    </row>
    <row r="238" spans="1:24">
      <c r="A238" s="25" t="s">
        <v>1254</v>
      </c>
      <c r="B238" s="25" t="s">
        <v>860</v>
      </c>
      <c r="C238" s="25" t="s">
        <v>861</v>
      </c>
      <c r="D238" s="25" t="s">
        <v>862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</v>
      </c>
      <c r="K238" s="31">
        <f>16020</f>
        <v>16020</v>
      </c>
      <c r="L238" s="32" t="s">
        <v>1239</v>
      </c>
      <c r="M238" s="31">
        <f>18160</f>
        <v>18160</v>
      </c>
      <c r="N238" s="32" t="s">
        <v>859</v>
      </c>
      <c r="O238" s="31">
        <f>15850</f>
        <v>15850</v>
      </c>
      <c r="P238" s="32" t="s">
        <v>1240</v>
      </c>
      <c r="Q238" s="31">
        <f>17620</f>
        <v>17620</v>
      </c>
      <c r="R238" s="32" t="s">
        <v>755</v>
      </c>
      <c r="S238" s="33">
        <f>17213.5</f>
        <v>17213.5</v>
      </c>
      <c r="T238" s="39">
        <f>82914</f>
        <v>82914</v>
      </c>
      <c r="U238" s="30" t="str">
        <f>"－"</f>
        <v>－</v>
      </c>
      <c r="V238" s="30">
        <f>1415205110</f>
        <v>1415205110</v>
      </c>
      <c r="W238" s="30" t="str">
        <f>"－"</f>
        <v>－</v>
      </c>
      <c r="X238" s="34">
        <f>20</f>
        <v>20</v>
      </c>
    </row>
    <row r="239" spans="1:24">
      <c r="A239" s="25" t="s">
        <v>1254</v>
      </c>
      <c r="B239" s="25" t="s">
        <v>1133</v>
      </c>
      <c r="C239" s="25" t="s">
        <v>1132</v>
      </c>
      <c r="D239" s="25" t="s">
        <v>1131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950</f>
        <v>950</v>
      </c>
      <c r="L239" s="32" t="s">
        <v>1239</v>
      </c>
      <c r="M239" s="31">
        <f>1090</f>
        <v>1090</v>
      </c>
      <c r="N239" s="32" t="s">
        <v>851</v>
      </c>
      <c r="O239" s="31">
        <f>950</f>
        <v>950</v>
      </c>
      <c r="P239" s="32" t="s">
        <v>1239</v>
      </c>
      <c r="Q239" s="31">
        <f>1054</f>
        <v>1054</v>
      </c>
      <c r="R239" s="32" t="s">
        <v>755</v>
      </c>
      <c r="S239" s="33">
        <f>1036.35</f>
        <v>1036.3499999999999</v>
      </c>
      <c r="T239" s="39">
        <f>385088</f>
        <v>385088</v>
      </c>
      <c r="U239" s="30" t="str">
        <f>"－"</f>
        <v>－</v>
      </c>
      <c r="V239" s="30">
        <f>396584531</f>
        <v>396584531</v>
      </c>
      <c r="W239" s="30" t="str">
        <f>"－"</f>
        <v>－</v>
      </c>
      <c r="X239" s="34">
        <f>20</f>
        <v>20</v>
      </c>
    </row>
    <row r="240" spans="1:24">
      <c r="A240" s="25" t="s">
        <v>1254</v>
      </c>
      <c r="B240" s="25" t="s">
        <v>863</v>
      </c>
      <c r="C240" s="25" t="s">
        <v>864</v>
      </c>
      <c r="D240" s="25" t="s">
        <v>865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</v>
      </c>
      <c r="K240" s="31">
        <f>7073</f>
        <v>7073</v>
      </c>
      <c r="L240" s="32" t="s">
        <v>1239</v>
      </c>
      <c r="M240" s="31">
        <f>7243</f>
        <v>7243</v>
      </c>
      <c r="N240" s="32" t="s">
        <v>1240</v>
      </c>
      <c r="O240" s="31">
        <f>6666</f>
        <v>6666</v>
      </c>
      <c r="P240" s="32" t="s">
        <v>859</v>
      </c>
      <c r="Q240" s="31">
        <f>6768</f>
        <v>6768</v>
      </c>
      <c r="R240" s="32" t="s">
        <v>755</v>
      </c>
      <c r="S240" s="33">
        <f>6862.7</f>
        <v>6862.7</v>
      </c>
      <c r="T240" s="39">
        <f>320519</f>
        <v>320519</v>
      </c>
      <c r="U240" s="30">
        <f>304110</f>
        <v>304110</v>
      </c>
      <c r="V240" s="30">
        <f>2163532837</f>
        <v>2163532837</v>
      </c>
      <c r="W240" s="30">
        <f>2051351045</f>
        <v>2051351045</v>
      </c>
      <c r="X240" s="34">
        <f>20</f>
        <v>20</v>
      </c>
    </row>
    <row r="241" spans="1:24">
      <c r="A241" s="25" t="s">
        <v>1254</v>
      </c>
      <c r="B241" s="25" t="s">
        <v>866</v>
      </c>
      <c r="C241" s="25" t="s">
        <v>867</v>
      </c>
      <c r="D241" s="25" t="s">
        <v>868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10</v>
      </c>
      <c r="K241" s="31">
        <f>645.3</f>
        <v>645.29999999999995</v>
      </c>
      <c r="L241" s="32" t="s">
        <v>1239</v>
      </c>
      <c r="M241" s="31">
        <f>701.9</f>
        <v>701.9</v>
      </c>
      <c r="N241" s="32" t="s">
        <v>1211</v>
      </c>
      <c r="O241" s="31">
        <f>645.3</f>
        <v>645.29999999999995</v>
      </c>
      <c r="P241" s="32" t="s">
        <v>1239</v>
      </c>
      <c r="Q241" s="31">
        <f>676.5</f>
        <v>676.5</v>
      </c>
      <c r="R241" s="32" t="s">
        <v>755</v>
      </c>
      <c r="S241" s="33">
        <f>677.61</f>
        <v>677.61</v>
      </c>
      <c r="T241" s="39">
        <f>235150</f>
        <v>235150</v>
      </c>
      <c r="U241" s="30" t="str">
        <f>"－"</f>
        <v>－</v>
      </c>
      <c r="V241" s="30">
        <f>160338324</f>
        <v>160338324</v>
      </c>
      <c r="W241" s="30" t="str">
        <f>"－"</f>
        <v>－</v>
      </c>
      <c r="X241" s="34">
        <f>20</f>
        <v>20</v>
      </c>
    </row>
    <row r="242" spans="1:24">
      <c r="A242" s="25" t="s">
        <v>1254</v>
      </c>
      <c r="B242" s="25" t="s">
        <v>869</v>
      </c>
      <c r="C242" s="25" t="s">
        <v>870</v>
      </c>
      <c r="D242" s="25" t="s">
        <v>871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10</v>
      </c>
      <c r="K242" s="31">
        <f>550</f>
        <v>550</v>
      </c>
      <c r="L242" s="32" t="s">
        <v>1239</v>
      </c>
      <c r="M242" s="31">
        <f>583</f>
        <v>583</v>
      </c>
      <c r="N242" s="32" t="s">
        <v>850</v>
      </c>
      <c r="O242" s="31">
        <f>549.1</f>
        <v>549.1</v>
      </c>
      <c r="P242" s="32" t="s">
        <v>1240</v>
      </c>
      <c r="Q242" s="31">
        <f>563.6</f>
        <v>563.6</v>
      </c>
      <c r="R242" s="32" t="s">
        <v>755</v>
      </c>
      <c r="S242" s="33">
        <f>563.66</f>
        <v>563.66</v>
      </c>
      <c r="T242" s="39">
        <f>288660</f>
        <v>288660</v>
      </c>
      <c r="U242" s="30">
        <f>175770</f>
        <v>175770</v>
      </c>
      <c r="V242" s="30">
        <f>163311492</f>
        <v>163311492</v>
      </c>
      <c r="W242" s="30">
        <f>99992820</f>
        <v>99992820</v>
      </c>
      <c r="X242" s="34">
        <f>20</f>
        <v>20</v>
      </c>
    </row>
    <row r="243" spans="1:24">
      <c r="A243" s="25" t="s">
        <v>1254</v>
      </c>
      <c r="B243" s="25" t="s">
        <v>906</v>
      </c>
      <c r="C243" s="25" t="s">
        <v>907</v>
      </c>
      <c r="D243" s="25" t="s">
        <v>908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</v>
      </c>
      <c r="K243" s="31">
        <f>1468</f>
        <v>1468</v>
      </c>
      <c r="L243" s="32" t="s">
        <v>1239</v>
      </c>
      <c r="M243" s="31">
        <f>1747</f>
        <v>1747</v>
      </c>
      <c r="N243" s="32" t="s">
        <v>1080</v>
      </c>
      <c r="O243" s="31">
        <f>1464</f>
        <v>1464</v>
      </c>
      <c r="P243" s="32" t="s">
        <v>1239</v>
      </c>
      <c r="Q243" s="31">
        <f>1669</f>
        <v>1669</v>
      </c>
      <c r="R243" s="32" t="s">
        <v>755</v>
      </c>
      <c r="S243" s="33">
        <f>1632.3</f>
        <v>1632.3</v>
      </c>
      <c r="T243" s="39">
        <f>6007307</f>
        <v>6007307</v>
      </c>
      <c r="U243" s="30">
        <f>24</f>
        <v>24</v>
      </c>
      <c r="V243" s="30">
        <f>9595002473</f>
        <v>9595002473</v>
      </c>
      <c r="W243" s="30">
        <f>38872</f>
        <v>38872</v>
      </c>
      <c r="X243" s="34">
        <f>20</f>
        <v>20</v>
      </c>
    </row>
    <row r="244" spans="1:24">
      <c r="A244" s="25" t="s">
        <v>1254</v>
      </c>
      <c r="B244" s="25" t="s">
        <v>909</v>
      </c>
      <c r="C244" s="25" t="s">
        <v>910</v>
      </c>
      <c r="D244" s="25" t="s">
        <v>911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</v>
      </c>
      <c r="K244" s="31">
        <f>2089</f>
        <v>2089</v>
      </c>
      <c r="L244" s="32" t="s">
        <v>1239</v>
      </c>
      <c r="M244" s="31">
        <f>2424</f>
        <v>2424</v>
      </c>
      <c r="N244" s="32" t="s">
        <v>859</v>
      </c>
      <c r="O244" s="31">
        <f>2089</f>
        <v>2089</v>
      </c>
      <c r="P244" s="32" t="s">
        <v>1239</v>
      </c>
      <c r="Q244" s="31">
        <f>2334</f>
        <v>2334</v>
      </c>
      <c r="R244" s="32" t="s">
        <v>755</v>
      </c>
      <c r="S244" s="33">
        <f>2278.8</f>
        <v>2278.8000000000002</v>
      </c>
      <c r="T244" s="39">
        <f>4658509</f>
        <v>4658509</v>
      </c>
      <c r="U244" s="30">
        <f>1338</f>
        <v>1338</v>
      </c>
      <c r="V244" s="30">
        <f>10670845955</f>
        <v>10670845955</v>
      </c>
      <c r="W244" s="30">
        <f>2959739</f>
        <v>2959739</v>
      </c>
      <c r="X244" s="34">
        <f>20</f>
        <v>20</v>
      </c>
    </row>
    <row r="245" spans="1:24">
      <c r="A245" s="25" t="s">
        <v>1254</v>
      </c>
      <c r="B245" s="25" t="s">
        <v>912</v>
      </c>
      <c r="C245" s="25" t="s">
        <v>913</v>
      </c>
      <c r="D245" s="25" t="s">
        <v>914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10</v>
      </c>
      <c r="K245" s="31">
        <f>751.9</f>
        <v>751.9</v>
      </c>
      <c r="L245" s="32" t="s">
        <v>1239</v>
      </c>
      <c r="M245" s="31">
        <f>764.4</f>
        <v>764.4</v>
      </c>
      <c r="N245" s="32" t="s">
        <v>1078</v>
      </c>
      <c r="O245" s="31">
        <f>739.6</f>
        <v>739.6</v>
      </c>
      <c r="P245" s="32" t="s">
        <v>851</v>
      </c>
      <c r="Q245" s="31">
        <f>749.2</f>
        <v>749.2</v>
      </c>
      <c r="R245" s="32" t="s">
        <v>755</v>
      </c>
      <c r="S245" s="33">
        <f>747.63</f>
        <v>747.63</v>
      </c>
      <c r="T245" s="39">
        <f>10920</f>
        <v>10920</v>
      </c>
      <c r="U245" s="30" t="str">
        <f>"－"</f>
        <v>－</v>
      </c>
      <c r="V245" s="30">
        <f>8153113</f>
        <v>8153113</v>
      </c>
      <c r="W245" s="30" t="str">
        <f>"－"</f>
        <v>－</v>
      </c>
      <c r="X245" s="34">
        <f>16</f>
        <v>16</v>
      </c>
    </row>
    <row r="246" spans="1:24">
      <c r="A246" s="25" t="s">
        <v>1254</v>
      </c>
      <c r="B246" s="25" t="s">
        <v>915</v>
      </c>
      <c r="C246" s="25" t="s">
        <v>916</v>
      </c>
      <c r="D246" s="25" t="s">
        <v>917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10</v>
      </c>
      <c r="K246" s="31">
        <f>790</f>
        <v>790</v>
      </c>
      <c r="L246" s="32" t="s">
        <v>1240</v>
      </c>
      <c r="M246" s="31">
        <f>790</f>
        <v>790</v>
      </c>
      <c r="N246" s="32" t="s">
        <v>1240</v>
      </c>
      <c r="O246" s="31">
        <f>743.3</f>
        <v>743.3</v>
      </c>
      <c r="P246" s="32" t="s">
        <v>1080</v>
      </c>
      <c r="Q246" s="31">
        <f>751</f>
        <v>751</v>
      </c>
      <c r="R246" s="32" t="s">
        <v>859</v>
      </c>
      <c r="S246" s="33">
        <f>748.96</f>
        <v>748.96</v>
      </c>
      <c r="T246" s="39">
        <f>25860</f>
        <v>25860</v>
      </c>
      <c r="U246" s="30" t="str">
        <f>"－"</f>
        <v>－</v>
      </c>
      <c r="V246" s="30">
        <f>19320057</f>
        <v>19320057</v>
      </c>
      <c r="W246" s="30" t="str">
        <f>"－"</f>
        <v>－</v>
      </c>
      <c r="X246" s="34">
        <f>13</f>
        <v>13</v>
      </c>
    </row>
    <row r="247" spans="1:24">
      <c r="A247" s="25" t="s">
        <v>1254</v>
      </c>
      <c r="B247" s="25" t="s">
        <v>924</v>
      </c>
      <c r="C247" s="25" t="s">
        <v>925</v>
      </c>
      <c r="D247" s="25" t="s">
        <v>926</v>
      </c>
      <c r="E247" s="26" t="s">
        <v>43</v>
      </c>
      <c r="F247" s="27" t="s">
        <v>43</v>
      </c>
      <c r="G247" s="28" t="s">
        <v>43</v>
      </c>
      <c r="H247" s="29"/>
      <c r="I247" s="29" t="s">
        <v>44</v>
      </c>
      <c r="J247" s="30">
        <v>1</v>
      </c>
      <c r="K247" s="31">
        <f>1506</f>
        <v>1506</v>
      </c>
      <c r="L247" s="32" t="s">
        <v>1239</v>
      </c>
      <c r="M247" s="31">
        <f>1644</f>
        <v>1644</v>
      </c>
      <c r="N247" s="32" t="s">
        <v>859</v>
      </c>
      <c r="O247" s="31">
        <f>1494</f>
        <v>1494</v>
      </c>
      <c r="P247" s="32" t="s">
        <v>1239</v>
      </c>
      <c r="Q247" s="31">
        <f>1593</f>
        <v>1593</v>
      </c>
      <c r="R247" s="32" t="s">
        <v>755</v>
      </c>
      <c r="S247" s="33">
        <f>1582.95</f>
        <v>1582.95</v>
      </c>
      <c r="T247" s="39">
        <f>3342084</f>
        <v>3342084</v>
      </c>
      <c r="U247" s="30">
        <f>439</f>
        <v>439</v>
      </c>
      <c r="V247" s="30">
        <f>5326012221</f>
        <v>5326012221</v>
      </c>
      <c r="W247" s="30">
        <f>705771</f>
        <v>705771</v>
      </c>
      <c r="X247" s="34">
        <f>20</f>
        <v>20</v>
      </c>
    </row>
    <row r="248" spans="1:24">
      <c r="A248" s="25" t="s">
        <v>1254</v>
      </c>
      <c r="B248" s="25" t="s">
        <v>927</v>
      </c>
      <c r="C248" s="25" t="s">
        <v>928</v>
      </c>
      <c r="D248" s="25" t="s">
        <v>929</v>
      </c>
      <c r="E248" s="26" t="s">
        <v>43</v>
      </c>
      <c r="F248" s="27" t="s">
        <v>43</v>
      </c>
      <c r="G248" s="28" t="s">
        <v>43</v>
      </c>
      <c r="H248" s="29"/>
      <c r="I248" s="29" t="s">
        <v>44</v>
      </c>
      <c r="J248" s="30">
        <v>1</v>
      </c>
      <c r="K248" s="31">
        <f>2110</f>
        <v>2110</v>
      </c>
      <c r="L248" s="32" t="s">
        <v>1239</v>
      </c>
      <c r="M248" s="31">
        <f>2251</f>
        <v>2251</v>
      </c>
      <c r="N248" s="32" t="s">
        <v>859</v>
      </c>
      <c r="O248" s="31">
        <f>2098</f>
        <v>2098</v>
      </c>
      <c r="P248" s="32" t="s">
        <v>1240</v>
      </c>
      <c r="Q248" s="31">
        <f>2217</f>
        <v>2217</v>
      </c>
      <c r="R248" s="32" t="s">
        <v>755</v>
      </c>
      <c r="S248" s="33">
        <f>2189.6</f>
        <v>2189.6</v>
      </c>
      <c r="T248" s="39">
        <f>638318</f>
        <v>638318</v>
      </c>
      <c r="U248" s="30">
        <f>291201</f>
        <v>291201</v>
      </c>
      <c r="V248" s="30">
        <f>1363099070</f>
        <v>1363099070</v>
      </c>
      <c r="W248" s="30">
        <f>614113813</f>
        <v>614113813</v>
      </c>
      <c r="X248" s="34">
        <f>20</f>
        <v>20</v>
      </c>
    </row>
    <row r="249" spans="1:24">
      <c r="A249" s="25" t="s">
        <v>1254</v>
      </c>
      <c r="B249" s="25" t="s">
        <v>930</v>
      </c>
      <c r="C249" s="25" t="s">
        <v>931</v>
      </c>
      <c r="D249" s="25" t="s">
        <v>932</v>
      </c>
      <c r="E249" s="26" t="s">
        <v>43</v>
      </c>
      <c r="F249" s="27" t="s">
        <v>43</v>
      </c>
      <c r="G249" s="28" t="s">
        <v>43</v>
      </c>
      <c r="H249" s="29"/>
      <c r="I249" s="29" t="s">
        <v>44</v>
      </c>
      <c r="J249" s="30">
        <v>1</v>
      </c>
      <c r="K249" s="31">
        <f>17500</f>
        <v>17500</v>
      </c>
      <c r="L249" s="32" t="s">
        <v>1239</v>
      </c>
      <c r="M249" s="31">
        <f>17515</f>
        <v>17515</v>
      </c>
      <c r="N249" s="32" t="s">
        <v>1240</v>
      </c>
      <c r="O249" s="31">
        <f>15110</f>
        <v>15110</v>
      </c>
      <c r="P249" s="32" t="s">
        <v>859</v>
      </c>
      <c r="Q249" s="31">
        <f>15590</f>
        <v>15590</v>
      </c>
      <c r="R249" s="32" t="s">
        <v>755</v>
      </c>
      <c r="S249" s="33">
        <f>16082.75</f>
        <v>16082.75</v>
      </c>
      <c r="T249" s="39">
        <f>111506</f>
        <v>111506</v>
      </c>
      <c r="U249" s="30" t="str">
        <f>"－"</f>
        <v>－</v>
      </c>
      <c r="V249" s="30">
        <f>1803164675</f>
        <v>1803164675</v>
      </c>
      <c r="W249" s="30" t="str">
        <f>"－"</f>
        <v>－</v>
      </c>
      <c r="X249" s="34">
        <f>20</f>
        <v>20</v>
      </c>
    </row>
    <row r="250" spans="1:24">
      <c r="A250" s="25" t="s">
        <v>1254</v>
      </c>
      <c r="B250" s="25" t="s">
        <v>1130</v>
      </c>
      <c r="C250" s="25" t="s">
        <v>1129</v>
      </c>
      <c r="D250" s="25" t="s">
        <v>1128</v>
      </c>
      <c r="E250" s="26" t="s">
        <v>43</v>
      </c>
      <c r="F250" s="27" t="s">
        <v>43</v>
      </c>
      <c r="G250" s="28" t="s">
        <v>43</v>
      </c>
      <c r="H250" s="29"/>
      <c r="I250" s="29" t="s">
        <v>44</v>
      </c>
      <c r="J250" s="30">
        <v>1</v>
      </c>
      <c r="K250" s="31">
        <f>821</f>
        <v>821</v>
      </c>
      <c r="L250" s="32" t="s">
        <v>1239</v>
      </c>
      <c r="M250" s="31">
        <f>1113</f>
        <v>1113</v>
      </c>
      <c r="N250" s="32" t="s">
        <v>859</v>
      </c>
      <c r="O250" s="31">
        <f>816</f>
        <v>816</v>
      </c>
      <c r="P250" s="32" t="s">
        <v>1239</v>
      </c>
      <c r="Q250" s="31">
        <f>1046</f>
        <v>1046</v>
      </c>
      <c r="R250" s="32" t="s">
        <v>755</v>
      </c>
      <c r="S250" s="33">
        <f>947.6</f>
        <v>947.6</v>
      </c>
      <c r="T250" s="39">
        <f>635016</f>
        <v>635016</v>
      </c>
      <c r="U250" s="30" t="str">
        <f>"－"</f>
        <v>－</v>
      </c>
      <c r="V250" s="30">
        <f>602124225</f>
        <v>602124225</v>
      </c>
      <c r="W250" s="30" t="str">
        <f>"－"</f>
        <v>－</v>
      </c>
      <c r="X250" s="34">
        <f>20</f>
        <v>20</v>
      </c>
    </row>
    <row r="251" spans="1:24">
      <c r="A251" s="25" t="s">
        <v>1254</v>
      </c>
      <c r="B251" s="25" t="s">
        <v>933</v>
      </c>
      <c r="C251" s="25" t="s">
        <v>934</v>
      </c>
      <c r="D251" s="25" t="s">
        <v>935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10</v>
      </c>
      <c r="K251" s="31">
        <f>239.9</f>
        <v>239.9</v>
      </c>
      <c r="L251" s="32" t="s">
        <v>1239</v>
      </c>
      <c r="M251" s="31">
        <f>250.9</f>
        <v>250.9</v>
      </c>
      <c r="N251" s="32" t="s">
        <v>755</v>
      </c>
      <c r="O251" s="31">
        <f>236.1</f>
        <v>236.1</v>
      </c>
      <c r="P251" s="32" t="s">
        <v>1239</v>
      </c>
      <c r="Q251" s="31">
        <f>250.9</f>
        <v>250.9</v>
      </c>
      <c r="R251" s="32" t="s">
        <v>755</v>
      </c>
      <c r="S251" s="33">
        <f>243.81</f>
        <v>243.81</v>
      </c>
      <c r="T251" s="39">
        <f>9100</f>
        <v>9100</v>
      </c>
      <c r="U251" s="30" t="str">
        <f>"－"</f>
        <v>－</v>
      </c>
      <c r="V251" s="30">
        <f>2218615</f>
        <v>2218615</v>
      </c>
      <c r="W251" s="30" t="str">
        <f>"－"</f>
        <v>－</v>
      </c>
      <c r="X251" s="34">
        <f>18</f>
        <v>18</v>
      </c>
    </row>
    <row r="252" spans="1:24">
      <c r="A252" s="25" t="s">
        <v>1254</v>
      </c>
      <c r="B252" s="25" t="s">
        <v>936</v>
      </c>
      <c r="C252" s="25" t="s">
        <v>937</v>
      </c>
      <c r="D252" s="25" t="s">
        <v>938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10</v>
      </c>
      <c r="K252" s="31">
        <f>774</f>
        <v>774</v>
      </c>
      <c r="L252" s="32" t="s">
        <v>1239</v>
      </c>
      <c r="M252" s="31">
        <f>799.9</f>
        <v>799.9</v>
      </c>
      <c r="N252" s="32" t="s">
        <v>850</v>
      </c>
      <c r="O252" s="31">
        <f>768</f>
        <v>768</v>
      </c>
      <c r="P252" s="32" t="s">
        <v>1239</v>
      </c>
      <c r="Q252" s="31">
        <f>795</f>
        <v>795</v>
      </c>
      <c r="R252" s="32" t="s">
        <v>755</v>
      </c>
      <c r="S252" s="33">
        <f>787.75</f>
        <v>787.75</v>
      </c>
      <c r="T252" s="39">
        <f>30877720</f>
        <v>30877720</v>
      </c>
      <c r="U252" s="30">
        <f>29594000</f>
        <v>29594000</v>
      </c>
      <c r="V252" s="30">
        <f>24257523338</f>
        <v>24257523338</v>
      </c>
      <c r="W252" s="30">
        <f>23248778640</f>
        <v>23248778640</v>
      </c>
      <c r="X252" s="34">
        <f>20</f>
        <v>20</v>
      </c>
    </row>
    <row r="253" spans="1:24">
      <c r="A253" s="25" t="s">
        <v>1254</v>
      </c>
      <c r="B253" s="25" t="s">
        <v>954</v>
      </c>
      <c r="C253" s="25" t="s">
        <v>955</v>
      </c>
      <c r="D253" s="25" t="s">
        <v>956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</v>
      </c>
      <c r="K253" s="31">
        <f>1036</f>
        <v>1036</v>
      </c>
      <c r="L253" s="32" t="s">
        <v>1239</v>
      </c>
      <c r="M253" s="31">
        <f>1167</f>
        <v>1167</v>
      </c>
      <c r="N253" s="32" t="s">
        <v>1080</v>
      </c>
      <c r="O253" s="31">
        <f>1034</f>
        <v>1034</v>
      </c>
      <c r="P253" s="32" t="s">
        <v>1239</v>
      </c>
      <c r="Q253" s="31">
        <f>1097</f>
        <v>1097</v>
      </c>
      <c r="R253" s="32" t="s">
        <v>755</v>
      </c>
      <c r="S253" s="33">
        <f>1101.2</f>
        <v>1101.2</v>
      </c>
      <c r="T253" s="39">
        <f>106124</f>
        <v>106124</v>
      </c>
      <c r="U253" s="30" t="str">
        <f>"－"</f>
        <v>－</v>
      </c>
      <c r="V253" s="30">
        <f>117526322</f>
        <v>117526322</v>
      </c>
      <c r="W253" s="30" t="str">
        <f>"－"</f>
        <v>－</v>
      </c>
      <c r="X253" s="34">
        <f>20</f>
        <v>20</v>
      </c>
    </row>
    <row r="254" spans="1:24">
      <c r="A254" s="25" t="s">
        <v>1254</v>
      </c>
      <c r="B254" s="25" t="s">
        <v>957</v>
      </c>
      <c r="C254" s="25" t="s">
        <v>958</v>
      </c>
      <c r="D254" s="25" t="s">
        <v>959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</v>
      </c>
      <c r="K254" s="31">
        <f>1103</f>
        <v>1103</v>
      </c>
      <c r="L254" s="32" t="s">
        <v>1239</v>
      </c>
      <c r="M254" s="31">
        <f>1134</f>
        <v>1134</v>
      </c>
      <c r="N254" s="32" t="s">
        <v>1080</v>
      </c>
      <c r="O254" s="31">
        <f>1061</f>
        <v>1061</v>
      </c>
      <c r="P254" s="32" t="s">
        <v>1075</v>
      </c>
      <c r="Q254" s="31">
        <f>1090</f>
        <v>1090</v>
      </c>
      <c r="R254" s="32" t="s">
        <v>755</v>
      </c>
      <c r="S254" s="33">
        <f>1097.35</f>
        <v>1097.3499999999999</v>
      </c>
      <c r="T254" s="39">
        <f>260012</f>
        <v>260012</v>
      </c>
      <c r="U254" s="30">
        <f>14</f>
        <v>14</v>
      </c>
      <c r="V254" s="30">
        <f>283860768</f>
        <v>283860768</v>
      </c>
      <c r="W254" s="30">
        <f>15762</f>
        <v>15762</v>
      </c>
      <c r="X254" s="34">
        <f>20</f>
        <v>20</v>
      </c>
    </row>
    <row r="255" spans="1:24">
      <c r="A255" s="25" t="s">
        <v>1254</v>
      </c>
      <c r="B255" s="25" t="s">
        <v>960</v>
      </c>
      <c r="C255" s="25" t="s">
        <v>961</v>
      </c>
      <c r="D255" s="25" t="s">
        <v>962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855</f>
        <v>855</v>
      </c>
      <c r="L255" s="32" t="s">
        <v>1239</v>
      </c>
      <c r="M255" s="31">
        <f>950</f>
        <v>950</v>
      </c>
      <c r="N255" s="32" t="s">
        <v>850</v>
      </c>
      <c r="O255" s="31">
        <f>844</f>
        <v>844</v>
      </c>
      <c r="P255" s="32" t="s">
        <v>1239</v>
      </c>
      <c r="Q255" s="31">
        <f>880</f>
        <v>880</v>
      </c>
      <c r="R255" s="32" t="s">
        <v>755</v>
      </c>
      <c r="S255" s="33">
        <f>905.35</f>
        <v>905.35</v>
      </c>
      <c r="T255" s="39">
        <f>2418111</f>
        <v>2418111</v>
      </c>
      <c r="U255" s="30" t="str">
        <f>"－"</f>
        <v>－</v>
      </c>
      <c r="V255" s="30">
        <f>2187745804</f>
        <v>2187745804</v>
      </c>
      <c r="W255" s="30" t="str">
        <f>"－"</f>
        <v>－</v>
      </c>
      <c r="X255" s="34">
        <f>20</f>
        <v>20</v>
      </c>
    </row>
    <row r="256" spans="1:24">
      <c r="A256" s="25" t="s">
        <v>1254</v>
      </c>
      <c r="B256" s="25" t="s">
        <v>1031</v>
      </c>
      <c r="C256" s="25" t="s">
        <v>1032</v>
      </c>
      <c r="D256" s="25" t="s">
        <v>1033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10</v>
      </c>
      <c r="K256" s="31">
        <f>193.3</f>
        <v>193.3</v>
      </c>
      <c r="L256" s="32" t="s">
        <v>1239</v>
      </c>
      <c r="M256" s="31">
        <f>197.4</f>
        <v>197.4</v>
      </c>
      <c r="N256" s="32" t="s">
        <v>1240</v>
      </c>
      <c r="O256" s="31">
        <f>181.8</f>
        <v>181.8</v>
      </c>
      <c r="P256" s="32" t="s">
        <v>1212</v>
      </c>
      <c r="Q256" s="31">
        <f>188.8</f>
        <v>188.8</v>
      </c>
      <c r="R256" s="32" t="s">
        <v>755</v>
      </c>
      <c r="S256" s="33">
        <f>189.85</f>
        <v>189.85</v>
      </c>
      <c r="T256" s="39">
        <f>6220720</f>
        <v>6220720</v>
      </c>
      <c r="U256" s="30">
        <f>1554190</f>
        <v>1554190</v>
      </c>
      <c r="V256" s="30">
        <f>1182175597</f>
        <v>1182175597</v>
      </c>
      <c r="W256" s="30">
        <f>301863726</f>
        <v>301863726</v>
      </c>
      <c r="X256" s="34">
        <f>20</f>
        <v>20</v>
      </c>
    </row>
    <row r="257" spans="1:24">
      <c r="A257" s="25" t="s">
        <v>1254</v>
      </c>
      <c r="B257" s="25" t="s">
        <v>1034</v>
      </c>
      <c r="C257" s="25" t="s">
        <v>1035</v>
      </c>
      <c r="D257" s="25" t="s">
        <v>1036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10</v>
      </c>
      <c r="K257" s="31">
        <f>200.6</f>
        <v>200.6</v>
      </c>
      <c r="L257" s="32" t="s">
        <v>1239</v>
      </c>
      <c r="M257" s="31">
        <f>205</f>
        <v>205</v>
      </c>
      <c r="N257" s="32" t="s">
        <v>1211</v>
      </c>
      <c r="O257" s="31">
        <f>196.1</f>
        <v>196.1</v>
      </c>
      <c r="P257" s="32" t="s">
        <v>1212</v>
      </c>
      <c r="Q257" s="31">
        <f>199.9</f>
        <v>199.9</v>
      </c>
      <c r="R257" s="32" t="s">
        <v>755</v>
      </c>
      <c r="S257" s="33">
        <f>200.84</f>
        <v>200.84</v>
      </c>
      <c r="T257" s="39">
        <f>922160</f>
        <v>922160</v>
      </c>
      <c r="U257" s="30" t="str">
        <f>"－"</f>
        <v>－</v>
      </c>
      <c r="V257" s="30">
        <f>182892480</f>
        <v>182892480</v>
      </c>
      <c r="W257" s="30" t="str">
        <f>"－"</f>
        <v>－</v>
      </c>
      <c r="X257" s="34">
        <f>20</f>
        <v>20</v>
      </c>
    </row>
    <row r="258" spans="1:24">
      <c r="A258" s="25" t="s">
        <v>1254</v>
      </c>
      <c r="B258" s="25" t="s">
        <v>1037</v>
      </c>
      <c r="C258" s="25" t="s">
        <v>1038</v>
      </c>
      <c r="D258" s="25" t="s">
        <v>1039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200.8</f>
        <v>200.8</v>
      </c>
      <c r="L258" s="32" t="s">
        <v>1239</v>
      </c>
      <c r="M258" s="31">
        <f>217.3</f>
        <v>217.3</v>
      </c>
      <c r="N258" s="32" t="s">
        <v>1078</v>
      </c>
      <c r="O258" s="31">
        <f>197.2</f>
        <v>197.2</v>
      </c>
      <c r="P258" s="32" t="s">
        <v>1212</v>
      </c>
      <c r="Q258" s="31">
        <f>201.6</f>
        <v>201.6</v>
      </c>
      <c r="R258" s="32" t="s">
        <v>755</v>
      </c>
      <c r="S258" s="33">
        <f>202.16</f>
        <v>202.16</v>
      </c>
      <c r="T258" s="39">
        <f>495970</f>
        <v>495970</v>
      </c>
      <c r="U258" s="30">
        <f>440</f>
        <v>440</v>
      </c>
      <c r="V258" s="30">
        <f>98959934</f>
        <v>98959934</v>
      </c>
      <c r="W258" s="30">
        <f>84608</f>
        <v>84608</v>
      </c>
      <c r="X258" s="34">
        <f>20</f>
        <v>20</v>
      </c>
    </row>
    <row r="259" spans="1:24">
      <c r="A259" s="25" t="s">
        <v>1254</v>
      </c>
      <c r="B259" s="25" t="s">
        <v>1040</v>
      </c>
      <c r="C259" s="25" t="s">
        <v>1041</v>
      </c>
      <c r="D259" s="25" t="s">
        <v>1042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201.1</f>
        <v>201.1</v>
      </c>
      <c r="L259" s="32" t="s">
        <v>1239</v>
      </c>
      <c r="M259" s="31">
        <f>210.6</f>
        <v>210.6</v>
      </c>
      <c r="N259" s="32" t="s">
        <v>1211</v>
      </c>
      <c r="O259" s="31">
        <f>200.7</f>
        <v>200.7</v>
      </c>
      <c r="P259" s="32" t="s">
        <v>1079</v>
      </c>
      <c r="Q259" s="31">
        <f>205.2</f>
        <v>205.2</v>
      </c>
      <c r="R259" s="32" t="s">
        <v>755</v>
      </c>
      <c r="S259" s="33">
        <f>204.75</f>
        <v>204.75</v>
      </c>
      <c r="T259" s="39">
        <f>1521610</f>
        <v>1521610</v>
      </c>
      <c r="U259" s="30" t="str">
        <f>"－"</f>
        <v>－</v>
      </c>
      <c r="V259" s="30">
        <f>309431274</f>
        <v>309431274</v>
      </c>
      <c r="W259" s="30" t="str">
        <f>"－"</f>
        <v>－</v>
      </c>
      <c r="X259" s="34">
        <f>20</f>
        <v>20</v>
      </c>
    </row>
    <row r="260" spans="1:24">
      <c r="A260" s="25" t="s">
        <v>1254</v>
      </c>
      <c r="B260" s="25" t="s">
        <v>1043</v>
      </c>
      <c r="C260" s="25" t="s">
        <v>1044</v>
      </c>
      <c r="D260" s="25" t="s">
        <v>1045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196.1</f>
        <v>196.1</v>
      </c>
      <c r="L260" s="32" t="s">
        <v>1239</v>
      </c>
      <c r="M260" s="31">
        <f>196.1</f>
        <v>196.1</v>
      </c>
      <c r="N260" s="32" t="s">
        <v>1239</v>
      </c>
      <c r="O260" s="31">
        <f>191.5</f>
        <v>191.5</v>
      </c>
      <c r="P260" s="32" t="s">
        <v>851</v>
      </c>
      <c r="Q260" s="31">
        <f>194.2</f>
        <v>194.2</v>
      </c>
      <c r="R260" s="32" t="s">
        <v>755</v>
      </c>
      <c r="S260" s="33">
        <f>193.39</f>
        <v>193.39</v>
      </c>
      <c r="T260" s="39">
        <f>2356870</f>
        <v>2356870</v>
      </c>
      <c r="U260" s="30">
        <f>66970</f>
        <v>66970</v>
      </c>
      <c r="V260" s="30">
        <f>453843982</f>
        <v>453843982</v>
      </c>
      <c r="W260" s="30">
        <f>12945303</f>
        <v>12945303</v>
      </c>
      <c r="X260" s="34">
        <f>20</f>
        <v>20</v>
      </c>
    </row>
    <row r="261" spans="1:24">
      <c r="A261" s="25" t="s">
        <v>1254</v>
      </c>
      <c r="B261" s="25" t="s">
        <v>1140</v>
      </c>
      <c r="C261" s="25" t="s">
        <v>1141</v>
      </c>
      <c r="D261" s="25" t="s">
        <v>1142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</v>
      </c>
      <c r="K261" s="31">
        <f>1920</f>
        <v>1920</v>
      </c>
      <c r="L261" s="32" t="s">
        <v>1239</v>
      </c>
      <c r="M261" s="31">
        <f>2042</f>
        <v>2042</v>
      </c>
      <c r="N261" s="32" t="s">
        <v>1211</v>
      </c>
      <c r="O261" s="31">
        <f>1889</f>
        <v>1889</v>
      </c>
      <c r="P261" s="32" t="s">
        <v>1079</v>
      </c>
      <c r="Q261" s="31">
        <f>1958</f>
        <v>1958</v>
      </c>
      <c r="R261" s="32" t="s">
        <v>755</v>
      </c>
      <c r="S261" s="33">
        <f>1960.4</f>
        <v>1960.4</v>
      </c>
      <c r="T261" s="39">
        <f>1050204</f>
        <v>1050204</v>
      </c>
      <c r="U261" s="30">
        <f>109</f>
        <v>109</v>
      </c>
      <c r="V261" s="30">
        <f>2056402116</f>
        <v>2056402116</v>
      </c>
      <c r="W261" s="30">
        <f>214578</f>
        <v>214578</v>
      </c>
      <c r="X261" s="34">
        <f>20</f>
        <v>20</v>
      </c>
    </row>
    <row r="262" spans="1:24">
      <c r="A262" s="25" t="s">
        <v>1254</v>
      </c>
      <c r="B262" s="25" t="s">
        <v>1143</v>
      </c>
      <c r="C262" s="25" t="s">
        <v>1144</v>
      </c>
      <c r="D262" s="25" t="s">
        <v>1145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</v>
      </c>
      <c r="K262" s="31">
        <f>994</f>
        <v>994</v>
      </c>
      <c r="L262" s="32" t="s">
        <v>1239</v>
      </c>
      <c r="M262" s="31">
        <f>1031</f>
        <v>1031</v>
      </c>
      <c r="N262" s="32" t="s">
        <v>859</v>
      </c>
      <c r="O262" s="31">
        <f>978</f>
        <v>978</v>
      </c>
      <c r="P262" s="32" t="s">
        <v>1239</v>
      </c>
      <c r="Q262" s="31">
        <f>1005</f>
        <v>1005</v>
      </c>
      <c r="R262" s="32" t="s">
        <v>755</v>
      </c>
      <c r="S262" s="33">
        <f>997.8</f>
        <v>997.8</v>
      </c>
      <c r="T262" s="39">
        <f>21849</f>
        <v>21849</v>
      </c>
      <c r="U262" s="30">
        <f>200</f>
        <v>200</v>
      </c>
      <c r="V262" s="30">
        <f>21778485</f>
        <v>21778485</v>
      </c>
      <c r="W262" s="30">
        <f>202295</f>
        <v>202295</v>
      </c>
      <c r="X262" s="34">
        <f>20</f>
        <v>20</v>
      </c>
    </row>
    <row r="263" spans="1:24">
      <c r="A263" s="25" t="s">
        <v>1254</v>
      </c>
      <c r="B263" s="25" t="s">
        <v>1146</v>
      </c>
      <c r="C263" s="25" t="s">
        <v>1147</v>
      </c>
      <c r="D263" s="25" t="s">
        <v>1148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1018</f>
        <v>1018</v>
      </c>
      <c r="L263" s="32" t="s">
        <v>1239</v>
      </c>
      <c r="M263" s="31">
        <f>1040</f>
        <v>1040</v>
      </c>
      <c r="N263" s="32" t="s">
        <v>1211</v>
      </c>
      <c r="O263" s="31">
        <f>998</f>
        <v>998</v>
      </c>
      <c r="P263" s="32" t="s">
        <v>850</v>
      </c>
      <c r="Q263" s="31">
        <f>1025</f>
        <v>1025</v>
      </c>
      <c r="R263" s="32" t="s">
        <v>755</v>
      </c>
      <c r="S263" s="33">
        <f>1019.05</f>
        <v>1019.05</v>
      </c>
      <c r="T263" s="39">
        <f>743955</f>
        <v>743955</v>
      </c>
      <c r="U263" s="30">
        <f>197094</f>
        <v>197094</v>
      </c>
      <c r="V263" s="30">
        <f>757494629</f>
        <v>757494629</v>
      </c>
      <c r="W263" s="30">
        <f>201333967</f>
        <v>201333967</v>
      </c>
      <c r="X263" s="34">
        <f>20</f>
        <v>20</v>
      </c>
    </row>
    <row r="264" spans="1:24">
      <c r="A264" s="25" t="s">
        <v>1254</v>
      </c>
      <c r="B264" s="25" t="s">
        <v>1149</v>
      </c>
      <c r="C264" s="25" t="s">
        <v>1150</v>
      </c>
      <c r="D264" s="25" t="s">
        <v>1151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10</v>
      </c>
      <c r="K264" s="31">
        <f>488.9</f>
        <v>488.9</v>
      </c>
      <c r="L264" s="32" t="s">
        <v>1239</v>
      </c>
      <c r="M264" s="31">
        <f>491.8</f>
        <v>491.8</v>
      </c>
      <c r="N264" s="32" t="s">
        <v>1206</v>
      </c>
      <c r="O264" s="31">
        <f>477.6</f>
        <v>477.6</v>
      </c>
      <c r="P264" s="32" t="s">
        <v>1076</v>
      </c>
      <c r="Q264" s="31">
        <f>480.2</f>
        <v>480.2</v>
      </c>
      <c r="R264" s="32" t="s">
        <v>755</v>
      </c>
      <c r="S264" s="33">
        <f>482.29</f>
        <v>482.29</v>
      </c>
      <c r="T264" s="39">
        <f>7524470</f>
        <v>7524470</v>
      </c>
      <c r="U264" s="30">
        <f>7471450</f>
        <v>7471450</v>
      </c>
      <c r="V264" s="30">
        <f>3619391243</f>
        <v>3619391243</v>
      </c>
      <c r="W264" s="30">
        <f>3593690883</f>
        <v>3593690883</v>
      </c>
      <c r="X264" s="34">
        <f>20</f>
        <v>20</v>
      </c>
    </row>
    <row r="265" spans="1:24">
      <c r="A265" s="25" t="s">
        <v>1254</v>
      </c>
      <c r="B265" s="25" t="s">
        <v>1152</v>
      </c>
      <c r="C265" s="25" t="s">
        <v>1153</v>
      </c>
      <c r="D265" s="25" t="s">
        <v>1154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10</v>
      </c>
      <c r="K265" s="31">
        <f>162</f>
        <v>162</v>
      </c>
      <c r="L265" s="32" t="s">
        <v>1239</v>
      </c>
      <c r="M265" s="31">
        <f>166.5</f>
        <v>166.5</v>
      </c>
      <c r="N265" s="32" t="s">
        <v>1240</v>
      </c>
      <c r="O265" s="31">
        <f>145.4</f>
        <v>145.4</v>
      </c>
      <c r="P265" s="32" t="s">
        <v>1212</v>
      </c>
      <c r="Q265" s="31">
        <f>153.8</f>
        <v>153.80000000000001</v>
      </c>
      <c r="R265" s="32" t="s">
        <v>755</v>
      </c>
      <c r="S265" s="33">
        <f>154.76</f>
        <v>154.76</v>
      </c>
      <c r="T265" s="39">
        <f>4067980</f>
        <v>4067980</v>
      </c>
      <c r="U265" s="30">
        <f>1000</f>
        <v>1000</v>
      </c>
      <c r="V265" s="30">
        <f>618902130</f>
        <v>618902130</v>
      </c>
      <c r="W265" s="30">
        <f>160427</f>
        <v>160427</v>
      </c>
      <c r="X265" s="34">
        <f>20</f>
        <v>20</v>
      </c>
    </row>
    <row r="266" spans="1:24">
      <c r="A266" s="25" t="s">
        <v>1254</v>
      </c>
      <c r="B266" s="25" t="s">
        <v>1155</v>
      </c>
      <c r="C266" s="25" t="s">
        <v>1156</v>
      </c>
      <c r="D266" s="25" t="s">
        <v>1157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157.6</f>
        <v>157.6</v>
      </c>
      <c r="L266" s="32" t="s">
        <v>1239</v>
      </c>
      <c r="M266" s="31">
        <f>157.7</f>
        <v>157.69999999999999</v>
      </c>
      <c r="N266" s="32" t="s">
        <v>1240</v>
      </c>
      <c r="O266" s="31">
        <f>139.9</f>
        <v>139.9</v>
      </c>
      <c r="P266" s="32" t="s">
        <v>850</v>
      </c>
      <c r="Q266" s="31">
        <f>146.2</f>
        <v>146.19999999999999</v>
      </c>
      <c r="R266" s="32" t="s">
        <v>755</v>
      </c>
      <c r="S266" s="33">
        <f>146.45</f>
        <v>146.44999999999999</v>
      </c>
      <c r="T266" s="39">
        <f>3604900</f>
        <v>3604900</v>
      </c>
      <c r="U266" s="30">
        <f>300</f>
        <v>300</v>
      </c>
      <c r="V266" s="30">
        <f>524155205</f>
        <v>524155205</v>
      </c>
      <c r="W266" s="30">
        <f>44290</f>
        <v>44290</v>
      </c>
      <c r="X266" s="34">
        <f>20</f>
        <v>20</v>
      </c>
    </row>
    <row r="267" spans="1:24">
      <c r="A267" s="25" t="s">
        <v>1254</v>
      </c>
      <c r="B267" s="25" t="s">
        <v>526</v>
      </c>
      <c r="C267" s="25" t="s">
        <v>527</v>
      </c>
      <c r="D267" s="25" t="s">
        <v>528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886.7</f>
        <v>886.7</v>
      </c>
      <c r="L267" s="32" t="s">
        <v>1239</v>
      </c>
      <c r="M267" s="31">
        <f>917.3</f>
        <v>917.3</v>
      </c>
      <c r="N267" s="32" t="s">
        <v>1077</v>
      </c>
      <c r="O267" s="31">
        <f>862.2</f>
        <v>862.2</v>
      </c>
      <c r="P267" s="32" t="s">
        <v>756</v>
      </c>
      <c r="Q267" s="31">
        <f>870.8</f>
        <v>870.8</v>
      </c>
      <c r="R267" s="32" t="s">
        <v>755</v>
      </c>
      <c r="S267" s="33">
        <f>874.23</f>
        <v>874.23</v>
      </c>
      <c r="T267" s="39">
        <f>35181450</f>
        <v>35181450</v>
      </c>
      <c r="U267" s="30">
        <f>32378540</f>
        <v>32378540</v>
      </c>
      <c r="V267" s="30">
        <f>30839108028</f>
        <v>30839108028</v>
      </c>
      <c r="W267" s="30">
        <f>28384685379</f>
        <v>28384685379</v>
      </c>
      <c r="X267" s="34">
        <f>20</f>
        <v>20</v>
      </c>
    </row>
    <row r="268" spans="1:24">
      <c r="A268" s="25" t="s">
        <v>1254</v>
      </c>
      <c r="B268" s="25" t="s">
        <v>529</v>
      </c>
      <c r="C268" s="25" t="s">
        <v>530</v>
      </c>
      <c r="D268" s="25" t="s">
        <v>531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1057.5</f>
        <v>1057.5</v>
      </c>
      <c r="L268" s="32" t="s">
        <v>1239</v>
      </c>
      <c r="M268" s="31">
        <f>1081</f>
        <v>1081</v>
      </c>
      <c r="N268" s="32" t="s">
        <v>1080</v>
      </c>
      <c r="O268" s="31">
        <f>1045</f>
        <v>1045</v>
      </c>
      <c r="P268" s="32" t="s">
        <v>850</v>
      </c>
      <c r="Q268" s="31">
        <f>1061</f>
        <v>1061</v>
      </c>
      <c r="R268" s="32" t="s">
        <v>755</v>
      </c>
      <c r="S268" s="33">
        <f>1064.23</f>
        <v>1064.23</v>
      </c>
      <c r="T268" s="39">
        <f>4137400</f>
        <v>4137400</v>
      </c>
      <c r="U268" s="30">
        <f>3278840</f>
        <v>3278840</v>
      </c>
      <c r="V268" s="30">
        <f>4427068443</f>
        <v>4427068443</v>
      </c>
      <c r="W268" s="30">
        <f>3514844213</f>
        <v>3514844213</v>
      </c>
      <c r="X268" s="34">
        <f>20</f>
        <v>20</v>
      </c>
    </row>
    <row r="269" spans="1:24">
      <c r="A269" s="25" t="s">
        <v>1254</v>
      </c>
      <c r="B269" s="25" t="s">
        <v>532</v>
      </c>
      <c r="C269" s="25" t="s">
        <v>533</v>
      </c>
      <c r="D269" s="25" t="s">
        <v>534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767</f>
        <v>767</v>
      </c>
      <c r="L269" s="32" t="s">
        <v>1239</v>
      </c>
      <c r="M269" s="31">
        <f>770</f>
        <v>770</v>
      </c>
      <c r="N269" s="32" t="s">
        <v>1240</v>
      </c>
      <c r="O269" s="31">
        <f>752.6</f>
        <v>752.6</v>
      </c>
      <c r="P269" s="32" t="s">
        <v>851</v>
      </c>
      <c r="Q269" s="31">
        <f>760.8</f>
        <v>760.8</v>
      </c>
      <c r="R269" s="32" t="s">
        <v>755</v>
      </c>
      <c r="S269" s="33">
        <f>760.43</f>
        <v>760.43</v>
      </c>
      <c r="T269" s="39">
        <f>23895950</f>
        <v>23895950</v>
      </c>
      <c r="U269" s="30">
        <f>23723360</f>
        <v>23723360</v>
      </c>
      <c r="V269" s="30">
        <f>18192360256</f>
        <v>18192360256</v>
      </c>
      <c r="W269" s="30">
        <f>18061296557</f>
        <v>18061296557</v>
      </c>
      <c r="X269" s="34">
        <f>20</f>
        <v>20</v>
      </c>
    </row>
    <row r="270" spans="1:24">
      <c r="A270" s="25" t="s">
        <v>1254</v>
      </c>
      <c r="B270" s="25" t="s">
        <v>535</v>
      </c>
      <c r="C270" s="25" t="s">
        <v>536</v>
      </c>
      <c r="D270" s="25" t="s">
        <v>537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2405</f>
        <v>2405</v>
      </c>
      <c r="L270" s="32" t="s">
        <v>1239</v>
      </c>
      <c r="M270" s="31">
        <f>2617</f>
        <v>2617</v>
      </c>
      <c r="N270" s="32" t="s">
        <v>859</v>
      </c>
      <c r="O270" s="31">
        <f>2405</f>
        <v>2405</v>
      </c>
      <c r="P270" s="32" t="s">
        <v>1239</v>
      </c>
      <c r="Q270" s="31">
        <f>2543</f>
        <v>2543</v>
      </c>
      <c r="R270" s="32" t="s">
        <v>755</v>
      </c>
      <c r="S270" s="33">
        <f>2524.53</f>
        <v>2524.5300000000002</v>
      </c>
      <c r="T270" s="39">
        <f>1207570</f>
        <v>1207570</v>
      </c>
      <c r="U270" s="30">
        <f>890550</f>
        <v>890550</v>
      </c>
      <c r="V270" s="30">
        <f>3049394041</f>
        <v>3049394041</v>
      </c>
      <c r="W270" s="30">
        <f>2249999041</f>
        <v>2249999041</v>
      </c>
      <c r="X270" s="34">
        <f>20</f>
        <v>20</v>
      </c>
    </row>
    <row r="271" spans="1:24">
      <c r="A271" s="25" t="s">
        <v>1254</v>
      </c>
      <c r="B271" s="25" t="s">
        <v>538</v>
      </c>
      <c r="C271" s="25" t="s">
        <v>539</v>
      </c>
      <c r="D271" s="25" t="s">
        <v>540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1599.5</f>
        <v>1599.5</v>
      </c>
      <c r="L271" s="32" t="s">
        <v>1239</v>
      </c>
      <c r="M271" s="31">
        <f>1684</f>
        <v>1684</v>
      </c>
      <c r="N271" s="32" t="s">
        <v>859</v>
      </c>
      <c r="O271" s="31">
        <f>1575</f>
        <v>1575</v>
      </c>
      <c r="P271" s="32" t="s">
        <v>1240</v>
      </c>
      <c r="Q271" s="31">
        <f>1656.5</f>
        <v>1656.5</v>
      </c>
      <c r="R271" s="32" t="s">
        <v>755</v>
      </c>
      <c r="S271" s="33">
        <f>1642.18</f>
        <v>1642.18</v>
      </c>
      <c r="T271" s="39">
        <f>794830</f>
        <v>794830</v>
      </c>
      <c r="U271" s="30">
        <f>598000</f>
        <v>598000</v>
      </c>
      <c r="V271" s="30">
        <f>1291070500</f>
        <v>1291070500</v>
      </c>
      <c r="W271" s="30">
        <f>968613100</f>
        <v>968613100</v>
      </c>
      <c r="X271" s="34">
        <f>20</f>
        <v>20</v>
      </c>
    </row>
    <row r="272" spans="1:24">
      <c r="A272" s="25" t="s">
        <v>1254</v>
      </c>
      <c r="B272" s="25" t="s">
        <v>541</v>
      </c>
      <c r="C272" s="25" t="s">
        <v>542</v>
      </c>
      <c r="D272" s="25" t="s">
        <v>543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1312.5</f>
        <v>1312.5</v>
      </c>
      <c r="L272" s="32" t="s">
        <v>1239</v>
      </c>
      <c r="M272" s="31">
        <f>1384</f>
        <v>1384</v>
      </c>
      <c r="N272" s="32" t="s">
        <v>1211</v>
      </c>
      <c r="O272" s="31">
        <f>1291.5</f>
        <v>1291.5</v>
      </c>
      <c r="P272" s="32" t="s">
        <v>1239</v>
      </c>
      <c r="Q272" s="31">
        <f>1351.5</f>
        <v>1351.5</v>
      </c>
      <c r="R272" s="32" t="s">
        <v>755</v>
      </c>
      <c r="S272" s="33">
        <f>1344.5</f>
        <v>1344.5</v>
      </c>
      <c r="T272" s="39">
        <f>573960</f>
        <v>573960</v>
      </c>
      <c r="U272" s="30">
        <f>186260</f>
        <v>186260</v>
      </c>
      <c r="V272" s="30">
        <f>765818124</f>
        <v>765818124</v>
      </c>
      <c r="W272" s="30">
        <f>247461309</f>
        <v>247461309</v>
      </c>
      <c r="X272" s="34">
        <f>20</f>
        <v>20</v>
      </c>
    </row>
    <row r="273" spans="1:24">
      <c r="A273" s="25" t="s">
        <v>1254</v>
      </c>
      <c r="B273" s="25" t="s">
        <v>544</v>
      </c>
      <c r="C273" s="25" t="s">
        <v>1046</v>
      </c>
      <c r="D273" s="25" t="s">
        <v>1047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532</f>
        <v>532</v>
      </c>
      <c r="L273" s="32" t="s">
        <v>1239</v>
      </c>
      <c r="M273" s="31">
        <f>585.5</f>
        <v>585.5</v>
      </c>
      <c r="N273" s="32" t="s">
        <v>755</v>
      </c>
      <c r="O273" s="31">
        <f>525.9</f>
        <v>525.9</v>
      </c>
      <c r="P273" s="32" t="s">
        <v>1240</v>
      </c>
      <c r="Q273" s="31">
        <f>582.5</f>
        <v>582.5</v>
      </c>
      <c r="R273" s="32" t="s">
        <v>755</v>
      </c>
      <c r="S273" s="33">
        <f>555.62</f>
        <v>555.62</v>
      </c>
      <c r="T273" s="39">
        <f>16077020</f>
        <v>16077020</v>
      </c>
      <c r="U273" s="30">
        <f>908750</f>
        <v>908750</v>
      </c>
      <c r="V273" s="30">
        <f>8975500432</f>
        <v>8975500432</v>
      </c>
      <c r="W273" s="30">
        <f>528049453</f>
        <v>528049453</v>
      </c>
      <c r="X273" s="34">
        <f>20</f>
        <v>20</v>
      </c>
    </row>
    <row r="274" spans="1:24">
      <c r="A274" s="25" t="s">
        <v>1254</v>
      </c>
      <c r="B274" s="25" t="s">
        <v>545</v>
      </c>
      <c r="C274" s="25" t="s">
        <v>546</v>
      </c>
      <c r="D274" s="25" t="s">
        <v>547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1045</f>
        <v>1045</v>
      </c>
      <c r="L274" s="32" t="s">
        <v>1239</v>
      </c>
      <c r="M274" s="31">
        <f>1065.5</f>
        <v>1065.5</v>
      </c>
      <c r="N274" s="32" t="s">
        <v>1079</v>
      </c>
      <c r="O274" s="31">
        <f>1023</f>
        <v>1023</v>
      </c>
      <c r="P274" s="32" t="s">
        <v>850</v>
      </c>
      <c r="Q274" s="31">
        <f>1042.5</f>
        <v>1042.5</v>
      </c>
      <c r="R274" s="32" t="s">
        <v>755</v>
      </c>
      <c r="S274" s="33">
        <f>1040.5</f>
        <v>1040.5</v>
      </c>
      <c r="T274" s="39">
        <f>1130800</f>
        <v>1130800</v>
      </c>
      <c r="U274" s="30">
        <f>567250</f>
        <v>567250</v>
      </c>
      <c r="V274" s="30">
        <f>1163553863</f>
        <v>1163553863</v>
      </c>
      <c r="W274" s="30">
        <f>582704548</f>
        <v>582704548</v>
      </c>
      <c r="X274" s="34">
        <f>20</f>
        <v>20</v>
      </c>
    </row>
    <row r="275" spans="1:24">
      <c r="A275" s="25" t="s">
        <v>1254</v>
      </c>
      <c r="B275" s="25" t="s">
        <v>548</v>
      </c>
      <c r="C275" s="25" t="s">
        <v>549</v>
      </c>
      <c r="D275" s="25" t="s">
        <v>550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</v>
      </c>
      <c r="K275" s="31">
        <f>1525</f>
        <v>1525</v>
      </c>
      <c r="L275" s="32" t="s">
        <v>1239</v>
      </c>
      <c r="M275" s="31">
        <f>1617</f>
        <v>1617</v>
      </c>
      <c r="N275" s="32" t="s">
        <v>859</v>
      </c>
      <c r="O275" s="31">
        <f>1515</f>
        <v>1515</v>
      </c>
      <c r="P275" s="32" t="s">
        <v>1211</v>
      </c>
      <c r="Q275" s="31">
        <f>1616</f>
        <v>1616</v>
      </c>
      <c r="R275" s="32" t="s">
        <v>755</v>
      </c>
      <c r="S275" s="33">
        <f>1571.75</f>
        <v>1571.75</v>
      </c>
      <c r="T275" s="39">
        <f>16021</f>
        <v>16021</v>
      </c>
      <c r="U275" s="30" t="str">
        <f>"－"</f>
        <v>－</v>
      </c>
      <c r="V275" s="30">
        <f>25220092</f>
        <v>25220092</v>
      </c>
      <c r="W275" s="30" t="str">
        <f>"－"</f>
        <v>－</v>
      </c>
      <c r="X275" s="34">
        <f>20</f>
        <v>20</v>
      </c>
    </row>
    <row r="276" spans="1:24">
      <c r="A276" s="25" t="s">
        <v>1254</v>
      </c>
      <c r="B276" s="25" t="s">
        <v>551</v>
      </c>
      <c r="C276" s="25" t="s">
        <v>552</v>
      </c>
      <c r="D276" s="25" t="s">
        <v>553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1023</f>
        <v>1023</v>
      </c>
      <c r="L276" s="32" t="s">
        <v>1239</v>
      </c>
      <c r="M276" s="31">
        <f>1065</f>
        <v>1065</v>
      </c>
      <c r="N276" s="32" t="s">
        <v>851</v>
      </c>
      <c r="O276" s="31">
        <f>1011</f>
        <v>1011</v>
      </c>
      <c r="P276" s="32" t="s">
        <v>850</v>
      </c>
      <c r="Q276" s="31">
        <f>1036.5</f>
        <v>1036.5</v>
      </c>
      <c r="R276" s="32" t="s">
        <v>755</v>
      </c>
      <c r="S276" s="33">
        <f>1039.6</f>
        <v>1039.5999999999999</v>
      </c>
      <c r="T276" s="39">
        <f>56450</f>
        <v>56450</v>
      </c>
      <c r="U276" s="30">
        <f>1580</f>
        <v>1580</v>
      </c>
      <c r="V276" s="30">
        <f>58402727</f>
        <v>58402727</v>
      </c>
      <c r="W276" s="30">
        <f>1637522</f>
        <v>1637522</v>
      </c>
      <c r="X276" s="34">
        <f>20</f>
        <v>20</v>
      </c>
    </row>
    <row r="277" spans="1:24">
      <c r="A277" s="25" t="s">
        <v>1254</v>
      </c>
      <c r="B277" s="25" t="s">
        <v>554</v>
      </c>
      <c r="C277" s="25" t="s">
        <v>555</v>
      </c>
      <c r="D277" s="25" t="s">
        <v>556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10</v>
      </c>
      <c r="K277" s="31">
        <f>1384</f>
        <v>1384</v>
      </c>
      <c r="L277" s="32" t="s">
        <v>1239</v>
      </c>
      <c r="M277" s="31">
        <f>1496.5</f>
        <v>1496.5</v>
      </c>
      <c r="N277" s="32" t="s">
        <v>1211</v>
      </c>
      <c r="O277" s="31">
        <f>1375</f>
        <v>1375</v>
      </c>
      <c r="P277" s="32" t="s">
        <v>1239</v>
      </c>
      <c r="Q277" s="31">
        <f>1449</f>
        <v>1449</v>
      </c>
      <c r="R277" s="32" t="s">
        <v>755</v>
      </c>
      <c r="S277" s="33">
        <f>1458.75</f>
        <v>1458.75</v>
      </c>
      <c r="T277" s="39">
        <f>112620</f>
        <v>112620</v>
      </c>
      <c r="U277" s="30">
        <f>40</f>
        <v>40</v>
      </c>
      <c r="V277" s="30">
        <f>163799260</f>
        <v>163799260</v>
      </c>
      <c r="W277" s="30">
        <f>58360</f>
        <v>58360</v>
      </c>
      <c r="X277" s="34">
        <f>20</f>
        <v>20</v>
      </c>
    </row>
    <row r="278" spans="1:24">
      <c r="A278" s="25" t="s">
        <v>1254</v>
      </c>
      <c r="B278" s="25" t="s">
        <v>557</v>
      </c>
      <c r="C278" s="25" t="s">
        <v>558</v>
      </c>
      <c r="D278" s="25" t="s">
        <v>559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</v>
      </c>
      <c r="K278" s="31">
        <f>1657</f>
        <v>1657</v>
      </c>
      <c r="L278" s="32" t="s">
        <v>1239</v>
      </c>
      <c r="M278" s="31">
        <f>1770</f>
        <v>1770</v>
      </c>
      <c r="N278" s="32" t="s">
        <v>859</v>
      </c>
      <c r="O278" s="31">
        <f>1650</f>
        <v>1650</v>
      </c>
      <c r="P278" s="32" t="s">
        <v>1240</v>
      </c>
      <c r="Q278" s="31">
        <f>1740</f>
        <v>1740</v>
      </c>
      <c r="R278" s="32" t="s">
        <v>755</v>
      </c>
      <c r="S278" s="33">
        <f>1719.1</f>
        <v>1719.1</v>
      </c>
      <c r="T278" s="39">
        <f>6013303</f>
        <v>6013303</v>
      </c>
      <c r="U278" s="30">
        <f>4630283</f>
        <v>4630283</v>
      </c>
      <c r="V278" s="30">
        <f>10301708119</f>
        <v>10301708119</v>
      </c>
      <c r="W278" s="30">
        <f>7904060500</f>
        <v>7904060500</v>
      </c>
      <c r="X278" s="34">
        <f>20</f>
        <v>20</v>
      </c>
    </row>
    <row r="279" spans="1:24">
      <c r="A279" s="25" t="s">
        <v>1254</v>
      </c>
      <c r="B279" s="25" t="s">
        <v>560</v>
      </c>
      <c r="C279" s="25" t="s">
        <v>561</v>
      </c>
      <c r="D279" s="25" t="s">
        <v>562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</v>
      </c>
      <c r="K279" s="31">
        <f>5000</f>
        <v>5000</v>
      </c>
      <c r="L279" s="32" t="s">
        <v>1239</v>
      </c>
      <c r="M279" s="31">
        <f>5607</f>
        <v>5607</v>
      </c>
      <c r="N279" s="32" t="s">
        <v>1080</v>
      </c>
      <c r="O279" s="31">
        <f>4965</f>
        <v>4965</v>
      </c>
      <c r="P279" s="32" t="s">
        <v>1239</v>
      </c>
      <c r="Q279" s="31">
        <f>5390</f>
        <v>5390</v>
      </c>
      <c r="R279" s="32" t="s">
        <v>755</v>
      </c>
      <c r="S279" s="33">
        <f>5367.4</f>
        <v>5367.4</v>
      </c>
      <c r="T279" s="39">
        <f>161134</f>
        <v>161134</v>
      </c>
      <c r="U279" s="30">
        <f>10</f>
        <v>10</v>
      </c>
      <c r="V279" s="30">
        <f>862853346</f>
        <v>862853346</v>
      </c>
      <c r="W279" s="30">
        <f>55290</f>
        <v>55290</v>
      </c>
      <c r="X279" s="34">
        <f>20</f>
        <v>20</v>
      </c>
    </row>
    <row r="280" spans="1:24">
      <c r="A280" s="25" t="s">
        <v>1254</v>
      </c>
      <c r="B280" s="25" t="s">
        <v>563</v>
      </c>
      <c r="C280" s="25" t="s">
        <v>564</v>
      </c>
      <c r="D280" s="25" t="s">
        <v>565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10</v>
      </c>
      <c r="K280" s="31">
        <f>2267.5</f>
        <v>2267.5</v>
      </c>
      <c r="L280" s="32" t="s">
        <v>1239</v>
      </c>
      <c r="M280" s="31">
        <f>2340</f>
        <v>2340</v>
      </c>
      <c r="N280" s="32" t="s">
        <v>1079</v>
      </c>
      <c r="O280" s="31">
        <f>2193.5</f>
        <v>2193.5</v>
      </c>
      <c r="P280" s="32" t="s">
        <v>1076</v>
      </c>
      <c r="Q280" s="31">
        <f>2297.5</f>
        <v>2297.5</v>
      </c>
      <c r="R280" s="32" t="s">
        <v>1078</v>
      </c>
      <c r="S280" s="33">
        <f>2289.29</f>
        <v>2289.29</v>
      </c>
      <c r="T280" s="39">
        <f>4890</f>
        <v>4890</v>
      </c>
      <c r="U280" s="30">
        <f>80</f>
        <v>80</v>
      </c>
      <c r="V280" s="30">
        <f>11346295</f>
        <v>11346295</v>
      </c>
      <c r="W280" s="30">
        <f>180200</f>
        <v>180200</v>
      </c>
      <c r="X280" s="34">
        <f>7</f>
        <v>7</v>
      </c>
    </row>
    <row r="281" spans="1:24">
      <c r="A281" s="25" t="s">
        <v>1254</v>
      </c>
      <c r="B281" s="25" t="s">
        <v>566</v>
      </c>
      <c r="C281" s="25" t="s">
        <v>567</v>
      </c>
      <c r="D281" s="25" t="s">
        <v>568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10</v>
      </c>
      <c r="K281" s="31">
        <f>2766</f>
        <v>2766</v>
      </c>
      <c r="L281" s="32" t="s">
        <v>1240</v>
      </c>
      <c r="M281" s="31">
        <f>2895</f>
        <v>2895</v>
      </c>
      <c r="N281" s="32" t="s">
        <v>859</v>
      </c>
      <c r="O281" s="31">
        <f>2757</f>
        <v>2757</v>
      </c>
      <c r="P281" s="32" t="s">
        <v>1077</v>
      </c>
      <c r="Q281" s="31">
        <f>2845</f>
        <v>2845</v>
      </c>
      <c r="R281" s="32" t="s">
        <v>755</v>
      </c>
      <c r="S281" s="33">
        <f>2823.17</f>
        <v>2823.17</v>
      </c>
      <c r="T281" s="39">
        <f>3767060</f>
        <v>3767060</v>
      </c>
      <c r="U281" s="30">
        <f>3714630</f>
        <v>3714630</v>
      </c>
      <c r="V281" s="30">
        <f>10695024422</f>
        <v>10695024422</v>
      </c>
      <c r="W281" s="30">
        <f>10548583392</f>
        <v>10548583392</v>
      </c>
      <c r="X281" s="34">
        <f>12</f>
        <v>12</v>
      </c>
    </row>
    <row r="282" spans="1:24">
      <c r="A282" s="25" t="s">
        <v>1254</v>
      </c>
      <c r="B282" s="25" t="s">
        <v>569</v>
      </c>
      <c r="C282" s="25" t="s">
        <v>570</v>
      </c>
      <c r="D282" s="25" t="s">
        <v>571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</v>
      </c>
      <c r="K282" s="31">
        <f>36540</f>
        <v>36540</v>
      </c>
      <c r="L282" s="32" t="s">
        <v>1239</v>
      </c>
      <c r="M282" s="31">
        <f>38870</f>
        <v>38870</v>
      </c>
      <c r="N282" s="32" t="s">
        <v>1211</v>
      </c>
      <c r="O282" s="31">
        <f>36540</f>
        <v>36540</v>
      </c>
      <c r="P282" s="32" t="s">
        <v>1239</v>
      </c>
      <c r="Q282" s="31">
        <f>38270</f>
        <v>38270</v>
      </c>
      <c r="R282" s="32" t="s">
        <v>755</v>
      </c>
      <c r="S282" s="33">
        <f>37892.63</f>
        <v>37892.629999999997</v>
      </c>
      <c r="T282" s="39">
        <f>28650</f>
        <v>28650</v>
      </c>
      <c r="U282" s="30">
        <f>4053</f>
        <v>4053</v>
      </c>
      <c r="V282" s="30">
        <f>1081963135</f>
        <v>1081963135</v>
      </c>
      <c r="W282" s="30">
        <f>155678075</f>
        <v>155678075</v>
      </c>
      <c r="X282" s="34">
        <f>19</f>
        <v>19</v>
      </c>
    </row>
    <row r="283" spans="1:24">
      <c r="A283" s="25" t="s">
        <v>1254</v>
      </c>
      <c r="B283" s="25" t="s">
        <v>572</v>
      </c>
      <c r="C283" s="25" t="s">
        <v>573</v>
      </c>
      <c r="D283" s="25" t="s">
        <v>574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</v>
      </c>
      <c r="K283" s="31">
        <f>24775</f>
        <v>24775</v>
      </c>
      <c r="L283" s="32" t="s">
        <v>1239</v>
      </c>
      <c r="M283" s="31">
        <f>26075</f>
        <v>26075</v>
      </c>
      <c r="N283" s="32" t="s">
        <v>859</v>
      </c>
      <c r="O283" s="31">
        <f>24775</f>
        <v>24775</v>
      </c>
      <c r="P283" s="32" t="s">
        <v>1239</v>
      </c>
      <c r="Q283" s="31">
        <f>26075</f>
        <v>26075</v>
      </c>
      <c r="R283" s="32" t="s">
        <v>859</v>
      </c>
      <c r="S283" s="33">
        <f>25400.91</f>
        <v>25400.91</v>
      </c>
      <c r="T283" s="39">
        <f>28485</f>
        <v>28485</v>
      </c>
      <c r="U283" s="30">
        <f>27000</f>
        <v>27000</v>
      </c>
      <c r="V283" s="30">
        <f>713981375</f>
        <v>713981375</v>
      </c>
      <c r="W283" s="30">
        <f>676279800</f>
        <v>676279800</v>
      </c>
      <c r="X283" s="34">
        <f>11</f>
        <v>11</v>
      </c>
    </row>
    <row r="284" spans="1:24">
      <c r="A284" s="25" t="s">
        <v>1254</v>
      </c>
      <c r="B284" s="25" t="s">
        <v>575</v>
      </c>
      <c r="C284" s="25" t="s">
        <v>576</v>
      </c>
      <c r="D284" s="25" t="s">
        <v>577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10</v>
      </c>
      <c r="K284" s="31">
        <f>1049</f>
        <v>1049</v>
      </c>
      <c r="L284" s="32" t="s">
        <v>1239</v>
      </c>
      <c r="M284" s="31">
        <f>1072</f>
        <v>1072</v>
      </c>
      <c r="N284" s="32" t="s">
        <v>1079</v>
      </c>
      <c r="O284" s="31">
        <f>1046.5</f>
        <v>1046.5</v>
      </c>
      <c r="P284" s="32" t="s">
        <v>850</v>
      </c>
      <c r="Q284" s="31">
        <f>1064.5</f>
        <v>1064.5</v>
      </c>
      <c r="R284" s="32" t="s">
        <v>755</v>
      </c>
      <c r="S284" s="33">
        <f>1057.03</f>
        <v>1057.03</v>
      </c>
      <c r="T284" s="39">
        <f>32330</f>
        <v>32330</v>
      </c>
      <c r="U284" s="30" t="str">
        <f>"－"</f>
        <v>－</v>
      </c>
      <c r="V284" s="30">
        <f>34405735</f>
        <v>34405735</v>
      </c>
      <c r="W284" s="30" t="str">
        <f>"－"</f>
        <v>－</v>
      </c>
      <c r="X284" s="34">
        <f>15</f>
        <v>15</v>
      </c>
    </row>
    <row r="285" spans="1:24">
      <c r="A285" s="25" t="s">
        <v>1254</v>
      </c>
      <c r="B285" s="25" t="s">
        <v>578</v>
      </c>
      <c r="C285" s="25" t="s">
        <v>918</v>
      </c>
      <c r="D285" s="25" t="s">
        <v>919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1032</f>
        <v>1032</v>
      </c>
      <c r="L285" s="32" t="s">
        <v>1239</v>
      </c>
      <c r="M285" s="31">
        <f>1056</f>
        <v>1056</v>
      </c>
      <c r="N285" s="32" t="s">
        <v>1240</v>
      </c>
      <c r="O285" s="31">
        <f>1026</f>
        <v>1026</v>
      </c>
      <c r="P285" s="32" t="s">
        <v>850</v>
      </c>
      <c r="Q285" s="31">
        <f>1044</f>
        <v>1044</v>
      </c>
      <c r="R285" s="32" t="s">
        <v>755</v>
      </c>
      <c r="S285" s="33">
        <f>1040.25</f>
        <v>1040.25</v>
      </c>
      <c r="T285" s="39">
        <f>2888661</f>
        <v>2888661</v>
      </c>
      <c r="U285" s="30">
        <f>2170074</f>
        <v>2170074</v>
      </c>
      <c r="V285" s="30">
        <f>3001816348</f>
        <v>3001816348</v>
      </c>
      <c r="W285" s="30">
        <f>2255118968</f>
        <v>2255118968</v>
      </c>
      <c r="X285" s="34">
        <f>20</f>
        <v>20</v>
      </c>
    </row>
    <row r="286" spans="1:24">
      <c r="A286" s="25" t="s">
        <v>1254</v>
      </c>
      <c r="B286" s="25" t="s">
        <v>579</v>
      </c>
      <c r="C286" s="25" t="s">
        <v>580</v>
      </c>
      <c r="D286" s="25" t="s">
        <v>581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</v>
      </c>
      <c r="K286" s="31">
        <f>1585</f>
        <v>1585</v>
      </c>
      <c r="L286" s="32" t="s">
        <v>1239</v>
      </c>
      <c r="M286" s="31">
        <f>1652</f>
        <v>1652</v>
      </c>
      <c r="N286" s="32" t="s">
        <v>1211</v>
      </c>
      <c r="O286" s="31">
        <f>1574</f>
        <v>1574</v>
      </c>
      <c r="P286" s="32" t="s">
        <v>1239</v>
      </c>
      <c r="Q286" s="31">
        <f>1633</f>
        <v>1633</v>
      </c>
      <c r="R286" s="32" t="s">
        <v>755</v>
      </c>
      <c r="S286" s="33">
        <f>1607.2</f>
        <v>1607.2</v>
      </c>
      <c r="T286" s="39">
        <f>341611</f>
        <v>341611</v>
      </c>
      <c r="U286" s="30">
        <f>203936</f>
        <v>203936</v>
      </c>
      <c r="V286" s="30">
        <f>552558003</f>
        <v>552558003</v>
      </c>
      <c r="W286" s="30">
        <f>330924159</f>
        <v>330924159</v>
      </c>
      <c r="X286" s="34">
        <f>20</f>
        <v>20</v>
      </c>
    </row>
    <row r="287" spans="1:24">
      <c r="A287" s="25" t="s">
        <v>1254</v>
      </c>
      <c r="B287" s="25" t="s">
        <v>582</v>
      </c>
      <c r="C287" s="25" t="s">
        <v>583</v>
      </c>
      <c r="D287" s="25" t="s">
        <v>584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13300</f>
        <v>13300</v>
      </c>
      <c r="L287" s="32" t="s">
        <v>1239</v>
      </c>
      <c r="M287" s="31">
        <f>14500</f>
        <v>14500</v>
      </c>
      <c r="N287" s="32" t="s">
        <v>851</v>
      </c>
      <c r="O287" s="31">
        <f>13115</f>
        <v>13115</v>
      </c>
      <c r="P287" s="32" t="s">
        <v>1239</v>
      </c>
      <c r="Q287" s="31">
        <f>13550</f>
        <v>13550</v>
      </c>
      <c r="R287" s="32" t="s">
        <v>755</v>
      </c>
      <c r="S287" s="33">
        <f>13692.5</f>
        <v>13692.5</v>
      </c>
      <c r="T287" s="39">
        <f>5815</f>
        <v>5815</v>
      </c>
      <c r="U287" s="30" t="str">
        <f>"－"</f>
        <v>－</v>
      </c>
      <c r="V287" s="30">
        <f>78947250</f>
        <v>78947250</v>
      </c>
      <c r="W287" s="30" t="str">
        <f>"－"</f>
        <v>－</v>
      </c>
      <c r="X287" s="34">
        <f>20</f>
        <v>20</v>
      </c>
    </row>
    <row r="288" spans="1:24">
      <c r="A288" s="25" t="s">
        <v>1254</v>
      </c>
      <c r="B288" s="25" t="s">
        <v>585</v>
      </c>
      <c r="C288" s="25" t="s">
        <v>586</v>
      </c>
      <c r="D288" s="25" t="s">
        <v>587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1850</f>
        <v>1850</v>
      </c>
      <c r="L288" s="32" t="s">
        <v>1239</v>
      </c>
      <c r="M288" s="31">
        <f>1899</f>
        <v>1899</v>
      </c>
      <c r="N288" s="32" t="s">
        <v>1211</v>
      </c>
      <c r="O288" s="31">
        <f>1830</f>
        <v>1830</v>
      </c>
      <c r="P288" s="32" t="s">
        <v>1239</v>
      </c>
      <c r="Q288" s="31">
        <f>1874</f>
        <v>1874</v>
      </c>
      <c r="R288" s="32" t="s">
        <v>755</v>
      </c>
      <c r="S288" s="33">
        <f>1861.9</f>
        <v>1861.9</v>
      </c>
      <c r="T288" s="39">
        <f>1182800</f>
        <v>1182800</v>
      </c>
      <c r="U288" s="30">
        <f>1000060</f>
        <v>1000060</v>
      </c>
      <c r="V288" s="30">
        <f>2201759265</f>
        <v>2201759265</v>
      </c>
      <c r="W288" s="30">
        <f>1862606340</f>
        <v>1862606340</v>
      </c>
      <c r="X288" s="34">
        <f>20</f>
        <v>20</v>
      </c>
    </row>
    <row r="289" spans="1:24">
      <c r="A289" s="25" t="s">
        <v>1254</v>
      </c>
      <c r="B289" s="25" t="s">
        <v>588</v>
      </c>
      <c r="C289" s="25" t="s">
        <v>589</v>
      </c>
      <c r="D289" s="25" t="s">
        <v>590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10</v>
      </c>
      <c r="K289" s="31">
        <f>1522</f>
        <v>1522</v>
      </c>
      <c r="L289" s="32" t="s">
        <v>1239</v>
      </c>
      <c r="M289" s="31">
        <f>1648.5</f>
        <v>1648.5</v>
      </c>
      <c r="N289" s="32" t="s">
        <v>1211</v>
      </c>
      <c r="O289" s="31">
        <f>1486</f>
        <v>1486</v>
      </c>
      <c r="P289" s="32" t="s">
        <v>1239</v>
      </c>
      <c r="Q289" s="31">
        <f>1554</f>
        <v>1554</v>
      </c>
      <c r="R289" s="32" t="s">
        <v>755</v>
      </c>
      <c r="S289" s="33">
        <f>1563.45</f>
        <v>1563.45</v>
      </c>
      <c r="T289" s="39">
        <f>302470</f>
        <v>302470</v>
      </c>
      <c r="U289" s="30" t="str">
        <f>"－"</f>
        <v>－</v>
      </c>
      <c r="V289" s="30">
        <f>474747830</f>
        <v>474747830</v>
      </c>
      <c r="W289" s="30" t="str">
        <f>"－"</f>
        <v>－</v>
      </c>
      <c r="X289" s="34">
        <f>20</f>
        <v>20</v>
      </c>
    </row>
    <row r="290" spans="1:24">
      <c r="A290" s="25" t="s">
        <v>1254</v>
      </c>
      <c r="B290" s="25" t="s">
        <v>591</v>
      </c>
      <c r="C290" s="25" t="s">
        <v>664</v>
      </c>
      <c r="D290" s="25" t="s">
        <v>665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10</v>
      </c>
      <c r="K290" s="31">
        <f>788</f>
        <v>788</v>
      </c>
      <c r="L290" s="32" t="s">
        <v>1239</v>
      </c>
      <c r="M290" s="31">
        <f>790</f>
        <v>790</v>
      </c>
      <c r="N290" s="32" t="s">
        <v>1240</v>
      </c>
      <c r="O290" s="31">
        <f>776.7</f>
        <v>776.7</v>
      </c>
      <c r="P290" s="32" t="s">
        <v>851</v>
      </c>
      <c r="Q290" s="31">
        <f>783.6</f>
        <v>783.6</v>
      </c>
      <c r="R290" s="32" t="s">
        <v>755</v>
      </c>
      <c r="S290" s="33">
        <f>781.73</f>
        <v>781.73</v>
      </c>
      <c r="T290" s="39">
        <f>45660</f>
        <v>45660</v>
      </c>
      <c r="U290" s="30" t="str">
        <f>"－"</f>
        <v>－</v>
      </c>
      <c r="V290" s="30">
        <f>35684499</f>
        <v>35684499</v>
      </c>
      <c r="W290" s="30" t="str">
        <f>"－"</f>
        <v>－</v>
      </c>
      <c r="X290" s="34">
        <f>20</f>
        <v>20</v>
      </c>
    </row>
    <row r="291" spans="1:24">
      <c r="A291" s="25" t="s">
        <v>1254</v>
      </c>
      <c r="B291" s="25" t="s">
        <v>592</v>
      </c>
      <c r="C291" s="25" t="s">
        <v>593</v>
      </c>
      <c r="D291" s="25" t="s">
        <v>594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1777.5</f>
        <v>1777.5</v>
      </c>
      <c r="L291" s="32" t="s">
        <v>1239</v>
      </c>
      <c r="M291" s="31">
        <f>1808.5</f>
        <v>1808.5</v>
      </c>
      <c r="N291" s="32" t="s">
        <v>1079</v>
      </c>
      <c r="O291" s="31">
        <f>1750</f>
        <v>1750</v>
      </c>
      <c r="P291" s="32" t="s">
        <v>852</v>
      </c>
      <c r="Q291" s="31">
        <f>1804</f>
        <v>1804</v>
      </c>
      <c r="R291" s="32" t="s">
        <v>755</v>
      </c>
      <c r="S291" s="33">
        <f>1782.83</f>
        <v>1782.83</v>
      </c>
      <c r="T291" s="39">
        <f>66310</f>
        <v>66310</v>
      </c>
      <c r="U291" s="30">
        <f>90</f>
        <v>90</v>
      </c>
      <c r="V291" s="30">
        <f>117953610</f>
        <v>117953610</v>
      </c>
      <c r="W291" s="30">
        <f>160965</f>
        <v>160965</v>
      </c>
      <c r="X291" s="34">
        <f>20</f>
        <v>20</v>
      </c>
    </row>
    <row r="292" spans="1:24">
      <c r="A292" s="25" t="s">
        <v>1254</v>
      </c>
      <c r="B292" s="25" t="s">
        <v>595</v>
      </c>
      <c r="C292" s="25" t="s">
        <v>596</v>
      </c>
      <c r="D292" s="25" t="s">
        <v>597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1770</f>
        <v>1770</v>
      </c>
      <c r="L292" s="32" t="s">
        <v>1239</v>
      </c>
      <c r="M292" s="31">
        <f>1799</f>
        <v>1799</v>
      </c>
      <c r="N292" s="32" t="s">
        <v>1079</v>
      </c>
      <c r="O292" s="31">
        <f>1750</f>
        <v>1750</v>
      </c>
      <c r="P292" s="32" t="s">
        <v>850</v>
      </c>
      <c r="Q292" s="31">
        <f>1787</f>
        <v>1787</v>
      </c>
      <c r="R292" s="32" t="s">
        <v>755</v>
      </c>
      <c r="S292" s="33">
        <f>1778.45</f>
        <v>1778.45</v>
      </c>
      <c r="T292" s="39">
        <f>806450</f>
        <v>806450</v>
      </c>
      <c r="U292" s="30">
        <f>524630</f>
        <v>524630</v>
      </c>
      <c r="V292" s="30">
        <f>1430346151</f>
        <v>1430346151</v>
      </c>
      <c r="W292" s="30">
        <f>930612686</f>
        <v>930612686</v>
      </c>
      <c r="X292" s="34">
        <f>20</f>
        <v>20</v>
      </c>
    </row>
    <row r="293" spans="1:24">
      <c r="A293" s="25" t="s">
        <v>1254</v>
      </c>
      <c r="B293" s="25" t="s">
        <v>598</v>
      </c>
      <c r="C293" s="25" t="s">
        <v>599</v>
      </c>
      <c r="D293" s="25" t="s">
        <v>600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2693</f>
        <v>2693</v>
      </c>
      <c r="L293" s="32" t="s">
        <v>1239</v>
      </c>
      <c r="M293" s="31">
        <f>2822</f>
        <v>2822</v>
      </c>
      <c r="N293" s="32" t="s">
        <v>1078</v>
      </c>
      <c r="O293" s="31">
        <f>2691.5</f>
        <v>2691.5</v>
      </c>
      <c r="P293" s="32" t="s">
        <v>1239</v>
      </c>
      <c r="Q293" s="31">
        <f>2796.5</f>
        <v>2796.5</v>
      </c>
      <c r="R293" s="32" t="s">
        <v>755</v>
      </c>
      <c r="S293" s="33">
        <f>2760.88</f>
        <v>2760.88</v>
      </c>
      <c r="T293" s="39">
        <f>361070</f>
        <v>361070</v>
      </c>
      <c r="U293" s="30">
        <f>122450</f>
        <v>122450</v>
      </c>
      <c r="V293" s="30">
        <f>990779480</f>
        <v>990779480</v>
      </c>
      <c r="W293" s="30">
        <f>338084450</f>
        <v>338084450</v>
      </c>
      <c r="X293" s="34">
        <f>20</f>
        <v>20</v>
      </c>
    </row>
    <row r="294" spans="1:24">
      <c r="A294" s="25" t="s">
        <v>1254</v>
      </c>
      <c r="B294" s="25" t="s">
        <v>601</v>
      </c>
      <c r="C294" s="25" t="s">
        <v>602</v>
      </c>
      <c r="D294" s="25" t="s">
        <v>603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</v>
      </c>
      <c r="K294" s="31">
        <f>23115</f>
        <v>23115</v>
      </c>
      <c r="L294" s="32" t="s">
        <v>1239</v>
      </c>
      <c r="M294" s="31">
        <f>25235</f>
        <v>25235</v>
      </c>
      <c r="N294" s="32" t="s">
        <v>859</v>
      </c>
      <c r="O294" s="31">
        <f>23100</f>
        <v>23100</v>
      </c>
      <c r="P294" s="32" t="s">
        <v>1239</v>
      </c>
      <c r="Q294" s="31">
        <f>24520</f>
        <v>24520</v>
      </c>
      <c r="R294" s="32" t="s">
        <v>755</v>
      </c>
      <c r="S294" s="33">
        <f>24284.25</f>
        <v>24284.25</v>
      </c>
      <c r="T294" s="39">
        <f>643822</f>
        <v>643822</v>
      </c>
      <c r="U294" s="30">
        <f>25315</f>
        <v>25315</v>
      </c>
      <c r="V294" s="30">
        <f>15519337154</f>
        <v>15519337154</v>
      </c>
      <c r="W294" s="30">
        <f>592057869</f>
        <v>592057869</v>
      </c>
      <c r="X294" s="34">
        <f>20</f>
        <v>20</v>
      </c>
    </row>
    <row r="295" spans="1:24">
      <c r="A295" s="25" t="s">
        <v>1254</v>
      </c>
      <c r="B295" s="25" t="s">
        <v>604</v>
      </c>
      <c r="C295" s="25" t="s">
        <v>605</v>
      </c>
      <c r="D295" s="25" t="s">
        <v>606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</v>
      </c>
      <c r="K295" s="31">
        <f>19800</f>
        <v>19800</v>
      </c>
      <c r="L295" s="32" t="s">
        <v>1239</v>
      </c>
      <c r="M295" s="31">
        <f>21380</f>
        <v>21380</v>
      </c>
      <c r="N295" s="32" t="s">
        <v>859</v>
      </c>
      <c r="O295" s="31">
        <f>19705</f>
        <v>19705</v>
      </c>
      <c r="P295" s="32" t="s">
        <v>1239</v>
      </c>
      <c r="Q295" s="31">
        <f>20925</f>
        <v>20925</v>
      </c>
      <c r="R295" s="32" t="s">
        <v>755</v>
      </c>
      <c r="S295" s="33">
        <f>20703.25</f>
        <v>20703.25</v>
      </c>
      <c r="T295" s="39">
        <f>222656</f>
        <v>222656</v>
      </c>
      <c r="U295" s="30">
        <f>1482</f>
        <v>1482</v>
      </c>
      <c r="V295" s="30">
        <f>4604755106</f>
        <v>4604755106</v>
      </c>
      <c r="W295" s="30">
        <f>30955621</f>
        <v>30955621</v>
      </c>
      <c r="X295" s="34">
        <f>20</f>
        <v>20</v>
      </c>
    </row>
    <row r="296" spans="1:24">
      <c r="A296" s="25" t="s">
        <v>1254</v>
      </c>
      <c r="B296" s="25" t="s">
        <v>607</v>
      </c>
      <c r="C296" s="25" t="s">
        <v>608</v>
      </c>
      <c r="D296" s="25" t="s">
        <v>609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36200</f>
        <v>36200</v>
      </c>
      <c r="L296" s="32" t="s">
        <v>1239</v>
      </c>
      <c r="M296" s="31">
        <f>36210</f>
        <v>36210</v>
      </c>
      <c r="N296" s="32" t="s">
        <v>1239</v>
      </c>
      <c r="O296" s="31">
        <f>36200</f>
        <v>36200</v>
      </c>
      <c r="P296" s="32" t="s">
        <v>1239</v>
      </c>
      <c r="Q296" s="31">
        <f>36210</f>
        <v>36210</v>
      </c>
      <c r="R296" s="32" t="s">
        <v>1239</v>
      </c>
      <c r="S296" s="33">
        <f>36210</f>
        <v>36210</v>
      </c>
      <c r="T296" s="39">
        <f>3</f>
        <v>3</v>
      </c>
      <c r="U296" s="30" t="str">
        <f>"－"</f>
        <v>－</v>
      </c>
      <c r="V296" s="30">
        <f>108620</f>
        <v>108620</v>
      </c>
      <c r="W296" s="30" t="str">
        <f>"－"</f>
        <v>－</v>
      </c>
      <c r="X296" s="34">
        <f>1</f>
        <v>1</v>
      </c>
    </row>
    <row r="297" spans="1:24">
      <c r="A297" s="25" t="s">
        <v>1254</v>
      </c>
      <c r="B297" s="25" t="s">
        <v>610</v>
      </c>
      <c r="C297" s="25" t="s">
        <v>611</v>
      </c>
      <c r="D297" s="25" t="s">
        <v>612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2256</f>
        <v>2256</v>
      </c>
      <c r="L297" s="32" t="s">
        <v>1239</v>
      </c>
      <c r="M297" s="31">
        <f>2280</f>
        <v>2280</v>
      </c>
      <c r="N297" s="32" t="s">
        <v>1240</v>
      </c>
      <c r="O297" s="31">
        <f>2185</f>
        <v>2185</v>
      </c>
      <c r="P297" s="32" t="s">
        <v>850</v>
      </c>
      <c r="Q297" s="31">
        <f>2213</f>
        <v>2213</v>
      </c>
      <c r="R297" s="32" t="s">
        <v>755</v>
      </c>
      <c r="S297" s="33">
        <f>2222.75</f>
        <v>2222.75</v>
      </c>
      <c r="T297" s="39">
        <f>3690309</f>
        <v>3690309</v>
      </c>
      <c r="U297" s="30">
        <f>3010910</f>
        <v>3010910</v>
      </c>
      <c r="V297" s="30">
        <f>8201046876</f>
        <v>8201046876</v>
      </c>
      <c r="W297" s="30">
        <f>6688078978</f>
        <v>6688078978</v>
      </c>
      <c r="X297" s="34">
        <f>20</f>
        <v>20</v>
      </c>
    </row>
    <row r="298" spans="1:24">
      <c r="A298" s="25" t="s">
        <v>1254</v>
      </c>
      <c r="B298" s="25" t="s">
        <v>613</v>
      </c>
      <c r="C298" s="25" t="s">
        <v>614</v>
      </c>
      <c r="D298" s="25" t="s">
        <v>615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</v>
      </c>
      <c r="K298" s="31">
        <f>2975</f>
        <v>2975</v>
      </c>
      <c r="L298" s="32" t="s">
        <v>1239</v>
      </c>
      <c r="M298" s="31">
        <f>3134</f>
        <v>3134</v>
      </c>
      <c r="N298" s="32" t="s">
        <v>1081</v>
      </c>
      <c r="O298" s="31">
        <f>2967</f>
        <v>2967</v>
      </c>
      <c r="P298" s="32" t="s">
        <v>1240</v>
      </c>
      <c r="Q298" s="31">
        <f>3080</f>
        <v>3080</v>
      </c>
      <c r="R298" s="32" t="s">
        <v>755</v>
      </c>
      <c r="S298" s="33">
        <f>3056</f>
        <v>3056</v>
      </c>
      <c r="T298" s="39">
        <f>297995</f>
        <v>297995</v>
      </c>
      <c r="U298" s="30">
        <f>130000</f>
        <v>130000</v>
      </c>
      <c r="V298" s="30">
        <f>913236753</f>
        <v>913236753</v>
      </c>
      <c r="W298" s="30">
        <f>402337000</f>
        <v>402337000</v>
      </c>
      <c r="X298" s="34">
        <f>20</f>
        <v>20</v>
      </c>
    </row>
    <row r="299" spans="1:24">
      <c r="A299" s="25" t="s">
        <v>1254</v>
      </c>
      <c r="B299" s="25" t="s">
        <v>616</v>
      </c>
      <c r="C299" s="25" t="s">
        <v>617</v>
      </c>
      <c r="D299" s="25" t="s">
        <v>618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10</v>
      </c>
      <c r="K299" s="31">
        <f>310</f>
        <v>310</v>
      </c>
      <c r="L299" s="32" t="s">
        <v>1239</v>
      </c>
      <c r="M299" s="31">
        <f>331.6</f>
        <v>331.6</v>
      </c>
      <c r="N299" s="32" t="s">
        <v>859</v>
      </c>
      <c r="O299" s="31">
        <f>308.6</f>
        <v>308.60000000000002</v>
      </c>
      <c r="P299" s="32" t="s">
        <v>1240</v>
      </c>
      <c r="Q299" s="31">
        <f>326.2</f>
        <v>326.2</v>
      </c>
      <c r="R299" s="32" t="s">
        <v>755</v>
      </c>
      <c r="S299" s="33">
        <f>322.11</f>
        <v>322.11</v>
      </c>
      <c r="T299" s="39">
        <f>29671020</f>
        <v>29671020</v>
      </c>
      <c r="U299" s="30">
        <f>5271020</f>
        <v>5271020</v>
      </c>
      <c r="V299" s="30">
        <f>9522525305</f>
        <v>9522525305</v>
      </c>
      <c r="W299" s="30">
        <f>1710154829</f>
        <v>1710154829</v>
      </c>
      <c r="X299" s="34">
        <f>20</f>
        <v>20</v>
      </c>
    </row>
    <row r="300" spans="1:24">
      <c r="A300" s="25" t="s">
        <v>1254</v>
      </c>
      <c r="B300" s="25" t="s">
        <v>619</v>
      </c>
      <c r="C300" s="25" t="s">
        <v>620</v>
      </c>
      <c r="D300" s="25" t="s">
        <v>621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</v>
      </c>
      <c r="K300" s="31">
        <f>2686</f>
        <v>2686</v>
      </c>
      <c r="L300" s="32" t="s">
        <v>1239</v>
      </c>
      <c r="M300" s="31">
        <f>2761</f>
        <v>2761</v>
      </c>
      <c r="N300" s="32" t="s">
        <v>859</v>
      </c>
      <c r="O300" s="31">
        <f>2667</f>
        <v>2667</v>
      </c>
      <c r="P300" s="32" t="s">
        <v>1077</v>
      </c>
      <c r="Q300" s="31">
        <f>2757</f>
        <v>2757</v>
      </c>
      <c r="R300" s="32" t="s">
        <v>755</v>
      </c>
      <c r="S300" s="33">
        <f>2714.3</f>
        <v>2714.3</v>
      </c>
      <c r="T300" s="39">
        <f>513355</f>
        <v>513355</v>
      </c>
      <c r="U300" s="30">
        <f>134061</f>
        <v>134061</v>
      </c>
      <c r="V300" s="30">
        <f>1396569366</f>
        <v>1396569366</v>
      </c>
      <c r="W300" s="30">
        <f>364332273</f>
        <v>364332273</v>
      </c>
      <c r="X300" s="34">
        <f>20</f>
        <v>20</v>
      </c>
    </row>
    <row r="301" spans="1:24">
      <c r="A301" s="25" t="s">
        <v>1254</v>
      </c>
      <c r="B301" s="25" t="s">
        <v>622</v>
      </c>
      <c r="C301" s="25" t="s">
        <v>623</v>
      </c>
      <c r="D301" s="25" t="s">
        <v>624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</v>
      </c>
      <c r="K301" s="31">
        <f>832</f>
        <v>832</v>
      </c>
      <c r="L301" s="32" t="s">
        <v>1239</v>
      </c>
      <c r="M301" s="31">
        <f>856</f>
        <v>856</v>
      </c>
      <c r="N301" s="32" t="s">
        <v>1079</v>
      </c>
      <c r="O301" s="31">
        <f>825</f>
        <v>825</v>
      </c>
      <c r="P301" s="32" t="s">
        <v>850</v>
      </c>
      <c r="Q301" s="31">
        <f>841</f>
        <v>841</v>
      </c>
      <c r="R301" s="32" t="s">
        <v>755</v>
      </c>
      <c r="S301" s="33">
        <f>839.5</f>
        <v>839.5</v>
      </c>
      <c r="T301" s="39">
        <f>417043</f>
        <v>417043</v>
      </c>
      <c r="U301" s="30">
        <f>200009</f>
        <v>200009</v>
      </c>
      <c r="V301" s="30">
        <f>349037702</f>
        <v>349037702</v>
      </c>
      <c r="W301" s="30">
        <f>167667174</f>
        <v>167667174</v>
      </c>
      <c r="X301" s="34">
        <f>20</f>
        <v>20</v>
      </c>
    </row>
    <row r="302" spans="1:24">
      <c r="A302" s="25" t="s">
        <v>1254</v>
      </c>
      <c r="B302" s="25" t="s">
        <v>625</v>
      </c>
      <c r="C302" s="25" t="s">
        <v>626</v>
      </c>
      <c r="D302" s="25" t="s">
        <v>627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</v>
      </c>
      <c r="K302" s="31">
        <f>952</f>
        <v>952</v>
      </c>
      <c r="L302" s="32" t="s">
        <v>1239</v>
      </c>
      <c r="M302" s="31">
        <f>987</f>
        <v>987</v>
      </c>
      <c r="N302" s="32" t="s">
        <v>1079</v>
      </c>
      <c r="O302" s="31">
        <f>952</f>
        <v>952</v>
      </c>
      <c r="P302" s="32" t="s">
        <v>1239</v>
      </c>
      <c r="Q302" s="31">
        <f>981</f>
        <v>981</v>
      </c>
      <c r="R302" s="32" t="s">
        <v>755</v>
      </c>
      <c r="S302" s="33">
        <f>974.35</f>
        <v>974.35</v>
      </c>
      <c r="T302" s="39">
        <f>28878</f>
        <v>28878</v>
      </c>
      <c r="U302" s="30">
        <f>112</f>
        <v>112</v>
      </c>
      <c r="V302" s="30">
        <f>28090077</f>
        <v>28090077</v>
      </c>
      <c r="W302" s="30">
        <f>109002</f>
        <v>109002</v>
      </c>
      <c r="X302" s="34">
        <f>20</f>
        <v>20</v>
      </c>
    </row>
    <row r="303" spans="1:24">
      <c r="A303" s="25" t="s">
        <v>1254</v>
      </c>
      <c r="B303" s="25" t="s">
        <v>628</v>
      </c>
      <c r="C303" s="25" t="s">
        <v>629</v>
      </c>
      <c r="D303" s="25" t="s">
        <v>630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10</v>
      </c>
      <c r="K303" s="31">
        <f>359.9</f>
        <v>359.9</v>
      </c>
      <c r="L303" s="32" t="s">
        <v>1239</v>
      </c>
      <c r="M303" s="31">
        <f>377.5</f>
        <v>377.5</v>
      </c>
      <c r="N303" s="32" t="s">
        <v>755</v>
      </c>
      <c r="O303" s="31">
        <f>358</f>
        <v>358</v>
      </c>
      <c r="P303" s="32" t="s">
        <v>1077</v>
      </c>
      <c r="Q303" s="31">
        <f>377.5</f>
        <v>377.5</v>
      </c>
      <c r="R303" s="32" t="s">
        <v>755</v>
      </c>
      <c r="S303" s="33">
        <f>366.67</f>
        <v>366.67</v>
      </c>
      <c r="T303" s="39">
        <f>21720</f>
        <v>21720</v>
      </c>
      <c r="U303" s="30" t="str">
        <f>"－"</f>
        <v>－</v>
      </c>
      <c r="V303" s="30">
        <f>7990251</f>
        <v>7990251</v>
      </c>
      <c r="W303" s="30" t="str">
        <f>"－"</f>
        <v>－</v>
      </c>
      <c r="X303" s="34">
        <f>15</f>
        <v>15</v>
      </c>
    </row>
    <row r="304" spans="1:24">
      <c r="A304" s="25" t="s">
        <v>1254</v>
      </c>
      <c r="B304" s="25" t="s">
        <v>631</v>
      </c>
      <c r="C304" s="25" t="s">
        <v>632</v>
      </c>
      <c r="D304" s="25" t="s">
        <v>633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</v>
      </c>
      <c r="K304" s="31">
        <f>4875</f>
        <v>4875</v>
      </c>
      <c r="L304" s="32" t="s">
        <v>1239</v>
      </c>
      <c r="M304" s="31">
        <f>5465</f>
        <v>5465</v>
      </c>
      <c r="N304" s="32" t="s">
        <v>859</v>
      </c>
      <c r="O304" s="31">
        <f>4860</f>
        <v>4860</v>
      </c>
      <c r="P304" s="32" t="s">
        <v>1239</v>
      </c>
      <c r="Q304" s="31">
        <f>5270</f>
        <v>5270</v>
      </c>
      <c r="R304" s="32" t="s">
        <v>755</v>
      </c>
      <c r="S304" s="33">
        <f>5194.5</f>
        <v>5194.5</v>
      </c>
      <c r="T304" s="39">
        <f>322042</f>
        <v>322042</v>
      </c>
      <c r="U304" s="30" t="str">
        <f>"－"</f>
        <v>－</v>
      </c>
      <c r="V304" s="30">
        <f>1670570297</f>
        <v>1670570297</v>
      </c>
      <c r="W304" s="30" t="str">
        <f>"－"</f>
        <v>－</v>
      </c>
      <c r="X304" s="34">
        <f>20</f>
        <v>20</v>
      </c>
    </row>
    <row r="305" spans="1:24">
      <c r="A305" s="25" t="s">
        <v>1254</v>
      </c>
      <c r="B305" s="25" t="s">
        <v>634</v>
      </c>
      <c r="C305" s="25" t="s">
        <v>635</v>
      </c>
      <c r="D305" s="25" t="s">
        <v>636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</v>
      </c>
      <c r="K305" s="31">
        <f>3020</f>
        <v>3020</v>
      </c>
      <c r="L305" s="32" t="s">
        <v>1239</v>
      </c>
      <c r="M305" s="31">
        <f>3321</f>
        <v>3321</v>
      </c>
      <c r="N305" s="32" t="s">
        <v>859</v>
      </c>
      <c r="O305" s="31">
        <f>3000</f>
        <v>3000</v>
      </c>
      <c r="P305" s="32" t="s">
        <v>1240</v>
      </c>
      <c r="Q305" s="31">
        <f>3245</f>
        <v>3245</v>
      </c>
      <c r="R305" s="32" t="s">
        <v>755</v>
      </c>
      <c r="S305" s="33">
        <f>3181.25</f>
        <v>3181.25</v>
      </c>
      <c r="T305" s="39">
        <f>2573631</f>
        <v>2573631</v>
      </c>
      <c r="U305" s="30">
        <f>1111600</f>
        <v>1111600</v>
      </c>
      <c r="V305" s="30">
        <f>8152051764</f>
        <v>8152051764</v>
      </c>
      <c r="W305" s="30">
        <f>3579679372</f>
        <v>3579679372</v>
      </c>
      <c r="X305" s="34">
        <f>20</f>
        <v>20</v>
      </c>
    </row>
    <row r="306" spans="1:24">
      <c r="A306" s="25" t="s">
        <v>1254</v>
      </c>
      <c r="B306" s="25" t="s">
        <v>1158</v>
      </c>
      <c r="C306" s="25" t="s">
        <v>1159</v>
      </c>
      <c r="D306" s="25" t="s">
        <v>1160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</v>
      </c>
      <c r="K306" s="31">
        <f>1987</f>
        <v>1987</v>
      </c>
      <c r="L306" s="32" t="s">
        <v>1239</v>
      </c>
      <c r="M306" s="31">
        <f>2214</f>
        <v>2214</v>
      </c>
      <c r="N306" s="32" t="s">
        <v>859</v>
      </c>
      <c r="O306" s="31">
        <f>1987</f>
        <v>1987</v>
      </c>
      <c r="P306" s="32" t="s">
        <v>1239</v>
      </c>
      <c r="Q306" s="31">
        <f>2197</f>
        <v>2197</v>
      </c>
      <c r="R306" s="32" t="s">
        <v>755</v>
      </c>
      <c r="S306" s="33">
        <f>2115.65</f>
        <v>2115.65</v>
      </c>
      <c r="T306" s="39">
        <f>12406</f>
        <v>12406</v>
      </c>
      <c r="U306" s="30" t="str">
        <f>"－"</f>
        <v>－</v>
      </c>
      <c r="V306" s="30">
        <f>25273025</f>
        <v>25273025</v>
      </c>
      <c r="W306" s="30" t="str">
        <f>"－"</f>
        <v>－</v>
      </c>
      <c r="X306" s="34">
        <f>20</f>
        <v>20</v>
      </c>
    </row>
    <row r="307" spans="1:24">
      <c r="A307" s="25" t="s">
        <v>1254</v>
      </c>
      <c r="B307" s="25" t="s">
        <v>1161</v>
      </c>
      <c r="C307" s="25" t="s">
        <v>1162</v>
      </c>
      <c r="D307" s="25" t="s">
        <v>1163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</v>
      </c>
      <c r="K307" s="31">
        <f>1979</f>
        <v>1979</v>
      </c>
      <c r="L307" s="32" t="s">
        <v>1239</v>
      </c>
      <c r="M307" s="31">
        <f>2053</f>
        <v>2053</v>
      </c>
      <c r="N307" s="32" t="s">
        <v>1211</v>
      </c>
      <c r="O307" s="31">
        <f>1969</f>
        <v>1969</v>
      </c>
      <c r="P307" s="32" t="s">
        <v>850</v>
      </c>
      <c r="Q307" s="31">
        <f>2004</f>
        <v>2004</v>
      </c>
      <c r="R307" s="32" t="s">
        <v>755</v>
      </c>
      <c r="S307" s="33">
        <f>1989.5</f>
        <v>1989.5</v>
      </c>
      <c r="T307" s="39">
        <f>49953</f>
        <v>49953</v>
      </c>
      <c r="U307" s="30" t="str">
        <f>"－"</f>
        <v>－</v>
      </c>
      <c r="V307" s="30">
        <f>98803156</f>
        <v>98803156</v>
      </c>
      <c r="W307" s="30" t="str">
        <f>"－"</f>
        <v>－</v>
      </c>
      <c r="X307" s="34">
        <f>20</f>
        <v>20</v>
      </c>
    </row>
    <row r="308" spans="1:24">
      <c r="A308" s="25" t="s">
        <v>1254</v>
      </c>
      <c r="B308" s="25" t="s">
        <v>637</v>
      </c>
      <c r="C308" s="25" t="s">
        <v>638</v>
      </c>
      <c r="D308" s="25" t="s">
        <v>639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10</v>
      </c>
      <c r="K308" s="31">
        <f>330.6</f>
        <v>330.6</v>
      </c>
      <c r="L308" s="32" t="s">
        <v>1239</v>
      </c>
      <c r="M308" s="31">
        <f>341.1</f>
        <v>341.1</v>
      </c>
      <c r="N308" s="32" t="s">
        <v>1211</v>
      </c>
      <c r="O308" s="31">
        <f>327.8</f>
        <v>327.8</v>
      </c>
      <c r="P308" s="32" t="s">
        <v>1212</v>
      </c>
      <c r="Q308" s="31">
        <f>331.8</f>
        <v>331.8</v>
      </c>
      <c r="R308" s="32" t="s">
        <v>755</v>
      </c>
      <c r="S308" s="33">
        <f>333.13</f>
        <v>333.13</v>
      </c>
      <c r="T308" s="39">
        <f>2766750</f>
        <v>2766750</v>
      </c>
      <c r="U308" s="30">
        <f>1500080</f>
        <v>1500080</v>
      </c>
      <c r="V308" s="30">
        <f>928378486</f>
        <v>928378486</v>
      </c>
      <c r="W308" s="30">
        <f>502692064</f>
        <v>502692064</v>
      </c>
      <c r="X308" s="34">
        <f>20</f>
        <v>20</v>
      </c>
    </row>
    <row r="309" spans="1:24">
      <c r="A309" s="25" t="s">
        <v>1254</v>
      </c>
      <c r="B309" s="25" t="s">
        <v>640</v>
      </c>
      <c r="C309" s="25" t="s">
        <v>641</v>
      </c>
      <c r="D309" s="25" t="s">
        <v>642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1126</f>
        <v>1126</v>
      </c>
      <c r="L309" s="32" t="s">
        <v>1239</v>
      </c>
      <c r="M309" s="31">
        <f>1128</f>
        <v>1128</v>
      </c>
      <c r="N309" s="32" t="s">
        <v>1239</v>
      </c>
      <c r="O309" s="31">
        <f>1054</f>
        <v>1054</v>
      </c>
      <c r="P309" s="32" t="s">
        <v>850</v>
      </c>
      <c r="Q309" s="31">
        <f>1087</f>
        <v>1087</v>
      </c>
      <c r="R309" s="32" t="s">
        <v>755</v>
      </c>
      <c r="S309" s="33">
        <f>1087.5</f>
        <v>1087.5</v>
      </c>
      <c r="T309" s="39">
        <f>18819479</f>
        <v>18819479</v>
      </c>
      <c r="U309" s="30">
        <f>118132</f>
        <v>118132</v>
      </c>
      <c r="V309" s="30">
        <f>20387041412</f>
        <v>20387041412</v>
      </c>
      <c r="W309" s="30">
        <f>128024687</f>
        <v>128024687</v>
      </c>
      <c r="X309" s="34">
        <f>20</f>
        <v>20</v>
      </c>
    </row>
    <row r="310" spans="1:24">
      <c r="A310" s="25" t="s">
        <v>1254</v>
      </c>
      <c r="B310" s="25" t="s">
        <v>643</v>
      </c>
      <c r="C310" s="25" t="s">
        <v>644</v>
      </c>
      <c r="D310" s="25" t="s">
        <v>645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</v>
      </c>
      <c r="K310" s="31">
        <f>1687</f>
        <v>1687</v>
      </c>
      <c r="L310" s="32" t="s">
        <v>1239</v>
      </c>
      <c r="M310" s="31">
        <f>1698</f>
        <v>1698</v>
      </c>
      <c r="N310" s="32" t="s">
        <v>851</v>
      </c>
      <c r="O310" s="31">
        <f>1676</f>
        <v>1676</v>
      </c>
      <c r="P310" s="32" t="s">
        <v>852</v>
      </c>
      <c r="Q310" s="31">
        <f>1695</f>
        <v>1695</v>
      </c>
      <c r="R310" s="32" t="s">
        <v>755</v>
      </c>
      <c r="S310" s="33">
        <f>1690.45</f>
        <v>1690.45</v>
      </c>
      <c r="T310" s="39">
        <f>9189</f>
        <v>9189</v>
      </c>
      <c r="U310" s="30" t="str">
        <f>"－"</f>
        <v>－</v>
      </c>
      <c r="V310" s="30">
        <f>15517497</f>
        <v>15517497</v>
      </c>
      <c r="W310" s="30" t="str">
        <f>"－"</f>
        <v>－</v>
      </c>
      <c r="X310" s="34">
        <f>20</f>
        <v>20</v>
      </c>
    </row>
    <row r="311" spans="1:24">
      <c r="A311" s="25" t="s">
        <v>1254</v>
      </c>
      <c r="B311" s="25" t="s">
        <v>646</v>
      </c>
      <c r="C311" s="25" t="s">
        <v>647</v>
      </c>
      <c r="D311" s="25" t="s">
        <v>648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2030</f>
        <v>2030</v>
      </c>
      <c r="L311" s="32" t="s">
        <v>1239</v>
      </c>
      <c r="M311" s="31">
        <f>2057</f>
        <v>2057</v>
      </c>
      <c r="N311" s="32" t="s">
        <v>1206</v>
      </c>
      <c r="O311" s="31">
        <f>2019</f>
        <v>2019</v>
      </c>
      <c r="P311" s="32" t="s">
        <v>851</v>
      </c>
      <c r="Q311" s="31">
        <f>2047</f>
        <v>2047</v>
      </c>
      <c r="R311" s="32" t="s">
        <v>755</v>
      </c>
      <c r="S311" s="33">
        <f>2034.05</f>
        <v>2034.05</v>
      </c>
      <c r="T311" s="39">
        <f>1087544</f>
        <v>1087544</v>
      </c>
      <c r="U311" s="30">
        <f>1080000</f>
        <v>1080000</v>
      </c>
      <c r="V311" s="30">
        <f>2214024064</f>
        <v>2214024064</v>
      </c>
      <c r="W311" s="30">
        <f>2198681850</f>
        <v>2198681850</v>
      </c>
      <c r="X311" s="34">
        <f>20</f>
        <v>20</v>
      </c>
    </row>
    <row r="312" spans="1:24">
      <c r="A312" s="25" t="s">
        <v>1254</v>
      </c>
      <c r="B312" s="25" t="s">
        <v>649</v>
      </c>
      <c r="C312" s="25" t="s">
        <v>650</v>
      </c>
      <c r="D312" s="25" t="s">
        <v>920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3635</f>
        <v>3635</v>
      </c>
      <c r="L312" s="32" t="s">
        <v>1239</v>
      </c>
      <c r="M312" s="31">
        <f>3869</f>
        <v>3869</v>
      </c>
      <c r="N312" s="32" t="s">
        <v>1211</v>
      </c>
      <c r="O312" s="31">
        <f>3620</f>
        <v>3620</v>
      </c>
      <c r="P312" s="32" t="s">
        <v>1239</v>
      </c>
      <c r="Q312" s="31">
        <f>3826</f>
        <v>3826</v>
      </c>
      <c r="R312" s="32" t="s">
        <v>755</v>
      </c>
      <c r="S312" s="33">
        <f>3766.8</f>
        <v>3766.8</v>
      </c>
      <c r="T312" s="39">
        <f>752045</f>
        <v>752045</v>
      </c>
      <c r="U312" s="30">
        <f>206692</f>
        <v>206692</v>
      </c>
      <c r="V312" s="30">
        <f>2837130434</f>
        <v>2837130434</v>
      </c>
      <c r="W312" s="30">
        <f>777481468</f>
        <v>777481468</v>
      </c>
      <c r="X312" s="34">
        <f>20</f>
        <v>20</v>
      </c>
    </row>
    <row r="313" spans="1:24">
      <c r="A313" s="25" t="s">
        <v>1254</v>
      </c>
      <c r="B313" s="25" t="s">
        <v>651</v>
      </c>
      <c r="C313" s="25" t="s">
        <v>652</v>
      </c>
      <c r="D313" s="25" t="s">
        <v>921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2672</f>
        <v>2672</v>
      </c>
      <c r="L313" s="32" t="s">
        <v>1239</v>
      </c>
      <c r="M313" s="31">
        <f>2820</f>
        <v>2820</v>
      </c>
      <c r="N313" s="32" t="s">
        <v>859</v>
      </c>
      <c r="O313" s="31">
        <f>2665</f>
        <v>2665</v>
      </c>
      <c r="P313" s="32" t="s">
        <v>1239</v>
      </c>
      <c r="Q313" s="31">
        <f>2819</f>
        <v>2819</v>
      </c>
      <c r="R313" s="32" t="s">
        <v>755</v>
      </c>
      <c r="S313" s="33">
        <f>2743.3</f>
        <v>2743.3</v>
      </c>
      <c r="T313" s="39">
        <f>2181705</f>
        <v>2181705</v>
      </c>
      <c r="U313" s="30">
        <f>2011500</f>
        <v>2011500</v>
      </c>
      <c r="V313" s="30">
        <f>5943900052</f>
        <v>5943900052</v>
      </c>
      <c r="W313" s="30">
        <f>5474072150</f>
        <v>5474072150</v>
      </c>
      <c r="X313" s="34">
        <f>20</f>
        <v>20</v>
      </c>
    </row>
    <row r="314" spans="1:24">
      <c r="A314" s="25" t="s">
        <v>1254</v>
      </c>
      <c r="B314" s="25" t="s">
        <v>653</v>
      </c>
      <c r="C314" s="25" t="s">
        <v>654</v>
      </c>
      <c r="D314" s="25" t="s">
        <v>655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2592</f>
        <v>2592</v>
      </c>
      <c r="L314" s="32" t="s">
        <v>1239</v>
      </c>
      <c r="M314" s="31">
        <f>2724</f>
        <v>2724</v>
      </c>
      <c r="N314" s="32" t="s">
        <v>859</v>
      </c>
      <c r="O314" s="31">
        <f>2592</f>
        <v>2592</v>
      </c>
      <c r="P314" s="32" t="s">
        <v>1239</v>
      </c>
      <c r="Q314" s="31">
        <f>2707</f>
        <v>2707</v>
      </c>
      <c r="R314" s="32" t="s">
        <v>755</v>
      </c>
      <c r="S314" s="33">
        <f>2650.45</f>
        <v>2650.45</v>
      </c>
      <c r="T314" s="39">
        <f>49846</f>
        <v>49846</v>
      </c>
      <c r="U314" s="30" t="str">
        <f>"－"</f>
        <v>－</v>
      </c>
      <c r="V314" s="30">
        <f>131959516</f>
        <v>131959516</v>
      </c>
      <c r="W314" s="30" t="str">
        <f>"－"</f>
        <v>－</v>
      </c>
      <c r="X314" s="34">
        <f>20</f>
        <v>20</v>
      </c>
    </row>
    <row r="315" spans="1:24">
      <c r="A315" s="25" t="s">
        <v>1254</v>
      </c>
      <c r="B315" s="25" t="s">
        <v>656</v>
      </c>
      <c r="C315" s="25" t="s">
        <v>657</v>
      </c>
      <c r="D315" s="25" t="s">
        <v>658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1469</f>
        <v>1469</v>
      </c>
      <c r="L315" s="32" t="s">
        <v>1239</v>
      </c>
      <c r="M315" s="31">
        <f>1561</f>
        <v>1561</v>
      </c>
      <c r="N315" s="32" t="s">
        <v>852</v>
      </c>
      <c r="O315" s="31">
        <f>1469</f>
        <v>1469</v>
      </c>
      <c r="P315" s="32" t="s">
        <v>1239</v>
      </c>
      <c r="Q315" s="31">
        <f>1536</f>
        <v>1536</v>
      </c>
      <c r="R315" s="32" t="s">
        <v>755</v>
      </c>
      <c r="S315" s="33">
        <f>1517.55</f>
        <v>1517.55</v>
      </c>
      <c r="T315" s="39">
        <f>32811</f>
        <v>32811</v>
      </c>
      <c r="U315" s="30" t="str">
        <f>"－"</f>
        <v>－</v>
      </c>
      <c r="V315" s="30">
        <f>49727448</f>
        <v>49727448</v>
      </c>
      <c r="W315" s="30" t="str">
        <f>"－"</f>
        <v>－</v>
      </c>
      <c r="X315" s="34">
        <f>20</f>
        <v>20</v>
      </c>
    </row>
    <row r="316" spans="1:24">
      <c r="A316" s="25" t="s">
        <v>1254</v>
      </c>
      <c r="B316" s="25" t="s">
        <v>666</v>
      </c>
      <c r="C316" s="25" t="s">
        <v>667</v>
      </c>
      <c r="D316" s="25" t="s">
        <v>668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1959</f>
        <v>1959</v>
      </c>
      <c r="L316" s="32" t="s">
        <v>1239</v>
      </c>
      <c r="M316" s="31">
        <f>2050</f>
        <v>2050</v>
      </c>
      <c r="N316" s="32" t="s">
        <v>1211</v>
      </c>
      <c r="O316" s="31">
        <f>1888</f>
        <v>1888</v>
      </c>
      <c r="P316" s="32" t="s">
        <v>1075</v>
      </c>
      <c r="Q316" s="31">
        <f>1908</f>
        <v>1908</v>
      </c>
      <c r="R316" s="32" t="s">
        <v>755</v>
      </c>
      <c r="S316" s="33">
        <f>1952.7</f>
        <v>1952.7</v>
      </c>
      <c r="T316" s="39">
        <f>109597</f>
        <v>109597</v>
      </c>
      <c r="U316" s="30" t="str">
        <f>"－"</f>
        <v>－</v>
      </c>
      <c r="V316" s="30">
        <f>216366953</f>
        <v>216366953</v>
      </c>
      <c r="W316" s="30" t="str">
        <f>"－"</f>
        <v>－</v>
      </c>
      <c r="X316" s="34">
        <f>20</f>
        <v>20</v>
      </c>
    </row>
    <row r="317" spans="1:24">
      <c r="A317" s="25" t="s">
        <v>1254</v>
      </c>
      <c r="B317" s="25" t="s">
        <v>669</v>
      </c>
      <c r="C317" s="25" t="s">
        <v>670</v>
      </c>
      <c r="D317" s="25" t="s">
        <v>671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2620</f>
        <v>2620</v>
      </c>
      <c r="L317" s="32" t="s">
        <v>1239</v>
      </c>
      <c r="M317" s="31">
        <f>2977</f>
        <v>2977</v>
      </c>
      <c r="N317" s="32" t="s">
        <v>1080</v>
      </c>
      <c r="O317" s="31">
        <f>2600</f>
        <v>2600</v>
      </c>
      <c r="P317" s="32" t="s">
        <v>1239</v>
      </c>
      <c r="Q317" s="31">
        <f>2769</f>
        <v>2769</v>
      </c>
      <c r="R317" s="32" t="s">
        <v>755</v>
      </c>
      <c r="S317" s="33">
        <f>2785.1</f>
        <v>2785.1</v>
      </c>
      <c r="T317" s="39">
        <f>74950</f>
        <v>74950</v>
      </c>
      <c r="U317" s="30" t="str">
        <f>"－"</f>
        <v>－</v>
      </c>
      <c r="V317" s="30">
        <f>202941250</f>
        <v>202941250</v>
      </c>
      <c r="W317" s="30" t="str">
        <f>"－"</f>
        <v>－</v>
      </c>
      <c r="X317" s="34">
        <f>20</f>
        <v>20</v>
      </c>
    </row>
    <row r="318" spans="1:24">
      <c r="A318" s="25" t="s">
        <v>1254</v>
      </c>
      <c r="B318" s="25" t="s">
        <v>672</v>
      </c>
      <c r="C318" s="25" t="s">
        <v>673</v>
      </c>
      <c r="D318" s="25" t="s">
        <v>674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12305</f>
        <v>12305</v>
      </c>
      <c r="L318" s="32" t="s">
        <v>1239</v>
      </c>
      <c r="M318" s="31">
        <f>13145</f>
        <v>13145</v>
      </c>
      <c r="N318" s="32" t="s">
        <v>859</v>
      </c>
      <c r="O318" s="31">
        <f>12210</f>
        <v>12210</v>
      </c>
      <c r="P318" s="32" t="s">
        <v>1239</v>
      </c>
      <c r="Q318" s="31">
        <f>12925</f>
        <v>12925</v>
      </c>
      <c r="R318" s="32" t="s">
        <v>755</v>
      </c>
      <c r="S318" s="33">
        <f>12760</f>
        <v>12760</v>
      </c>
      <c r="T318" s="39">
        <f>1126730</f>
        <v>1126730</v>
      </c>
      <c r="U318" s="30">
        <f>963230</f>
        <v>963230</v>
      </c>
      <c r="V318" s="30">
        <f>14330965248</f>
        <v>14330965248</v>
      </c>
      <c r="W318" s="30">
        <f>12234270158</f>
        <v>12234270158</v>
      </c>
      <c r="X318" s="34">
        <f>20</f>
        <v>20</v>
      </c>
    </row>
    <row r="319" spans="1:24">
      <c r="A319" s="25" t="s">
        <v>1254</v>
      </c>
      <c r="B319" s="25" t="s">
        <v>675</v>
      </c>
      <c r="C319" s="25" t="s">
        <v>676</v>
      </c>
      <c r="D319" s="25" t="s">
        <v>677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20340</f>
        <v>20340</v>
      </c>
      <c r="L319" s="32" t="s">
        <v>1239</v>
      </c>
      <c r="M319" s="31">
        <f>22825</f>
        <v>22825</v>
      </c>
      <c r="N319" s="32" t="s">
        <v>859</v>
      </c>
      <c r="O319" s="31">
        <f>20305</f>
        <v>20305</v>
      </c>
      <c r="P319" s="32" t="s">
        <v>1239</v>
      </c>
      <c r="Q319" s="31">
        <f>22065</f>
        <v>22065</v>
      </c>
      <c r="R319" s="32" t="s">
        <v>755</v>
      </c>
      <c r="S319" s="33">
        <f>21670.5</f>
        <v>21670.5</v>
      </c>
      <c r="T319" s="39">
        <f>205145</f>
        <v>205145</v>
      </c>
      <c r="U319" s="30">
        <f>20025</f>
        <v>20025</v>
      </c>
      <c r="V319" s="30">
        <f>4461193950</f>
        <v>4461193950</v>
      </c>
      <c r="W319" s="30">
        <f>455089090</f>
        <v>455089090</v>
      </c>
      <c r="X319" s="34">
        <f>20</f>
        <v>20</v>
      </c>
    </row>
    <row r="320" spans="1:24">
      <c r="A320" s="25" t="s">
        <v>1254</v>
      </c>
      <c r="B320" s="25" t="s">
        <v>678</v>
      </c>
      <c r="C320" s="25" t="s">
        <v>679</v>
      </c>
      <c r="D320" s="25" t="s">
        <v>680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12620</f>
        <v>12620</v>
      </c>
      <c r="L320" s="32" t="s">
        <v>1239</v>
      </c>
      <c r="M320" s="31">
        <f>13870</f>
        <v>13870</v>
      </c>
      <c r="N320" s="32" t="s">
        <v>859</v>
      </c>
      <c r="O320" s="31">
        <f>12520</f>
        <v>12520</v>
      </c>
      <c r="P320" s="32" t="s">
        <v>1240</v>
      </c>
      <c r="Q320" s="31">
        <f>13555</f>
        <v>13555</v>
      </c>
      <c r="R320" s="32" t="s">
        <v>755</v>
      </c>
      <c r="S320" s="33">
        <f>13293.5</f>
        <v>13293.5</v>
      </c>
      <c r="T320" s="39">
        <f>619385</f>
        <v>619385</v>
      </c>
      <c r="U320" s="30">
        <f>486009</f>
        <v>486009</v>
      </c>
      <c r="V320" s="30">
        <f>8231886914</f>
        <v>8231886914</v>
      </c>
      <c r="W320" s="30">
        <f>6488945429</f>
        <v>6488945429</v>
      </c>
      <c r="X320" s="34">
        <f>20</f>
        <v>20</v>
      </c>
    </row>
    <row r="321" spans="1:24">
      <c r="A321" s="25" t="s">
        <v>1254</v>
      </c>
      <c r="B321" s="25" t="s">
        <v>681</v>
      </c>
      <c r="C321" s="25" t="s">
        <v>682</v>
      </c>
      <c r="D321" s="25" t="s">
        <v>683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10</v>
      </c>
      <c r="K321" s="31">
        <f>370.1</f>
        <v>370.1</v>
      </c>
      <c r="L321" s="32" t="s">
        <v>1239</v>
      </c>
      <c r="M321" s="31">
        <f>403.9</f>
        <v>403.9</v>
      </c>
      <c r="N321" s="32" t="s">
        <v>859</v>
      </c>
      <c r="O321" s="31">
        <f>370</f>
        <v>370</v>
      </c>
      <c r="P321" s="32" t="s">
        <v>1239</v>
      </c>
      <c r="Q321" s="31">
        <f>392.1</f>
        <v>392.1</v>
      </c>
      <c r="R321" s="32" t="s">
        <v>755</v>
      </c>
      <c r="S321" s="33">
        <f>388.75</f>
        <v>388.75</v>
      </c>
      <c r="T321" s="39">
        <f>6049750</f>
        <v>6049750</v>
      </c>
      <c r="U321" s="30">
        <f>2166080</f>
        <v>2166080</v>
      </c>
      <c r="V321" s="30">
        <f>2362477462</f>
        <v>2362477462</v>
      </c>
      <c r="W321" s="30">
        <f>854302464</f>
        <v>854302464</v>
      </c>
      <c r="X321" s="34">
        <f>20</f>
        <v>20</v>
      </c>
    </row>
    <row r="322" spans="1:24">
      <c r="A322" s="25" t="s">
        <v>1254</v>
      </c>
      <c r="B322" s="25" t="s">
        <v>684</v>
      </c>
      <c r="C322" s="25" t="s">
        <v>685</v>
      </c>
      <c r="D322" s="25" t="s">
        <v>686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10</v>
      </c>
      <c r="K322" s="31">
        <f>2400.5</f>
        <v>2400.5</v>
      </c>
      <c r="L322" s="32" t="s">
        <v>1239</v>
      </c>
      <c r="M322" s="31">
        <f>2584</f>
        <v>2584</v>
      </c>
      <c r="N322" s="32" t="s">
        <v>859</v>
      </c>
      <c r="O322" s="31">
        <f>2400.5</f>
        <v>2400.5</v>
      </c>
      <c r="P322" s="32" t="s">
        <v>1239</v>
      </c>
      <c r="Q322" s="31">
        <f>2546</f>
        <v>2546</v>
      </c>
      <c r="R322" s="32" t="s">
        <v>755</v>
      </c>
      <c r="S322" s="33">
        <f>2505.58</f>
        <v>2505.58</v>
      </c>
      <c r="T322" s="39">
        <f>1833490</f>
        <v>1833490</v>
      </c>
      <c r="U322" s="30">
        <f>1432870</f>
        <v>1432870</v>
      </c>
      <c r="V322" s="30">
        <f>4640026560</f>
        <v>4640026560</v>
      </c>
      <c r="W322" s="30">
        <f>3634199725</f>
        <v>3634199725</v>
      </c>
      <c r="X322" s="34">
        <f>20</f>
        <v>20</v>
      </c>
    </row>
    <row r="323" spans="1:24">
      <c r="A323" s="25" t="s">
        <v>1254</v>
      </c>
      <c r="B323" s="25" t="s">
        <v>687</v>
      </c>
      <c r="C323" s="25" t="s">
        <v>1216</v>
      </c>
      <c r="D323" s="25" t="s">
        <v>1215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3766</f>
        <v>3766</v>
      </c>
      <c r="L323" s="32" t="s">
        <v>1239</v>
      </c>
      <c r="M323" s="31">
        <f>4051</f>
        <v>4051</v>
      </c>
      <c r="N323" s="32" t="s">
        <v>859</v>
      </c>
      <c r="O323" s="31">
        <f>3756</f>
        <v>3756</v>
      </c>
      <c r="P323" s="32" t="s">
        <v>1079</v>
      </c>
      <c r="Q323" s="31">
        <f>3948</f>
        <v>3948</v>
      </c>
      <c r="R323" s="32" t="s">
        <v>755</v>
      </c>
      <c r="S323" s="33">
        <f>3917.8</f>
        <v>3917.8</v>
      </c>
      <c r="T323" s="39">
        <f>90300</f>
        <v>90300</v>
      </c>
      <c r="U323" s="30" t="str">
        <f>"－"</f>
        <v>－</v>
      </c>
      <c r="V323" s="30">
        <f>346033790</f>
        <v>346033790</v>
      </c>
      <c r="W323" s="30" t="str">
        <f>"－"</f>
        <v>－</v>
      </c>
      <c r="X323" s="34">
        <f>20</f>
        <v>20</v>
      </c>
    </row>
    <row r="324" spans="1:24">
      <c r="A324" s="25" t="s">
        <v>1254</v>
      </c>
      <c r="B324" s="25" t="s">
        <v>690</v>
      </c>
      <c r="C324" s="25" t="s">
        <v>691</v>
      </c>
      <c r="D324" s="25" t="s">
        <v>692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</v>
      </c>
      <c r="K324" s="31">
        <f>3235</f>
        <v>3235</v>
      </c>
      <c r="L324" s="32" t="s">
        <v>1239</v>
      </c>
      <c r="M324" s="31">
        <f>3400</f>
        <v>3400</v>
      </c>
      <c r="N324" s="32" t="s">
        <v>1080</v>
      </c>
      <c r="O324" s="31">
        <f>3235</f>
        <v>3235</v>
      </c>
      <c r="P324" s="32" t="s">
        <v>1239</v>
      </c>
      <c r="Q324" s="31">
        <f>3400</f>
        <v>3400</v>
      </c>
      <c r="R324" s="32" t="s">
        <v>755</v>
      </c>
      <c r="S324" s="33">
        <f>3312.55</f>
        <v>3312.55</v>
      </c>
      <c r="T324" s="39">
        <f>5622</f>
        <v>5622</v>
      </c>
      <c r="U324" s="30">
        <f>500</f>
        <v>500</v>
      </c>
      <c r="V324" s="30">
        <f>18637062</f>
        <v>18637062</v>
      </c>
      <c r="W324" s="30">
        <f>1684000</f>
        <v>1684000</v>
      </c>
      <c r="X324" s="34">
        <f>20</f>
        <v>20</v>
      </c>
    </row>
    <row r="325" spans="1:24">
      <c r="A325" s="25" t="s">
        <v>1254</v>
      </c>
      <c r="B325" s="25" t="s">
        <v>693</v>
      </c>
      <c r="C325" s="25" t="s">
        <v>1007</v>
      </c>
      <c r="D325" s="25" t="s">
        <v>1006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</v>
      </c>
      <c r="K325" s="31">
        <f>1370</f>
        <v>1370</v>
      </c>
      <c r="L325" s="32" t="s">
        <v>1239</v>
      </c>
      <c r="M325" s="31">
        <f>1457</f>
        <v>1457</v>
      </c>
      <c r="N325" s="32" t="s">
        <v>1211</v>
      </c>
      <c r="O325" s="31">
        <f>1352</f>
        <v>1352</v>
      </c>
      <c r="P325" s="32" t="s">
        <v>1239</v>
      </c>
      <c r="Q325" s="31">
        <f>1426</f>
        <v>1426</v>
      </c>
      <c r="R325" s="32" t="s">
        <v>755</v>
      </c>
      <c r="S325" s="33">
        <f>1409.75</f>
        <v>1409.75</v>
      </c>
      <c r="T325" s="39">
        <f>24460</f>
        <v>24460</v>
      </c>
      <c r="U325" s="30" t="str">
        <f>"－"</f>
        <v>－</v>
      </c>
      <c r="V325" s="30">
        <f>34224368</f>
        <v>34224368</v>
      </c>
      <c r="W325" s="30" t="str">
        <f>"－"</f>
        <v>－</v>
      </c>
      <c r="X325" s="34">
        <f>20</f>
        <v>20</v>
      </c>
    </row>
    <row r="326" spans="1:24">
      <c r="A326" s="25" t="s">
        <v>1254</v>
      </c>
      <c r="B326" s="25" t="s">
        <v>694</v>
      </c>
      <c r="C326" s="25" t="s">
        <v>695</v>
      </c>
      <c r="D326" s="25" t="s">
        <v>696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1903</f>
        <v>1903</v>
      </c>
      <c r="L326" s="32" t="s">
        <v>1239</v>
      </c>
      <c r="M326" s="31">
        <f>2087</f>
        <v>2087</v>
      </c>
      <c r="N326" s="32" t="s">
        <v>859</v>
      </c>
      <c r="O326" s="31">
        <f>1897</f>
        <v>1897</v>
      </c>
      <c r="P326" s="32" t="s">
        <v>1239</v>
      </c>
      <c r="Q326" s="31">
        <f>2081</f>
        <v>2081</v>
      </c>
      <c r="R326" s="32" t="s">
        <v>755</v>
      </c>
      <c r="S326" s="33">
        <f>2011.75</f>
        <v>2011.75</v>
      </c>
      <c r="T326" s="39">
        <f>75261</f>
        <v>75261</v>
      </c>
      <c r="U326" s="30">
        <f>50</f>
        <v>50</v>
      </c>
      <c r="V326" s="30">
        <f>150823992</f>
        <v>150823992</v>
      </c>
      <c r="W326" s="30">
        <f>99455</f>
        <v>99455</v>
      </c>
      <c r="X326" s="34">
        <f>20</f>
        <v>20</v>
      </c>
    </row>
    <row r="327" spans="1:24">
      <c r="A327" s="25" t="s">
        <v>1254</v>
      </c>
      <c r="B327" s="25" t="s">
        <v>697</v>
      </c>
      <c r="C327" s="25" t="s">
        <v>698</v>
      </c>
      <c r="D327" s="25" t="s">
        <v>699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1586</f>
        <v>1586</v>
      </c>
      <c r="L327" s="32" t="s">
        <v>1239</v>
      </c>
      <c r="M327" s="31">
        <f>1648</f>
        <v>1648</v>
      </c>
      <c r="N327" s="32" t="s">
        <v>755</v>
      </c>
      <c r="O327" s="31">
        <f>1559</f>
        <v>1559</v>
      </c>
      <c r="P327" s="32" t="s">
        <v>851</v>
      </c>
      <c r="Q327" s="31">
        <f>1615</f>
        <v>1615</v>
      </c>
      <c r="R327" s="32" t="s">
        <v>755</v>
      </c>
      <c r="S327" s="33">
        <f>1594.6</f>
        <v>1594.6</v>
      </c>
      <c r="T327" s="39">
        <f>12925</f>
        <v>12925</v>
      </c>
      <c r="U327" s="30" t="str">
        <f>"－"</f>
        <v>－</v>
      </c>
      <c r="V327" s="30">
        <f>20714596</f>
        <v>20714596</v>
      </c>
      <c r="W327" s="30" t="str">
        <f>"－"</f>
        <v>－</v>
      </c>
      <c r="X327" s="34">
        <f>20</f>
        <v>20</v>
      </c>
    </row>
    <row r="328" spans="1:24">
      <c r="A328" s="25" t="s">
        <v>1254</v>
      </c>
      <c r="B328" s="25" t="s">
        <v>700</v>
      </c>
      <c r="C328" s="25" t="s">
        <v>701</v>
      </c>
      <c r="D328" s="25" t="s">
        <v>702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4245</f>
        <v>4245</v>
      </c>
      <c r="L328" s="32" t="s">
        <v>1239</v>
      </c>
      <c r="M328" s="31">
        <f>4363</f>
        <v>4363</v>
      </c>
      <c r="N328" s="32" t="s">
        <v>1078</v>
      </c>
      <c r="O328" s="31">
        <f>4118</f>
        <v>4118</v>
      </c>
      <c r="P328" s="32" t="s">
        <v>851</v>
      </c>
      <c r="Q328" s="31">
        <f>4287</f>
        <v>4287</v>
      </c>
      <c r="R328" s="32" t="s">
        <v>755</v>
      </c>
      <c r="S328" s="33">
        <f>4234.95</f>
        <v>4234.95</v>
      </c>
      <c r="T328" s="39">
        <f>246226</f>
        <v>246226</v>
      </c>
      <c r="U328" s="30">
        <f>4558</f>
        <v>4558</v>
      </c>
      <c r="V328" s="30">
        <f>1041732507</f>
        <v>1041732507</v>
      </c>
      <c r="W328" s="30">
        <f>19614524</f>
        <v>19614524</v>
      </c>
      <c r="X328" s="34">
        <f>20</f>
        <v>20</v>
      </c>
    </row>
    <row r="329" spans="1:24">
      <c r="A329" s="25" t="s">
        <v>1254</v>
      </c>
      <c r="B329" s="25" t="s">
        <v>703</v>
      </c>
      <c r="C329" s="25" t="s">
        <v>1005</v>
      </c>
      <c r="D329" s="25" t="s">
        <v>1004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3215</f>
        <v>3215</v>
      </c>
      <c r="L329" s="32" t="s">
        <v>1239</v>
      </c>
      <c r="M329" s="31">
        <f>3413</f>
        <v>3413</v>
      </c>
      <c r="N329" s="32" t="s">
        <v>859</v>
      </c>
      <c r="O329" s="31">
        <f>3215</f>
        <v>3215</v>
      </c>
      <c r="P329" s="32" t="s">
        <v>1239</v>
      </c>
      <c r="Q329" s="31">
        <f>3400</f>
        <v>3400</v>
      </c>
      <c r="R329" s="32" t="s">
        <v>755</v>
      </c>
      <c r="S329" s="33">
        <f>3294.15</f>
        <v>3294.15</v>
      </c>
      <c r="T329" s="39">
        <f>97777</f>
        <v>97777</v>
      </c>
      <c r="U329" s="30">
        <f>261</f>
        <v>261</v>
      </c>
      <c r="V329" s="30">
        <f>320505979</f>
        <v>320505979</v>
      </c>
      <c r="W329" s="30">
        <f>867152</f>
        <v>867152</v>
      </c>
      <c r="X329" s="34">
        <f>20</f>
        <v>20</v>
      </c>
    </row>
    <row r="330" spans="1:24">
      <c r="A330" s="25" t="s">
        <v>1254</v>
      </c>
      <c r="B330" s="25" t="s">
        <v>704</v>
      </c>
      <c r="C330" s="25" t="s">
        <v>705</v>
      </c>
      <c r="D330" s="25" t="s">
        <v>706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36140</f>
        <v>36140</v>
      </c>
      <c r="L330" s="32" t="s">
        <v>1239</v>
      </c>
      <c r="M330" s="31">
        <f>37570</f>
        <v>37570</v>
      </c>
      <c r="N330" s="32" t="s">
        <v>859</v>
      </c>
      <c r="O330" s="31">
        <f>36130</f>
        <v>36130</v>
      </c>
      <c r="P330" s="32" t="s">
        <v>1077</v>
      </c>
      <c r="Q330" s="31">
        <f>37480</f>
        <v>37480</v>
      </c>
      <c r="R330" s="32" t="s">
        <v>755</v>
      </c>
      <c r="S330" s="33">
        <f>36771.11</f>
        <v>36771.11</v>
      </c>
      <c r="T330" s="39">
        <f>21</f>
        <v>21</v>
      </c>
      <c r="U330" s="30" t="str">
        <f>"－"</f>
        <v>－</v>
      </c>
      <c r="V330" s="30">
        <f>772030</f>
        <v>772030</v>
      </c>
      <c r="W330" s="30" t="str">
        <f>"－"</f>
        <v>－</v>
      </c>
      <c r="X330" s="34">
        <f>18</f>
        <v>18</v>
      </c>
    </row>
    <row r="331" spans="1:24">
      <c r="A331" s="25" t="s">
        <v>1254</v>
      </c>
      <c r="B331" s="25" t="s">
        <v>707</v>
      </c>
      <c r="C331" s="25" t="s">
        <v>1214</v>
      </c>
      <c r="D331" s="25" t="s">
        <v>1213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2768</f>
        <v>2768</v>
      </c>
      <c r="L331" s="32" t="s">
        <v>1239</v>
      </c>
      <c r="M331" s="31">
        <f>2900</f>
        <v>2900</v>
      </c>
      <c r="N331" s="32" t="s">
        <v>1211</v>
      </c>
      <c r="O331" s="31">
        <f>2768</f>
        <v>2768</v>
      </c>
      <c r="P331" s="32" t="s">
        <v>1239</v>
      </c>
      <c r="Q331" s="31">
        <f>2893</f>
        <v>2893</v>
      </c>
      <c r="R331" s="32" t="s">
        <v>755</v>
      </c>
      <c r="S331" s="33">
        <f>2821.67</f>
        <v>2821.67</v>
      </c>
      <c r="T331" s="39">
        <f>6733</f>
        <v>6733</v>
      </c>
      <c r="U331" s="30" t="str">
        <f>"－"</f>
        <v>－</v>
      </c>
      <c r="V331" s="30">
        <f>18911270</f>
        <v>18911270</v>
      </c>
      <c r="W331" s="30" t="str">
        <f>"－"</f>
        <v>－</v>
      </c>
      <c r="X331" s="34">
        <f>15</f>
        <v>15</v>
      </c>
    </row>
    <row r="332" spans="1:24">
      <c r="A332" s="25" t="s">
        <v>1254</v>
      </c>
      <c r="B332" s="25" t="s">
        <v>710</v>
      </c>
      <c r="C332" s="25" t="s">
        <v>711</v>
      </c>
      <c r="D332" s="25" t="s">
        <v>712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1493</f>
        <v>1493</v>
      </c>
      <c r="L332" s="32" t="s">
        <v>1239</v>
      </c>
      <c r="M332" s="31">
        <f>1715</f>
        <v>1715</v>
      </c>
      <c r="N332" s="32" t="s">
        <v>1080</v>
      </c>
      <c r="O332" s="31">
        <f>1480</f>
        <v>1480</v>
      </c>
      <c r="P332" s="32" t="s">
        <v>1239</v>
      </c>
      <c r="Q332" s="31">
        <f>1643</f>
        <v>1643</v>
      </c>
      <c r="R332" s="32" t="s">
        <v>755</v>
      </c>
      <c r="S332" s="33">
        <f>1613.65</f>
        <v>1613.65</v>
      </c>
      <c r="T332" s="39">
        <f>9958775</f>
        <v>9958775</v>
      </c>
      <c r="U332" s="30">
        <f>951049</f>
        <v>951049</v>
      </c>
      <c r="V332" s="30">
        <f>16030328299</f>
        <v>16030328299</v>
      </c>
      <c r="W332" s="30">
        <f>1472476058</f>
        <v>1472476058</v>
      </c>
      <c r="X332" s="34">
        <f>20</f>
        <v>20</v>
      </c>
    </row>
    <row r="333" spans="1:24">
      <c r="A333" s="25" t="s">
        <v>1254</v>
      </c>
      <c r="B333" s="25" t="s">
        <v>713</v>
      </c>
      <c r="C333" s="25" t="s">
        <v>714</v>
      </c>
      <c r="D333" s="25" t="s">
        <v>715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2550</f>
        <v>2550</v>
      </c>
      <c r="L333" s="32" t="s">
        <v>1239</v>
      </c>
      <c r="M333" s="31">
        <f>2627</f>
        <v>2627</v>
      </c>
      <c r="N333" s="32" t="s">
        <v>1080</v>
      </c>
      <c r="O333" s="31">
        <f>2497</f>
        <v>2497</v>
      </c>
      <c r="P333" s="32" t="s">
        <v>1240</v>
      </c>
      <c r="Q333" s="31">
        <f>2582</f>
        <v>2582</v>
      </c>
      <c r="R333" s="32" t="s">
        <v>755</v>
      </c>
      <c r="S333" s="33">
        <f>2553.9</f>
        <v>2553.9</v>
      </c>
      <c r="T333" s="39">
        <f>36612</f>
        <v>36612</v>
      </c>
      <c r="U333" s="30" t="str">
        <f>"－"</f>
        <v>－</v>
      </c>
      <c r="V333" s="30">
        <f>92358944</f>
        <v>92358944</v>
      </c>
      <c r="W333" s="30" t="str">
        <f>"－"</f>
        <v>－</v>
      </c>
      <c r="X333" s="34">
        <f>20</f>
        <v>20</v>
      </c>
    </row>
    <row r="334" spans="1:24">
      <c r="A334" s="25" t="s">
        <v>1254</v>
      </c>
      <c r="B334" s="25" t="s">
        <v>716</v>
      </c>
      <c r="C334" s="25" t="s">
        <v>717</v>
      </c>
      <c r="D334" s="25" t="s">
        <v>718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1563</f>
        <v>1563</v>
      </c>
      <c r="L334" s="32" t="s">
        <v>1239</v>
      </c>
      <c r="M334" s="31">
        <f>1657</f>
        <v>1657</v>
      </c>
      <c r="N334" s="32" t="s">
        <v>755</v>
      </c>
      <c r="O334" s="31">
        <f>1561</f>
        <v>1561</v>
      </c>
      <c r="P334" s="32" t="s">
        <v>1239</v>
      </c>
      <c r="Q334" s="31">
        <f>1657</f>
        <v>1657</v>
      </c>
      <c r="R334" s="32" t="s">
        <v>755</v>
      </c>
      <c r="S334" s="33">
        <f>1611.6</f>
        <v>1611.6</v>
      </c>
      <c r="T334" s="39">
        <f>9892</f>
        <v>9892</v>
      </c>
      <c r="U334" s="30" t="str">
        <f>"－"</f>
        <v>－</v>
      </c>
      <c r="V334" s="30">
        <f>15884860</f>
        <v>15884860</v>
      </c>
      <c r="W334" s="30" t="str">
        <f>"－"</f>
        <v>－</v>
      </c>
      <c r="X334" s="34">
        <f>20</f>
        <v>20</v>
      </c>
    </row>
    <row r="335" spans="1:24">
      <c r="A335" s="25" t="s">
        <v>1254</v>
      </c>
      <c r="B335" s="25" t="s">
        <v>719</v>
      </c>
      <c r="C335" s="25" t="s">
        <v>720</v>
      </c>
      <c r="D335" s="25" t="s">
        <v>721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10</v>
      </c>
      <c r="K335" s="31">
        <f>5410</f>
        <v>5410</v>
      </c>
      <c r="L335" s="32" t="s">
        <v>1239</v>
      </c>
      <c r="M335" s="31">
        <f>5512</f>
        <v>5512</v>
      </c>
      <c r="N335" s="32" t="s">
        <v>1240</v>
      </c>
      <c r="O335" s="31">
        <f>5295</f>
        <v>5295</v>
      </c>
      <c r="P335" s="32" t="s">
        <v>850</v>
      </c>
      <c r="Q335" s="31">
        <f>5378</f>
        <v>5378</v>
      </c>
      <c r="R335" s="32" t="s">
        <v>755</v>
      </c>
      <c r="S335" s="33">
        <f>5402.53</f>
        <v>5402.53</v>
      </c>
      <c r="T335" s="39">
        <f>594840</f>
        <v>594840</v>
      </c>
      <c r="U335" s="30">
        <f>594000</f>
        <v>594000</v>
      </c>
      <c r="V335" s="30">
        <f>3244141530</f>
        <v>3244141530</v>
      </c>
      <c r="W335" s="30">
        <f>3239603100</f>
        <v>3239603100</v>
      </c>
      <c r="X335" s="34">
        <f>15</f>
        <v>15</v>
      </c>
    </row>
    <row r="336" spans="1:24">
      <c r="A336" s="25" t="s">
        <v>1254</v>
      </c>
      <c r="B336" s="25" t="s">
        <v>722</v>
      </c>
      <c r="C336" s="25" t="s">
        <v>723</v>
      </c>
      <c r="D336" s="25" t="s">
        <v>724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10</v>
      </c>
      <c r="K336" s="31">
        <f>3606</f>
        <v>3606</v>
      </c>
      <c r="L336" s="32" t="s">
        <v>1239</v>
      </c>
      <c r="M336" s="31">
        <f>3610</f>
        <v>3610</v>
      </c>
      <c r="N336" s="32" t="s">
        <v>1239</v>
      </c>
      <c r="O336" s="31">
        <f>3510</f>
        <v>3510</v>
      </c>
      <c r="P336" s="32" t="s">
        <v>850</v>
      </c>
      <c r="Q336" s="31">
        <f>3553</f>
        <v>3553</v>
      </c>
      <c r="R336" s="32" t="s">
        <v>755</v>
      </c>
      <c r="S336" s="33">
        <f>3547.3</f>
        <v>3547.3</v>
      </c>
      <c r="T336" s="39">
        <f>139270</f>
        <v>139270</v>
      </c>
      <c r="U336" s="30">
        <f>118620</f>
        <v>118620</v>
      </c>
      <c r="V336" s="30">
        <f>494060950</f>
        <v>494060950</v>
      </c>
      <c r="W336" s="30">
        <f>420211100</f>
        <v>420211100</v>
      </c>
      <c r="X336" s="34">
        <f>20</f>
        <v>20</v>
      </c>
    </row>
    <row r="337" spans="1:24">
      <c r="A337" s="25" t="s">
        <v>1254</v>
      </c>
      <c r="B337" s="25" t="s">
        <v>725</v>
      </c>
      <c r="C337" s="25" t="s">
        <v>726</v>
      </c>
      <c r="D337" s="25" t="s">
        <v>727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606.2</f>
        <v>606.20000000000005</v>
      </c>
      <c r="L337" s="32" t="s">
        <v>1239</v>
      </c>
      <c r="M337" s="31">
        <f>614</f>
        <v>614</v>
      </c>
      <c r="N337" s="32" t="s">
        <v>1211</v>
      </c>
      <c r="O337" s="31">
        <f>595.1</f>
        <v>595.1</v>
      </c>
      <c r="P337" s="32" t="s">
        <v>850</v>
      </c>
      <c r="Q337" s="31">
        <f>598.2</f>
        <v>598.20000000000005</v>
      </c>
      <c r="R337" s="32" t="s">
        <v>755</v>
      </c>
      <c r="S337" s="33">
        <f>600.87</f>
        <v>600.87</v>
      </c>
      <c r="T337" s="39">
        <f>5700</f>
        <v>5700</v>
      </c>
      <c r="U337" s="30" t="str">
        <f>"－"</f>
        <v>－</v>
      </c>
      <c r="V337" s="30">
        <f>3417713</f>
        <v>3417713</v>
      </c>
      <c r="W337" s="30" t="str">
        <f>"－"</f>
        <v>－</v>
      </c>
      <c r="X337" s="34">
        <f>18</f>
        <v>18</v>
      </c>
    </row>
    <row r="338" spans="1:24">
      <c r="A338" s="25" t="s">
        <v>1254</v>
      </c>
      <c r="B338" s="25" t="s">
        <v>1166</v>
      </c>
      <c r="C338" s="25" t="s">
        <v>1165</v>
      </c>
      <c r="D338" s="25" t="s">
        <v>1164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</v>
      </c>
      <c r="K338" s="31">
        <f>9165</f>
        <v>9165</v>
      </c>
      <c r="L338" s="32" t="s">
        <v>1239</v>
      </c>
      <c r="M338" s="31">
        <f>9450</f>
        <v>9450</v>
      </c>
      <c r="N338" s="32" t="s">
        <v>1080</v>
      </c>
      <c r="O338" s="31">
        <f>8710</f>
        <v>8710</v>
      </c>
      <c r="P338" s="32" t="s">
        <v>1075</v>
      </c>
      <c r="Q338" s="31">
        <f>8754</f>
        <v>8754</v>
      </c>
      <c r="R338" s="32" t="s">
        <v>755</v>
      </c>
      <c r="S338" s="33">
        <f>9048</f>
        <v>9048</v>
      </c>
      <c r="T338" s="39">
        <f>10305</f>
        <v>10305</v>
      </c>
      <c r="U338" s="30" t="str">
        <f>"－"</f>
        <v>－</v>
      </c>
      <c r="V338" s="30">
        <f>93283620</f>
        <v>93283620</v>
      </c>
      <c r="W338" s="30" t="str">
        <f>"－"</f>
        <v>－</v>
      </c>
      <c r="X338" s="34">
        <f>20</f>
        <v>20</v>
      </c>
    </row>
    <row r="339" spans="1:24">
      <c r="A339" s="25" t="s">
        <v>1254</v>
      </c>
      <c r="B339" s="25" t="s">
        <v>1167</v>
      </c>
      <c r="C339" s="25" t="s">
        <v>1168</v>
      </c>
      <c r="D339" s="25" t="s">
        <v>1169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</v>
      </c>
      <c r="K339" s="31">
        <f>807</f>
        <v>807</v>
      </c>
      <c r="L339" s="32" t="s">
        <v>1239</v>
      </c>
      <c r="M339" s="31">
        <f>930</f>
        <v>930</v>
      </c>
      <c r="N339" s="32" t="s">
        <v>1080</v>
      </c>
      <c r="O339" s="31">
        <f>801</f>
        <v>801</v>
      </c>
      <c r="P339" s="32" t="s">
        <v>1239</v>
      </c>
      <c r="Q339" s="31">
        <f>893</f>
        <v>893</v>
      </c>
      <c r="R339" s="32" t="s">
        <v>755</v>
      </c>
      <c r="S339" s="33">
        <f>875.9</f>
        <v>875.9</v>
      </c>
      <c r="T339" s="39">
        <f>717816</f>
        <v>717816</v>
      </c>
      <c r="U339" s="30">
        <f>11000</f>
        <v>11000</v>
      </c>
      <c r="V339" s="30">
        <f>632005982</f>
        <v>632005982</v>
      </c>
      <c r="W339" s="30">
        <f>10031109</f>
        <v>10031109</v>
      </c>
      <c r="X339" s="34">
        <f>20</f>
        <v>20</v>
      </c>
    </row>
    <row r="340" spans="1:24">
      <c r="A340" s="25" t="s">
        <v>1254</v>
      </c>
      <c r="B340" s="25" t="s">
        <v>728</v>
      </c>
      <c r="C340" s="25" t="s">
        <v>729</v>
      </c>
      <c r="D340" s="25" t="s">
        <v>730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2909</f>
        <v>2909</v>
      </c>
      <c r="L340" s="32" t="s">
        <v>1239</v>
      </c>
      <c r="M340" s="31">
        <f>3131</f>
        <v>3131</v>
      </c>
      <c r="N340" s="32" t="s">
        <v>755</v>
      </c>
      <c r="O340" s="31">
        <f>2858</f>
        <v>2858</v>
      </c>
      <c r="P340" s="32" t="s">
        <v>1240</v>
      </c>
      <c r="Q340" s="31">
        <f>3131</f>
        <v>3131</v>
      </c>
      <c r="R340" s="32" t="s">
        <v>755</v>
      </c>
      <c r="S340" s="33">
        <f>2958.65</f>
        <v>2958.65</v>
      </c>
      <c r="T340" s="39">
        <f>37356</f>
        <v>37356</v>
      </c>
      <c r="U340" s="30" t="str">
        <f>"－"</f>
        <v>－</v>
      </c>
      <c r="V340" s="30">
        <f>110695057</f>
        <v>110695057</v>
      </c>
      <c r="W340" s="30" t="str">
        <f>"－"</f>
        <v>－</v>
      </c>
      <c r="X340" s="34">
        <f>20</f>
        <v>20</v>
      </c>
    </row>
    <row r="341" spans="1:24">
      <c r="A341" s="25" t="s">
        <v>1254</v>
      </c>
      <c r="B341" s="25" t="s">
        <v>731</v>
      </c>
      <c r="C341" s="25" t="s">
        <v>1003</v>
      </c>
      <c r="D341" s="25" t="s">
        <v>1002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2351</f>
        <v>2351</v>
      </c>
      <c r="L341" s="32" t="s">
        <v>1239</v>
      </c>
      <c r="M341" s="31">
        <f>2576</f>
        <v>2576</v>
      </c>
      <c r="N341" s="32" t="s">
        <v>1078</v>
      </c>
      <c r="O341" s="31">
        <f>2351</f>
        <v>2351</v>
      </c>
      <c r="P341" s="32" t="s">
        <v>1239</v>
      </c>
      <c r="Q341" s="31">
        <f>2526</f>
        <v>2526</v>
      </c>
      <c r="R341" s="32" t="s">
        <v>755</v>
      </c>
      <c r="S341" s="33">
        <f>2473.85</f>
        <v>2473.85</v>
      </c>
      <c r="T341" s="39">
        <f>16010</f>
        <v>16010</v>
      </c>
      <c r="U341" s="30">
        <f>3</f>
        <v>3</v>
      </c>
      <c r="V341" s="30">
        <f>39803292</f>
        <v>39803292</v>
      </c>
      <c r="W341" s="30">
        <f>7270</f>
        <v>7270</v>
      </c>
      <c r="X341" s="34">
        <f>20</f>
        <v>20</v>
      </c>
    </row>
    <row r="342" spans="1:24">
      <c r="A342" s="25" t="s">
        <v>1254</v>
      </c>
      <c r="B342" s="25" t="s">
        <v>732</v>
      </c>
      <c r="C342" s="25" t="s">
        <v>733</v>
      </c>
      <c r="D342" s="25" t="s">
        <v>734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8130</f>
        <v>8130</v>
      </c>
      <c r="L342" s="32" t="s">
        <v>1239</v>
      </c>
      <c r="M342" s="31">
        <f>8219</f>
        <v>8219</v>
      </c>
      <c r="N342" s="32" t="s">
        <v>1240</v>
      </c>
      <c r="O342" s="31">
        <f>7838</f>
        <v>7838</v>
      </c>
      <c r="P342" s="32" t="s">
        <v>1212</v>
      </c>
      <c r="Q342" s="31">
        <f>7980</f>
        <v>7980</v>
      </c>
      <c r="R342" s="32" t="s">
        <v>755</v>
      </c>
      <c r="S342" s="33">
        <f>8013.35</f>
        <v>8013.35</v>
      </c>
      <c r="T342" s="39">
        <f>848570</f>
        <v>848570</v>
      </c>
      <c r="U342" s="30">
        <f>845000</f>
        <v>845000</v>
      </c>
      <c r="V342" s="30">
        <f>6901814188</f>
        <v>6901814188</v>
      </c>
      <c r="W342" s="30">
        <f>6873153630</f>
        <v>6873153630</v>
      </c>
      <c r="X342" s="34">
        <f>20</f>
        <v>20</v>
      </c>
    </row>
    <row r="343" spans="1:24">
      <c r="A343" s="25" t="s">
        <v>1254</v>
      </c>
      <c r="B343" s="25" t="s">
        <v>735</v>
      </c>
      <c r="C343" s="25" t="s">
        <v>736</v>
      </c>
      <c r="D343" s="25" t="s">
        <v>737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5414</f>
        <v>5414</v>
      </c>
      <c r="L343" s="32" t="s">
        <v>1239</v>
      </c>
      <c r="M343" s="31">
        <f>5414</f>
        <v>5414</v>
      </c>
      <c r="N343" s="32" t="s">
        <v>1239</v>
      </c>
      <c r="O343" s="31">
        <f>5189</f>
        <v>5189</v>
      </c>
      <c r="P343" s="32" t="s">
        <v>850</v>
      </c>
      <c r="Q343" s="31">
        <f>5260</f>
        <v>5260</v>
      </c>
      <c r="R343" s="32" t="s">
        <v>755</v>
      </c>
      <c r="S343" s="33">
        <f>5258.35</f>
        <v>5258.35</v>
      </c>
      <c r="T343" s="39">
        <f>103043</f>
        <v>103043</v>
      </c>
      <c r="U343" s="30">
        <f>100000</f>
        <v>100000</v>
      </c>
      <c r="V343" s="30">
        <f>540030441</f>
        <v>540030441</v>
      </c>
      <c r="W343" s="30">
        <f>523981970</f>
        <v>523981970</v>
      </c>
      <c r="X343" s="34">
        <f>20</f>
        <v>20</v>
      </c>
    </row>
    <row r="344" spans="1:24">
      <c r="A344" s="25" t="s">
        <v>1254</v>
      </c>
      <c r="B344" s="25" t="s">
        <v>1170</v>
      </c>
      <c r="C344" s="25" t="s">
        <v>1171</v>
      </c>
      <c r="D344" s="25" t="s">
        <v>1172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876</f>
        <v>876</v>
      </c>
      <c r="L344" s="32" t="s">
        <v>1239</v>
      </c>
      <c r="M344" s="31">
        <f>990</f>
        <v>990</v>
      </c>
      <c r="N344" s="32" t="s">
        <v>1080</v>
      </c>
      <c r="O344" s="31">
        <f>869</f>
        <v>869</v>
      </c>
      <c r="P344" s="32" t="s">
        <v>1239</v>
      </c>
      <c r="Q344" s="31">
        <f>946</f>
        <v>946</v>
      </c>
      <c r="R344" s="32" t="s">
        <v>755</v>
      </c>
      <c r="S344" s="33">
        <f>940.85</f>
        <v>940.85</v>
      </c>
      <c r="T344" s="39">
        <f>501585</f>
        <v>501585</v>
      </c>
      <c r="U344" s="30" t="str">
        <f>"－"</f>
        <v>－</v>
      </c>
      <c r="V344" s="30">
        <f>474230480</f>
        <v>474230480</v>
      </c>
      <c r="W344" s="30" t="str">
        <f>"－"</f>
        <v>－</v>
      </c>
      <c r="X344" s="34">
        <f>20</f>
        <v>20</v>
      </c>
    </row>
    <row r="345" spans="1:24">
      <c r="A345" s="25" t="s">
        <v>1254</v>
      </c>
      <c r="B345" s="25" t="s">
        <v>740</v>
      </c>
      <c r="C345" s="25" t="s">
        <v>741</v>
      </c>
      <c r="D345" s="25" t="s">
        <v>742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1634</f>
        <v>1634</v>
      </c>
      <c r="L345" s="32" t="s">
        <v>1239</v>
      </c>
      <c r="M345" s="31">
        <f>1835</f>
        <v>1835</v>
      </c>
      <c r="N345" s="32" t="s">
        <v>859</v>
      </c>
      <c r="O345" s="31">
        <f>1633</f>
        <v>1633</v>
      </c>
      <c r="P345" s="32" t="s">
        <v>1239</v>
      </c>
      <c r="Q345" s="31">
        <f>1770</f>
        <v>1770</v>
      </c>
      <c r="R345" s="32" t="s">
        <v>755</v>
      </c>
      <c r="S345" s="33">
        <f>1743.35</f>
        <v>1743.35</v>
      </c>
      <c r="T345" s="39">
        <f>2596853</f>
        <v>2596853</v>
      </c>
      <c r="U345" s="30">
        <f>880245</f>
        <v>880245</v>
      </c>
      <c r="V345" s="30">
        <f>4550225477</f>
        <v>4550225477</v>
      </c>
      <c r="W345" s="30">
        <f>1575998893</f>
        <v>1575998893</v>
      </c>
      <c r="X345" s="34">
        <f>20</f>
        <v>20</v>
      </c>
    </row>
    <row r="346" spans="1:24">
      <c r="A346" s="25" t="s">
        <v>1254</v>
      </c>
      <c r="B346" s="25" t="s">
        <v>743</v>
      </c>
      <c r="C346" s="25" t="s">
        <v>744</v>
      </c>
      <c r="D346" s="25" t="s">
        <v>745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1184</f>
        <v>1184</v>
      </c>
      <c r="L346" s="32" t="s">
        <v>1239</v>
      </c>
      <c r="M346" s="31">
        <f>1303</f>
        <v>1303</v>
      </c>
      <c r="N346" s="32" t="s">
        <v>859</v>
      </c>
      <c r="O346" s="31">
        <f>1175</f>
        <v>1175</v>
      </c>
      <c r="P346" s="32" t="s">
        <v>1240</v>
      </c>
      <c r="Q346" s="31">
        <f>1270</f>
        <v>1270</v>
      </c>
      <c r="R346" s="32" t="s">
        <v>755</v>
      </c>
      <c r="S346" s="33">
        <f>1247.85</f>
        <v>1247.8499999999999</v>
      </c>
      <c r="T346" s="39">
        <f>1978363</f>
        <v>1978363</v>
      </c>
      <c r="U346" s="30">
        <f>820674</f>
        <v>820674</v>
      </c>
      <c r="V346" s="30">
        <f>2433515414</f>
        <v>2433515414</v>
      </c>
      <c r="W346" s="30">
        <f>1017951934</f>
        <v>1017951934</v>
      </c>
      <c r="X346" s="34">
        <f>20</f>
        <v>20</v>
      </c>
    </row>
    <row r="347" spans="1:24">
      <c r="A347" s="25" t="s">
        <v>1254</v>
      </c>
      <c r="B347" s="25" t="s">
        <v>746</v>
      </c>
      <c r="C347" s="25" t="s">
        <v>747</v>
      </c>
      <c r="D347" s="25" t="s">
        <v>748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18010</f>
        <v>18010</v>
      </c>
      <c r="L347" s="32" t="s">
        <v>1239</v>
      </c>
      <c r="M347" s="31">
        <f>18150</f>
        <v>18150</v>
      </c>
      <c r="N347" s="32" t="s">
        <v>1240</v>
      </c>
      <c r="O347" s="31">
        <f>16345</f>
        <v>16345</v>
      </c>
      <c r="P347" s="32" t="s">
        <v>859</v>
      </c>
      <c r="Q347" s="31">
        <f>16695</f>
        <v>16695</v>
      </c>
      <c r="R347" s="32" t="s">
        <v>755</v>
      </c>
      <c r="S347" s="33">
        <f>17103</f>
        <v>17103</v>
      </c>
      <c r="T347" s="39">
        <f>87539</f>
        <v>87539</v>
      </c>
      <c r="U347" s="30">
        <f>6</f>
        <v>6</v>
      </c>
      <c r="V347" s="30">
        <f>1489704625</f>
        <v>1489704625</v>
      </c>
      <c r="W347" s="30">
        <f>100380</f>
        <v>100380</v>
      </c>
      <c r="X347" s="34">
        <f>20</f>
        <v>20</v>
      </c>
    </row>
    <row r="348" spans="1:24">
      <c r="A348" s="25" t="s">
        <v>1254</v>
      </c>
      <c r="B348" s="25" t="s">
        <v>749</v>
      </c>
      <c r="C348" s="25" t="s">
        <v>750</v>
      </c>
      <c r="D348" s="25" t="s">
        <v>751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</v>
      </c>
      <c r="K348" s="31">
        <f>4108</f>
        <v>4108</v>
      </c>
      <c r="L348" s="32" t="s">
        <v>1240</v>
      </c>
      <c r="M348" s="31">
        <f>4112</f>
        <v>4112</v>
      </c>
      <c r="N348" s="32" t="s">
        <v>852</v>
      </c>
      <c r="O348" s="31">
        <f>3914</f>
        <v>3914</v>
      </c>
      <c r="P348" s="32" t="s">
        <v>851</v>
      </c>
      <c r="Q348" s="31">
        <f>4022</f>
        <v>4022</v>
      </c>
      <c r="R348" s="32" t="s">
        <v>755</v>
      </c>
      <c r="S348" s="33">
        <f>4005.89</f>
        <v>4005.89</v>
      </c>
      <c r="T348" s="39">
        <f>2109488</f>
        <v>2109488</v>
      </c>
      <c r="U348" s="30">
        <f>2106670</f>
        <v>2106670</v>
      </c>
      <c r="V348" s="30">
        <f>8443752571</f>
        <v>8443752571</v>
      </c>
      <c r="W348" s="30">
        <f>8432598067</f>
        <v>8432598067</v>
      </c>
      <c r="X348" s="34">
        <f>18</f>
        <v>18</v>
      </c>
    </row>
    <row r="349" spans="1:24">
      <c r="A349" s="25" t="s">
        <v>1254</v>
      </c>
      <c r="B349" s="25" t="s">
        <v>752</v>
      </c>
      <c r="C349" s="25" t="s">
        <v>753</v>
      </c>
      <c r="D349" s="25" t="s">
        <v>754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</v>
      </c>
      <c r="K349" s="31">
        <f>4870</f>
        <v>4870</v>
      </c>
      <c r="L349" s="32" t="s">
        <v>1239</v>
      </c>
      <c r="M349" s="31">
        <f>4951</f>
        <v>4951</v>
      </c>
      <c r="N349" s="32" t="s">
        <v>1240</v>
      </c>
      <c r="O349" s="31">
        <f>4765</f>
        <v>4765</v>
      </c>
      <c r="P349" s="32" t="s">
        <v>850</v>
      </c>
      <c r="Q349" s="31">
        <f>4859</f>
        <v>4859</v>
      </c>
      <c r="R349" s="32" t="s">
        <v>755</v>
      </c>
      <c r="S349" s="33">
        <f>4860.15</f>
        <v>4860.1499999999996</v>
      </c>
      <c r="T349" s="39">
        <f>70334</f>
        <v>70334</v>
      </c>
      <c r="U349" s="30">
        <f>20</f>
        <v>20</v>
      </c>
      <c r="V349" s="30">
        <f>340860367</f>
        <v>340860367</v>
      </c>
      <c r="W349" s="30">
        <f>98240</f>
        <v>98240</v>
      </c>
      <c r="X349" s="34">
        <f>20</f>
        <v>20</v>
      </c>
    </row>
    <row r="350" spans="1:24">
      <c r="A350" s="25" t="s">
        <v>1254</v>
      </c>
      <c r="B350" s="25" t="s">
        <v>764</v>
      </c>
      <c r="C350" s="25" t="s">
        <v>765</v>
      </c>
      <c r="D350" s="25" t="s">
        <v>766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2461</f>
        <v>2461</v>
      </c>
      <c r="L350" s="32" t="s">
        <v>1239</v>
      </c>
      <c r="M350" s="31">
        <f>2726.5</f>
        <v>2726.5</v>
      </c>
      <c r="N350" s="32" t="s">
        <v>859</v>
      </c>
      <c r="O350" s="31">
        <f>2461</f>
        <v>2461</v>
      </c>
      <c r="P350" s="32" t="s">
        <v>1239</v>
      </c>
      <c r="Q350" s="31">
        <f>2665</f>
        <v>2665</v>
      </c>
      <c r="R350" s="32" t="s">
        <v>755</v>
      </c>
      <c r="S350" s="33">
        <f>2614.18</f>
        <v>2614.1799999999998</v>
      </c>
      <c r="T350" s="39">
        <f>1294720</f>
        <v>1294720</v>
      </c>
      <c r="U350" s="30" t="str">
        <f>"－"</f>
        <v>－</v>
      </c>
      <c r="V350" s="30">
        <f>3410156515</f>
        <v>3410156515</v>
      </c>
      <c r="W350" s="30" t="str">
        <f>"－"</f>
        <v>－</v>
      </c>
      <c r="X350" s="34">
        <f>20</f>
        <v>20</v>
      </c>
    </row>
    <row r="351" spans="1:24">
      <c r="A351" s="25" t="s">
        <v>1254</v>
      </c>
      <c r="B351" s="25" t="s">
        <v>767</v>
      </c>
      <c r="C351" s="25" t="s">
        <v>768</v>
      </c>
      <c r="D351" s="25" t="s">
        <v>769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2051</f>
        <v>2051</v>
      </c>
      <c r="L351" s="32" t="s">
        <v>1239</v>
      </c>
      <c r="M351" s="31">
        <f>2165</f>
        <v>2165</v>
      </c>
      <c r="N351" s="32" t="s">
        <v>1081</v>
      </c>
      <c r="O351" s="31">
        <f>2051</f>
        <v>2051</v>
      </c>
      <c r="P351" s="32" t="s">
        <v>1239</v>
      </c>
      <c r="Q351" s="31">
        <f>2124.5</f>
        <v>2124.5</v>
      </c>
      <c r="R351" s="32" t="s">
        <v>755</v>
      </c>
      <c r="S351" s="33">
        <f>2112.33</f>
        <v>2112.33</v>
      </c>
      <c r="T351" s="39">
        <f>846480</f>
        <v>846480</v>
      </c>
      <c r="U351" s="30">
        <f>662500</f>
        <v>662500</v>
      </c>
      <c r="V351" s="30">
        <f>1786520122</f>
        <v>1786520122</v>
      </c>
      <c r="W351" s="30">
        <f>1396267037</f>
        <v>1396267037</v>
      </c>
      <c r="X351" s="34">
        <f>20</f>
        <v>20</v>
      </c>
    </row>
    <row r="352" spans="1:24">
      <c r="A352" s="25" t="s">
        <v>1254</v>
      </c>
      <c r="B352" s="25" t="s">
        <v>770</v>
      </c>
      <c r="C352" s="25" t="s">
        <v>771</v>
      </c>
      <c r="D352" s="25" t="s">
        <v>772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</v>
      </c>
      <c r="K352" s="31">
        <f>1887</f>
        <v>1887</v>
      </c>
      <c r="L352" s="32" t="s">
        <v>1239</v>
      </c>
      <c r="M352" s="31">
        <f>1981</f>
        <v>1981</v>
      </c>
      <c r="N352" s="32" t="s">
        <v>1211</v>
      </c>
      <c r="O352" s="31">
        <f>1875</f>
        <v>1875</v>
      </c>
      <c r="P352" s="32" t="s">
        <v>1239</v>
      </c>
      <c r="Q352" s="31">
        <f>1968</f>
        <v>1968</v>
      </c>
      <c r="R352" s="32" t="s">
        <v>755</v>
      </c>
      <c r="S352" s="33">
        <f>1938.05</f>
        <v>1938.05</v>
      </c>
      <c r="T352" s="39">
        <f>2023</f>
        <v>2023</v>
      </c>
      <c r="U352" s="30" t="str">
        <f>"－"</f>
        <v>－</v>
      </c>
      <c r="V352" s="30">
        <f>3924432</f>
        <v>3924432</v>
      </c>
      <c r="W352" s="30" t="str">
        <f>"－"</f>
        <v>－</v>
      </c>
      <c r="X352" s="34">
        <f>20</f>
        <v>20</v>
      </c>
    </row>
    <row r="353" spans="1:24">
      <c r="A353" s="25" t="s">
        <v>1254</v>
      </c>
      <c r="B353" s="25" t="s">
        <v>773</v>
      </c>
      <c r="C353" s="25" t="s">
        <v>774</v>
      </c>
      <c r="D353" s="25" t="s">
        <v>775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</v>
      </c>
      <c r="K353" s="31">
        <f>2060</f>
        <v>2060</v>
      </c>
      <c r="L353" s="32" t="s">
        <v>1239</v>
      </c>
      <c r="M353" s="31">
        <f>2148</f>
        <v>2148</v>
      </c>
      <c r="N353" s="32" t="s">
        <v>859</v>
      </c>
      <c r="O353" s="31">
        <f>2051</f>
        <v>2051</v>
      </c>
      <c r="P353" s="32" t="s">
        <v>1239</v>
      </c>
      <c r="Q353" s="31">
        <f>2131</f>
        <v>2131</v>
      </c>
      <c r="R353" s="32" t="s">
        <v>755</v>
      </c>
      <c r="S353" s="33">
        <f>2101.61</f>
        <v>2101.61</v>
      </c>
      <c r="T353" s="39">
        <f>2710</f>
        <v>2710</v>
      </c>
      <c r="U353" s="30" t="str">
        <f>"－"</f>
        <v>－</v>
      </c>
      <c r="V353" s="30">
        <f>5697508</f>
        <v>5697508</v>
      </c>
      <c r="W353" s="30" t="str">
        <f>"－"</f>
        <v>－</v>
      </c>
      <c r="X353" s="34">
        <f>18</f>
        <v>18</v>
      </c>
    </row>
    <row r="354" spans="1:24">
      <c r="A354" s="25" t="s">
        <v>1254</v>
      </c>
      <c r="B354" s="25" t="s">
        <v>776</v>
      </c>
      <c r="C354" s="25" t="s">
        <v>777</v>
      </c>
      <c r="D354" s="25" t="s">
        <v>778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4380</f>
        <v>4380</v>
      </c>
      <c r="L354" s="32" t="s">
        <v>1239</v>
      </c>
      <c r="M354" s="31">
        <f>4574</f>
        <v>4574</v>
      </c>
      <c r="N354" s="32" t="s">
        <v>859</v>
      </c>
      <c r="O354" s="31">
        <f>4340</f>
        <v>4340</v>
      </c>
      <c r="P354" s="32" t="s">
        <v>1239</v>
      </c>
      <c r="Q354" s="31">
        <f>4557</f>
        <v>4557</v>
      </c>
      <c r="R354" s="32" t="s">
        <v>755</v>
      </c>
      <c r="S354" s="33">
        <f>4490.6</f>
        <v>4490.6000000000004</v>
      </c>
      <c r="T354" s="39">
        <f>10544</f>
        <v>10544</v>
      </c>
      <c r="U354" s="30">
        <f>8000</f>
        <v>8000</v>
      </c>
      <c r="V354" s="30">
        <f>47251169</f>
        <v>47251169</v>
      </c>
      <c r="W354" s="30">
        <f>35789148</f>
        <v>35789148</v>
      </c>
      <c r="X354" s="34">
        <f>20</f>
        <v>20</v>
      </c>
    </row>
    <row r="355" spans="1:24">
      <c r="A355" s="25" t="s">
        <v>1254</v>
      </c>
      <c r="B355" s="25" t="s">
        <v>779</v>
      </c>
      <c r="C355" s="25" t="s">
        <v>780</v>
      </c>
      <c r="D355" s="25" t="s">
        <v>781</v>
      </c>
      <c r="E355" s="26" t="s">
        <v>43</v>
      </c>
      <c r="F355" s="27" t="s">
        <v>43</v>
      </c>
      <c r="G355" s="28" t="s">
        <v>43</v>
      </c>
      <c r="H355" s="29" t="s">
        <v>1259</v>
      </c>
      <c r="I355" s="29"/>
      <c r="J355" s="30">
        <v>10</v>
      </c>
      <c r="K355" s="31">
        <f>1930</f>
        <v>1930</v>
      </c>
      <c r="L355" s="32" t="s">
        <v>1239</v>
      </c>
      <c r="M355" s="31">
        <f>2038</f>
        <v>2038</v>
      </c>
      <c r="N355" s="32" t="s">
        <v>859</v>
      </c>
      <c r="O355" s="31">
        <f>1925.5</f>
        <v>1925.5</v>
      </c>
      <c r="P355" s="32" t="s">
        <v>1239</v>
      </c>
      <c r="Q355" s="31">
        <f>2023.5</f>
        <v>2023.5</v>
      </c>
      <c r="R355" s="32" t="s">
        <v>755</v>
      </c>
      <c r="S355" s="33">
        <f>1980.23</f>
        <v>1980.23</v>
      </c>
      <c r="T355" s="39">
        <f>79250</f>
        <v>79250</v>
      </c>
      <c r="U355" s="30">
        <f>290</f>
        <v>290</v>
      </c>
      <c r="V355" s="30">
        <f>157284805</f>
        <v>157284805</v>
      </c>
      <c r="W355" s="30">
        <f>571875</f>
        <v>571875</v>
      </c>
      <c r="X355" s="34">
        <f>20</f>
        <v>20</v>
      </c>
    </row>
    <row r="356" spans="1:24">
      <c r="A356" s="25" t="s">
        <v>1254</v>
      </c>
      <c r="B356" s="25" t="s">
        <v>788</v>
      </c>
      <c r="C356" s="25" t="s">
        <v>789</v>
      </c>
      <c r="D356" s="25" t="s">
        <v>790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10</v>
      </c>
      <c r="K356" s="31">
        <f>275</f>
        <v>275</v>
      </c>
      <c r="L356" s="32" t="s">
        <v>1239</v>
      </c>
      <c r="M356" s="31">
        <f>287.1</f>
        <v>287.10000000000002</v>
      </c>
      <c r="N356" s="32" t="s">
        <v>859</v>
      </c>
      <c r="O356" s="31">
        <f>271.7</f>
        <v>271.7</v>
      </c>
      <c r="P356" s="32" t="s">
        <v>1239</v>
      </c>
      <c r="Q356" s="31">
        <f>285.2</f>
        <v>285.2</v>
      </c>
      <c r="R356" s="32" t="s">
        <v>755</v>
      </c>
      <c r="S356" s="33">
        <f>279.78</f>
        <v>279.77999999999997</v>
      </c>
      <c r="T356" s="39">
        <f>217550</f>
        <v>217550</v>
      </c>
      <c r="U356" s="30" t="str">
        <f>"－"</f>
        <v>－</v>
      </c>
      <c r="V356" s="30">
        <f>61270576</f>
        <v>61270576</v>
      </c>
      <c r="W356" s="30" t="str">
        <f>"－"</f>
        <v>－</v>
      </c>
      <c r="X356" s="34">
        <f>19</f>
        <v>19</v>
      </c>
    </row>
    <row r="357" spans="1:24">
      <c r="A357" s="25" t="s">
        <v>1254</v>
      </c>
      <c r="B357" s="25" t="s">
        <v>782</v>
      </c>
      <c r="C357" s="25" t="s">
        <v>783</v>
      </c>
      <c r="D357" s="25" t="s">
        <v>784</v>
      </c>
      <c r="E357" s="26" t="s">
        <v>43</v>
      </c>
      <c r="F357" s="27" t="s">
        <v>43</v>
      </c>
      <c r="G357" s="28" t="s">
        <v>43</v>
      </c>
      <c r="H357" s="29"/>
      <c r="I357" s="29" t="s">
        <v>44</v>
      </c>
      <c r="J357" s="30">
        <v>10</v>
      </c>
      <c r="K357" s="31">
        <f>170.7</f>
        <v>170.7</v>
      </c>
      <c r="L357" s="32" t="s">
        <v>1239</v>
      </c>
      <c r="M357" s="31">
        <f>175.1</f>
        <v>175.1</v>
      </c>
      <c r="N357" s="32" t="s">
        <v>1079</v>
      </c>
      <c r="O357" s="31">
        <f>167.6</f>
        <v>167.6</v>
      </c>
      <c r="P357" s="32" t="s">
        <v>1076</v>
      </c>
      <c r="Q357" s="31">
        <f>170.7</f>
        <v>170.7</v>
      </c>
      <c r="R357" s="32" t="s">
        <v>755</v>
      </c>
      <c r="S357" s="33">
        <f>170.51</f>
        <v>170.51</v>
      </c>
      <c r="T357" s="39">
        <f>354730</f>
        <v>354730</v>
      </c>
      <c r="U357" s="30">
        <f>101360</f>
        <v>101360</v>
      </c>
      <c r="V357" s="30">
        <f>60559388</f>
        <v>60559388</v>
      </c>
      <c r="W357" s="30">
        <f>17028499</f>
        <v>17028499</v>
      </c>
      <c r="X357" s="34">
        <f>20</f>
        <v>20</v>
      </c>
    </row>
    <row r="358" spans="1:24">
      <c r="A358" s="25" t="s">
        <v>1254</v>
      </c>
      <c r="B358" s="25" t="s">
        <v>785</v>
      </c>
      <c r="C358" s="25" t="s">
        <v>786</v>
      </c>
      <c r="D358" s="25" t="s">
        <v>787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654</f>
        <v>654</v>
      </c>
      <c r="L358" s="32" t="s">
        <v>1239</v>
      </c>
      <c r="M358" s="31">
        <f>667.1</f>
        <v>667.1</v>
      </c>
      <c r="N358" s="32" t="s">
        <v>1075</v>
      </c>
      <c r="O358" s="31">
        <f>639.3</f>
        <v>639.29999999999995</v>
      </c>
      <c r="P358" s="32" t="s">
        <v>1212</v>
      </c>
      <c r="Q358" s="31">
        <f>660</f>
        <v>660</v>
      </c>
      <c r="R358" s="32" t="s">
        <v>1075</v>
      </c>
      <c r="S358" s="33">
        <f>651.51</f>
        <v>651.51</v>
      </c>
      <c r="T358" s="39">
        <f>37360</f>
        <v>37360</v>
      </c>
      <c r="U358" s="30">
        <f>33450</f>
        <v>33450</v>
      </c>
      <c r="V358" s="30">
        <f>24075143</f>
        <v>24075143</v>
      </c>
      <c r="W358" s="30">
        <f>21533437</f>
        <v>21533437</v>
      </c>
      <c r="X358" s="34">
        <f>14</f>
        <v>14</v>
      </c>
    </row>
    <row r="359" spans="1:24">
      <c r="A359" s="25" t="s">
        <v>1254</v>
      </c>
      <c r="B359" s="25" t="s">
        <v>791</v>
      </c>
      <c r="C359" s="25" t="s">
        <v>792</v>
      </c>
      <c r="D359" s="25" t="s">
        <v>793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</v>
      </c>
      <c r="K359" s="31">
        <f>1510</f>
        <v>1510</v>
      </c>
      <c r="L359" s="32" t="s">
        <v>1239</v>
      </c>
      <c r="M359" s="31">
        <f>1624</f>
        <v>1624</v>
      </c>
      <c r="N359" s="32" t="s">
        <v>859</v>
      </c>
      <c r="O359" s="31">
        <f>1499</f>
        <v>1499</v>
      </c>
      <c r="P359" s="32" t="s">
        <v>850</v>
      </c>
      <c r="Q359" s="31">
        <f>1581</f>
        <v>1581</v>
      </c>
      <c r="R359" s="32" t="s">
        <v>755</v>
      </c>
      <c r="S359" s="33">
        <f>1566.5</f>
        <v>1566.5</v>
      </c>
      <c r="T359" s="39">
        <f>126718</f>
        <v>126718</v>
      </c>
      <c r="U359" s="30">
        <f>200</f>
        <v>200</v>
      </c>
      <c r="V359" s="30">
        <f>198377411</f>
        <v>198377411</v>
      </c>
      <c r="W359" s="30">
        <f>317820</f>
        <v>317820</v>
      </c>
      <c r="X359" s="34">
        <f>20</f>
        <v>20</v>
      </c>
    </row>
    <row r="360" spans="1:24">
      <c r="A360" s="25" t="s">
        <v>1254</v>
      </c>
      <c r="B360" s="25" t="s">
        <v>794</v>
      </c>
      <c r="C360" s="25" t="s">
        <v>795</v>
      </c>
      <c r="D360" s="25" t="s">
        <v>796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</v>
      </c>
      <c r="K360" s="31">
        <f>899</f>
        <v>899</v>
      </c>
      <c r="L360" s="32" t="s">
        <v>1239</v>
      </c>
      <c r="M360" s="31">
        <f>924</f>
        <v>924</v>
      </c>
      <c r="N360" s="32" t="s">
        <v>1079</v>
      </c>
      <c r="O360" s="31">
        <f>895</f>
        <v>895</v>
      </c>
      <c r="P360" s="32" t="s">
        <v>850</v>
      </c>
      <c r="Q360" s="31">
        <f>913</f>
        <v>913</v>
      </c>
      <c r="R360" s="32" t="s">
        <v>755</v>
      </c>
      <c r="S360" s="33">
        <f>906.8</f>
        <v>906.8</v>
      </c>
      <c r="T360" s="39">
        <f>183530</f>
        <v>183530</v>
      </c>
      <c r="U360" s="30">
        <f>3</f>
        <v>3</v>
      </c>
      <c r="V360" s="30">
        <f>166246592</f>
        <v>166246592</v>
      </c>
      <c r="W360" s="30">
        <f>2713</f>
        <v>2713</v>
      </c>
      <c r="X360" s="34">
        <f>20</f>
        <v>20</v>
      </c>
    </row>
    <row r="361" spans="1:24">
      <c r="A361" s="25" t="s">
        <v>1254</v>
      </c>
      <c r="B361" s="25" t="s">
        <v>797</v>
      </c>
      <c r="C361" s="25" t="s">
        <v>798</v>
      </c>
      <c r="D361" s="25" t="s">
        <v>799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10</v>
      </c>
      <c r="K361" s="31">
        <f>690.1</f>
        <v>690.1</v>
      </c>
      <c r="L361" s="32" t="s">
        <v>1239</v>
      </c>
      <c r="M361" s="31">
        <f>691</f>
        <v>691</v>
      </c>
      <c r="N361" s="32" t="s">
        <v>1239</v>
      </c>
      <c r="O361" s="31">
        <f>677.2</f>
        <v>677.2</v>
      </c>
      <c r="P361" s="32" t="s">
        <v>1211</v>
      </c>
      <c r="Q361" s="31">
        <f>682.1</f>
        <v>682.1</v>
      </c>
      <c r="R361" s="32" t="s">
        <v>755</v>
      </c>
      <c r="S361" s="33">
        <f>682.24</f>
        <v>682.24</v>
      </c>
      <c r="T361" s="39">
        <f>9204850</f>
        <v>9204850</v>
      </c>
      <c r="U361" s="30">
        <f>8817000</f>
        <v>8817000</v>
      </c>
      <c r="V361" s="30">
        <f>6258559691</f>
        <v>6258559691</v>
      </c>
      <c r="W361" s="30">
        <f>5993471000</f>
        <v>5993471000</v>
      </c>
      <c r="X361" s="34">
        <f>20</f>
        <v>20</v>
      </c>
    </row>
    <row r="362" spans="1:24">
      <c r="A362" s="25" t="s">
        <v>1254</v>
      </c>
      <c r="B362" s="25" t="s">
        <v>800</v>
      </c>
      <c r="C362" s="25" t="s">
        <v>801</v>
      </c>
      <c r="D362" s="25" t="s">
        <v>802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10</v>
      </c>
      <c r="K362" s="31">
        <f>668.8</f>
        <v>668.8</v>
      </c>
      <c r="L362" s="32" t="s">
        <v>1239</v>
      </c>
      <c r="M362" s="31">
        <f>668.8</f>
        <v>668.8</v>
      </c>
      <c r="N362" s="32" t="s">
        <v>1239</v>
      </c>
      <c r="O362" s="31">
        <f>654.3</f>
        <v>654.29999999999995</v>
      </c>
      <c r="P362" s="32" t="s">
        <v>851</v>
      </c>
      <c r="Q362" s="31">
        <f>663.9</f>
        <v>663.9</v>
      </c>
      <c r="R362" s="32" t="s">
        <v>755</v>
      </c>
      <c r="S362" s="33">
        <f>660.62</f>
        <v>660.62</v>
      </c>
      <c r="T362" s="39">
        <f>5258280</f>
        <v>5258280</v>
      </c>
      <c r="U362" s="30">
        <f>5148540</f>
        <v>5148540</v>
      </c>
      <c r="V362" s="30">
        <f>3470153431</f>
        <v>3470153431</v>
      </c>
      <c r="W362" s="30">
        <f>3397635084</f>
        <v>3397635084</v>
      </c>
      <c r="X362" s="34">
        <f>20</f>
        <v>20</v>
      </c>
    </row>
    <row r="363" spans="1:24">
      <c r="A363" s="25" t="s">
        <v>1254</v>
      </c>
      <c r="B363" s="25" t="s">
        <v>803</v>
      </c>
      <c r="C363" s="25" t="s">
        <v>804</v>
      </c>
      <c r="D363" s="25" t="s">
        <v>805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</v>
      </c>
      <c r="K363" s="31">
        <f>1160</f>
        <v>1160</v>
      </c>
      <c r="L363" s="32" t="s">
        <v>1239</v>
      </c>
      <c r="M363" s="31">
        <f>1199</f>
        <v>1199</v>
      </c>
      <c r="N363" s="32" t="s">
        <v>1078</v>
      </c>
      <c r="O363" s="31">
        <f>1135</f>
        <v>1135</v>
      </c>
      <c r="P363" s="32" t="s">
        <v>1080</v>
      </c>
      <c r="Q363" s="31">
        <f>1175</f>
        <v>1175</v>
      </c>
      <c r="R363" s="32" t="s">
        <v>755</v>
      </c>
      <c r="S363" s="33">
        <f>1168.7</f>
        <v>1168.7</v>
      </c>
      <c r="T363" s="39">
        <f>33086</f>
        <v>33086</v>
      </c>
      <c r="U363" s="30" t="str">
        <f>"－"</f>
        <v>－</v>
      </c>
      <c r="V363" s="30">
        <f>38516917</f>
        <v>38516917</v>
      </c>
      <c r="W363" s="30" t="str">
        <f>"－"</f>
        <v>－</v>
      </c>
      <c r="X363" s="34">
        <f>20</f>
        <v>20</v>
      </c>
    </row>
    <row r="364" spans="1:24">
      <c r="A364" s="25" t="s">
        <v>1254</v>
      </c>
      <c r="B364" s="25" t="s">
        <v>812</v>
      </c>
      <c r="C364" s="25" t="s">
        <v>813</v>
      </c>
      <c r="D364" s="25" t="s">
        <v>814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2677</f>
        <v>2677</v>
      </c>
      <c r="L364" s="32" t="s">
        <v>1239</v>
      </c>
      <c r="M364" s="31">
        <f>2834.5</f>
        <v>2834.5</v>
      </c>
      <c r="N364" s="32" t="s">
        <v>1081</v>
      </c>
      <c r="O364" s="31">
        <f>2658</f>
        <v>2658</v>
      </c>
      <c r="P364" s="32" t="s">
        <v>1240</v>
      </c>
      <c r="Q364" s="31">
        <f>2802.5</f>
        <v>2802.5</v>
      </c>
      <c r="R364" s="32" t="s">
        <v>755</v>
      </c>
      <c r="S364" s="33">
        <f>2776.4</f>
        <v>2776.4</v>
      </c>
      <c r="T364" s="39">
        <f>274470</f>
        <v>274470</v>
      </c>
      <c r="U364" s="30">
        <f>500</f>
        <v>500</v>
      </c>
      <c r="V364" s="30">
        <f>759262420</f>
        <v>759262420</v>
      </c>
      <c r="W364" s="30">
        <f>1379950</f>
        <v>1379950</v>
      </c>
      <c r="X364" s="34">
        <f>20</f>
        <v>20</v>
      </c>
    </row>
    <row r="365" spans="1:24">
      <c r="A365" s="25" t="s">
        <v>1254</v>
      </c>
      <c r="B365" s="25" t="s">
        <v>815</v>
      </c>
      <c r="C365" s="25" t="s">
        <v>816</v>
      </c>
      <c r="D365" s="25" t="s">
        <v>817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10</v>
      </c>
      <c r="K365" s="31">
        <f>3035</f>
        <v>3035</v>
      </c>
      <c r="L365" s="32" t="s">
        <v>1239</v>
      </c>
      <c r="M365" s="31">
        <f>3336</f>
        <v>3336</v>
      </c>
      <c r="N365" s="32" t="s">
        <v>1081</v>
      </c>
      <c r="O365" s="31">
        <f>3024</f>
        <v>3024</v>
      </c>
      <c r="P365" s="32" t="s">
        <v>1240</v>
      </c>
      <c r="Q365" s="31">
        <f>3194</f>
        <v>3194</v>
      </c>
      <c r="R365" s="32" t="s">
        <v>755</v>
      </c>
      <c r="S365" s="33">
        <f>3162.7</f>
        <v>3162.7</v>
      </c>
      <c r="T365" s="39">
        <f>3215470</f>
        <v>3215470</v>
      </c>
      <c r="U365" s="30">
        <f>676860</f>
        <v>676860</v>
      </c>
      <c r="V365" s="30">
        <f>10137358283</f>
        <v>10137358283</v>
      </c>
      <c r="W365" s="30">
        <f>2105165173</f>
        <v>2105165173</v>
      </c>
      <c r="X365" s="34">
        <f>20</f>
        <v>20</v>
      </c>
    </row>
    <row r="366" spans="1:24">
      <c r="A366" s="25" t="s">
        <v>1254</v>
      </c>
      <c r="B366" s="25" t="s">
        <v>806</v>
      </c>
      <c r="C366" s="25" t="s">
        <v>807</v>
      </c>
      <c r="D366" s="25" t="s">
        <v>808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</v>
      </c>
      <c r="K366" s="31">
        <f>5372</f>
        <v>5372</v>
      </c>
      <c r="L366" s="32" t="s">
        <v>1239</v>
      </c>
      <c r="M366" s="31">
        <f>5516</f>
        <v>5516</v>
      </c>
      <c r="N366" s="32" t="s">
        <v>1079</v>
      </c>
      <c r="O366" s="31">
        <f>5202</f>
        <v>5202</v>
      </c>
      <c r="P366" s="32" t="s">
        <v>1081</v>
      </c>
      <c r="Q366" s="31">
        <f>5350</f>
        <v>5350</v>
      </c>
      <c r="R366" s="32" t="s">
        <v>859</v>
      </c>
      <c r="S366" s="33">
        <f>5311.43</f>
        <v>5311.43</v>
      </c>
      <c r="T366" s="39">
        <f>274</f>
        <v>274</v>
      </c>
      <c r="U366" s="30" t="str">
        <f>"－"</f>
        <v>－</v>
      </c>
      <c r="V366" s="30">
        <f>1461793</f>
        <v>1461793</v>
      </c>
      <c r="W366" s="30" t="str">
        <f>"－"</f>
        <v>－</v>
      </c>
      <c r="X366" s="34">
        <f>14</f>
        <v>14</v>
      </c>
    </row>
    <row r="367" spans="1:24">
      <c r="A367" s="25" t="s">
        <v>1254</v>
      </c>
      <c r="B367" s="25" t="s">
        <v>809</v>
      </c>
      <c r="C367" s="25" t="s">
        <v>810</v>
      </c>
      <c r="D367" s="25" t="s">
        <v>811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</v>
      </c>
      <c r="K367" s="31">
        <f>4127</f>
        <v>4127</v>
      </c>
      <c r="L367" s="32" t="s">
        <v>1077</v>
      </c>
      <c r="M367" s="31">
        <f>4200</f>
        <v>4200</v>
      </c>
      <c r="N367" s="32" t="s">
        <v>1207</v>
      </c>
      <c r="O367" s="31">
        <f>4078</f>
        <v>4078</v>
      </c>
      <c r="P367" s="32" t="s">
        <v>1206</v>
      </c>
      <c r="Q367" s="31">
        <f>4131</f>
        <v>4131</v>
      </c>
      <c r="R367" s="32" t="s">
        <v>859</v>
      </c>
      <c r="S367" s="33">
        <f>4128.5</f>
        <v>4128.5</v>
      </c>
      <c r="T367" s="39">
        <f>5150</f>
        <v>5150</v>
      </c>
      <c r="U367" s="30" t="str">
        <f>"－"</f>
        <v>－</v>
      </c>
      <c r="V367" s="30">
        <f>21618043</f>
        <v>21618043</v>
      </c>
      <c r="W367" s="30" t="str">
        <f>"－"</f>
        <v>－</v>
      </c>
      <c r="X367" s="34">
        <f>6</f>
        <v>6</v>
      </c>
    </row>
    <row r="368" spans="1:24">
      <c r="A368" s="25" t="s">
        <v>1254</v>
      </c>
      <c r="B368" s="25" t="s">
        <v>818</v>
      </c>
      <c r="C368" s="25" t="s">
        <v>819</v>
      </c>
      <c r="D368" s="25" t="s">
        <v>820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1877.5</f>
        <v>1877.5</v>
      </c>
      <c r="L368" s="32" t="s">
        <v>1239</v>
      </c>
      <c r="M368" s="31">
        <f>1940</f>
        <v>1940</v>
      </c>
      <c r="N368" s="32" t="s">
        <v>852</v>
      </c>
      <c r="O368" s="31">
        <f>1802</f>
        <v>1802</v>
      </c>
      <c r="P368" s="32" t="s">
        <v>1240</v>
      </c>
      <c r="Q368" s="31">
        <f>1871.5</f>
        <v>1871.5</v>
      </c>
      <c r="R368" s="32" t="s">
        <v>1078</v>
      </c>
      <c r="S368" s="33">
        <f>1863.4</f>
        <v>1863.4</v>
      </c>
      <c r="T368" s="39">
        <f>1150</f>
        <v>1150</v>
      </c>
      <c r="U368" s="30" t="str">
        <f>"－"</f>
        <v>－</v>
      </c>
      <c r="V368" s="30">
        <f>2148885</f>
        <v>2148885</v>
      </c>
      <c r="W368" s="30" t="str">
        <f>"－"</f>
        <v>－</v>
      </c>
      <c r="X368" s="34">
        <f>10</f>
        <v>10</v>
      </c>
    </row>
    <row r="369" spans="1:24">
      <c r="A369" s="25" t="s">
        <v>1254</v>
      </c>
      <c r="B369" s="25" t="s">
        <v>821</v>
      </c>
      <c r="C369" s="25" t="s">
        <v>822</v>
      </c>
      <c r="D369" s="25" t="s">
        <v>823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</v>
      </c>
      <c r="K369" s="31">
        <f>1111</f>
        <v>1111</v>
      </c>
      <c r="L369" s="32" t="s">
        <v>1239</v>
      </c>
      <c r="M369" s="31">
        <f>1174</f>
        <v>1174</v>
      </c>
      <c r="N369" s="32" t="s">
        <v>851</v>
      </c>
      <c r="O369" s="31">
        <f>1080</f>
        <v>1080</v>
      </c>
      <c r="P369" s="32" t="s">
        <v>1239</v>
      </c>
      <c r="Q369" s="31">
        <f>1124</f>
        <v>1124</v>
      </c>
      <c r="R369" s="32" t="s">
        <v>755</v>
      </c>
      <c r="S369" s="33">
        <f>1119.9</f>
        <v>1119.9000000000001</v>
      </c>
      <c r="T369" s="39">
        <f>31783</f>
        <v>31783</v>
      </c>
      <c r="U369" s="30" t="str">
        <f>"－"</f>
        <v>－</v>
      </c>
      <c r="V369" s="30">
        <f>35703419</f>
        <v>35703419</v>
      </c>
      <c r="W369" s="30" t="str">
        <f>"－"</f>
        <v>－</v>
      </c>
      <c r="X369" s="34">
        <f>20</f>
        <v>20</v>
      </c>
    </row>
    <row r="370" spans="1:24">
      <c r="A370" s="25" t="s">
        <v>1254</v>
      </c>
      <c r="B370" s="25" t="s">
        <v>824</v>
      </c>
      <c r="C370" s="25" t="s">
        <v>825</v>
      </c>
      <c r="D370" s="25" t="s">
        <v>826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</v>
      </c>
      <c r="K370" s="31">
        <f>1033</f>
        <v>1033</v>
      </c>
      <c r="L370" s="32" t="s">
        <v>1239</v>
      </c>
      <c r="M370" s="31">
        <f>1064</f>
        <v>1064</v>
      </c>
      <c r="N370" s="32" t="s">
        <v>1211</v>
      </c>
      <c r="O370" s="31">
        <f>1016</f>
        <v>1016</v>
      </c>
      <c r="P370" s="32" t="s">
        <v>1075</v>
      </c>
      <c r="Q370" s="31">
        <f>1038</f>
        <v>1038</v>
      </c>
      <c r="R370" s="32" t="s">
        <v>755</v>
      </c>
      <c r="S370" s="33">
        <f>1038.5</f>
        <v>1038.5</v>
      </c>
      <c r="T370" s="39">
        <f>4360200</f>
        <v>4360200</v>
      </c>
      <c r="U370" s="30">
        <f>1240</f>
        <v>1240</v>
      </c>
      <c r="V370" s="30">
        <f>4526343125</f>
        <v>4526343125</v>
      </c>
      <c r="W370" s="30">
        <f>1282759</f>
        <v>1282759</v>
      </c>
      <c r="X370" s="34">
        <f>20</f>
        <v>20</v>
      </c>
    </row>
    <row r="371" spans="1:24">
      <c r="A371" s="25" t="s">
        <v>1254</v>
      </c>
      <c r="B371" s="25" t="s">
        <v>827</v>
      </c>
      <c r="C371" s="25" t="s">
        <v>828</v>
      </c>
      <c r="D371" s="25" t="s">
        <v>829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902</f>
        <v>902</v>
      </c>
      <c r="L371" s="32" t="s">
        <v>1239</v>
      </c>
      <c r="M371" s="31">
        <f>936</f>
        <v>936</v>
      </c>
      <c r="N371" s="32" t="s">
        <v>1211</v>
      </c>
      <c r="O371" s="31">
        <f>890</f>
        <v>890</v>
      </c>
      <c r="P371" s="32" t="s">
        <v>756</v>
      </c>
      <c r="Q371" s="31">
        <f>907</f>
        <v>907</v>
      </c>
      <c r="R371" s="32" t="s">
        <v>755</v>
      </c>
      <c r="S371" s="33">
        <f>912.6</f>
        <v>912.6</v>
      </c>
      <c r="T371" s="39">
        <f>963257</f>
        <v>963257</v>
      </c>
      <c r="U371" s="30">
        <f>135</f>
        <v>135</v>
      </c>
      <c r="V371" s="30">
        <f>873935031</f>
        <v>873935031</v>
      </c>
      <c r="W371" s="30">
        <f>118273</f>
        <v>118273</v>
      </c>
      <c r="X371" s="34">
        <f>20</f>
        <v>20</v>
      </c>
    </row>
    <row r="372" spans="1:24">
      <c r="A372" s="25" t="s">
        <v>1254</v>
      </c>
      <c r="B372" s="25" t="s">
        <v>834</v>
      </c>
      <c r="C372" s="25" t="s">
        <v>835</v>
      </c>
      <c r="D372" s="25" t="s">
        <v>836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921</f>
        <v>921</v>
      </c>
      <c r="L372" s="32" t="s">
        <v>1239</v>
      </c>
      <c r="M372" s="31">
        <f>1099</f>
        <v>1099</v>
      </c>
      <c r="N372" s="32" t="s">
        <v>851</v>
      </c>
      <c r="O372" s="31">
        <f>921</f>
        <v>921</v>
      </c>
      <c r="P372" s="32" t="s">
        <v>1239</v>
      </c>
      <c r="Q372" s="31">
        <f>1015</f>
        <v>1015</v>
      </c>
      <c r="R372" s="32" t="s">
        <v>755</v>
      </c>
      <c r="S372" s="33">
        <f>1001.5</f>
        <v>1001.5</v>
      </c>
      <c r="T372" s="39">
        <f>11395</f>
        <v>11395</v>
      </c>
      <c r="U372" s="30" t="str">
        <f>"－"</f>
        <v>－</v>
      </c>
      <c r="V372" s="30">
        <f>11329744</f>
        <v>11329744</v>
      </c>
      <c r="W372" s="30" t="str">
        <f>"－"</f>
        <v>－</v>
      </c>
      <c r="X372" s="34">
        <f>20</f>
        <v>20</v>
      </c>
    </row>
    <row r="373" spans="1:24">
      <c r="A373" s="25" t="s">
        <v>1254</v>
      </c>
      <c r="B373" s="25" t="s">
        <v>837</v>
      </c>
      <c r="C373" s="25" t="s">
        <v>838</v>
      </c>
      <c r="D373" s="25" t="s">
        <v>839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959</f>
        <v>959</v>
      </c>
      <c r="L373" s="32" t="s">
        <v>1239</v>
      </c>
      <c r="M373" s="31">
        <f>987</f>
        <v>987</v>
      </c>
      <c r="N373" s="32" t="s">
        <v>1211</v>
      </c>
      <c r="O373" s="31">
        <f>935</f>
        <v>935</v>
      </c>
      <c r="P373" s="32" t="s">
        <v>1078</v>
      </c>
      <c r="Q373" s="31">
        <f>957</f>
        <v>957</v>
      </c>
      <c r="R373" s="32" t="s">
        <v>755</v>
      </c>
      <c r="S373" s="33">
        <f>961.15</f>
        <v>961.15</v>
      </c>
      <c r="T373" s="39">
        <f>1038943</f>
        <v>1038943</v>
      </c>
      <c r="U373" s="30">
        <f>40</f>
        <v>40</v>
      </c>
      <c r="V373" s="30">
        <f>999439317</f>
        <v>999439317</v>
      </c>
      <c r="W373" s="30">
        <f>38227</f>
        <v>38227</v>
      </c>
      <c r="X373" s="34">
        <f>20</f>
        <v>20</v>
      </c>
    </row>
    <row r="374" spans="1:24">
      <c r="A374" s="25" t="s">
        <v>1254</v>
      </c>
      <c r="B374" s="25" t="s">
        <v>840</v>
      </c>
      <c r="C374" s="25" t="s">
        <v>841</v>
      </c>
      <c r="D374" s="25" t="s">
        <v>922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38950</f>
        <v>38950</v>
      </c>
      <c r="L374" s="32" t="s">
        <v>1239</v>
      </c>
      <c r="M374" s="31">
        <f>46670</f>
        <v>46670</v>
      </c>
      <c r="N374" s="32" t="s">
        <v>859</v>
      </c>
      <c r="O374" s="31">
        <f>38280</f>
        <v>38280</v>
      </c>
      <c r="P374" s="32" t="s">
        <v>1240</v>
      </c>
      <c r="Q374" s="31">
        <f>44990</f>
        <v>44990</v>
      </c>
      <c r="R374" s="32" t="s">
        <v>755</v>
      </c>
      <c r="S374" s="33">
        <f>43066.5</f>
        <v>43066.5</v>
      </c>
      <c r="T374" s="39">
        <f>399745</f>
        <v>399745</v>
      </c>
      <c r="U374" s="30">
        <f>478</f>
        <v>478</v>
      </c>
      <c r="V374" s="30">
        <f>17081527495</f>
        <v>17081527495</v>
      </c>
      <c r="W374" s="30">
        <f>19937245</f>
        <v>19937245</v>
      </c>
      <c r="X374" s="34">
        <f>20</f>
        <v>20</v>
      </c>
    </row>
    <row r="375" spans="1:24">
      <c r="A375" s="25" t="s">
        <v>1254</v>
      </c>
      <c r="B375" s="25" t="s">
        <v>842</v>
      </c>
      <c r="C375" s="25" t="s">
        <v>843</v>
      </c>
      <c r="D375" s="25" t="s">
        <v>923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17470</f>
        <v>17470</v>
      </c>
      <c r="L375" s="32" t="s">
        <v>1239</v>
      </c>
      <c r="M375" s="31">
        <f>17820</f>
        <v>17820</v>
      </c>
      <c r="N375" s="32" t="s">
        <v>1239</v>
      </c>
      <c r="O375" s="31">
        <f>14355</f>
        <v>14355</v>
      </c>
      <c r="P375" s="32" t="s">
        <v>859</v>
      </c>
      <c r="Q375" s="31">
        <f>15015</f>
        <v>15015</v>
      </c>
      <c r="R375" s="32" t="s">
        <v>755</v>
      </c>
      <c r="S375" s="33">
        <f>15755</f>
        <v>15755</v>
      </c>
      <c r="T375" s="39">
        <f>840800</f>
        <v>840800</v>
      </c>
      <c r="U375" s="30">
        <f>300</f>
        <v>300</v>
      </c>
      <c r="V375" s="30">
        <f>13287865900</f>
        <v>13287865900</v>
      </c>
      <c r="W375" s="30">
        <f>4624565</f>
        <v>4624565</v>
      </c>
      <c r="X375" s="34">
        <f>20</f>
        <v>20</v>
      </c>
    </row>
    <row r="376" spans="1:24">
      <c r="A376" s="25" t="s">
        <v>1254</v>
      </c>
      <c r="B376" s="25" t="s">
        <v>1173</v>
      </c>
      <c r="C376" s="25" t="s">
        <v>1174</v>
      </c>
      <c r="D376" s="25" t="s">
        <v>1175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1999</f>
        <v>1999</v>
      </c>
      <c r="L376" s="32" t="s">
        <v>1239</v>
      </c>
      <c r="M376" s="31">
        <f>2110</f>
        <v>2110</v>
      </c>
      <c r="N376" s="32" t="s">
        <v>1078</v>
      </c>
      <c r="O376" s="31">
        <f>1977</f>
        <v>1977</v>
      </c>
      <c r="P376" s="32" t="s">
        <v>1239</v>
      </c>
      <c r="Q376" s="31">
        <f>2100</f>
        <v>2100</v>
      </c>
      <c r="R376" s="32" t="s">
        <v>755</v>
      </c>
      <c r="S376" s="33">
        <f>2052.73</f>
        <v>2052.73</v>
      </c>
      <c r="T376" s="39">
        <f>371</f>
        <v>371</v>
      </c>
      <c r="U376" s="30" t="str">
        <f>"－"</f>
        <v>－</v>
      </c>
      <c r="V376" s="30">
        <f>757710</f>
        <v>757710</v>
      </c>
      <c r="W376" s="30" t="str">
        <f>"－"</f>
        <v>－</v>
      </c>
      <c r="X376" s="34">
        <f>15</f>
        <v>15</v>
      </c>
    </row>
    <row r="377" spans="1:24">
      <c r="A377" s="25" t="s">
        <v>1254</v>
      </c>
      <c r="B377" s="25" t="s">
        <v>1176</v>
      </c>
      <c r="C377" s="25" t="s">
        <v>1177</v>
      </c>
      <c r="D377" s="25" t="s">
        <v>1178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9250</f>
        <v>9250</v>
      </c>
      <c r="L377" s="32" t="s">
        <v>1239</v>
      </c>
      <c r="M377" s="31">
        <f>9990</f>
        <v>9990</v>
      </c>
      <c r="N377" s="32" t="s">
        <v>1207</v>
      </c>
      <c r="O377" s="31">
        <f>8845</f>
        <v>8845</v>
      </c>
      <c r="P377" s="32" t="s">
        <v>755</v>
      </c>
      <c r="Q377" s="31">
        <f>8880</f>
        <v>8880</v>
      </c>
      <c r="R377" s="32" t="s">
        <v>755</v>
      </c>
      <c r="S377" s="33">
        <f>9220.5</f>
        <v>9220.5</v>
      </c>
      <c r="T377" s="39">
        <f>8210</f>
        <v>8210</v>
      </c>
      <c r="U377" s="30" t="str">
        <f>"－"</f>
        <v>－</v>
      </c>
      <c r="V377" s="30">
        <f>75499889</f>
        <v>75499889</v>
      </c>
      <c r="W377" s="30" t="str">
        <f>"－"</f>
        <v>－</v>
      </c>
      <c r="X377" s="34">
        <f>18</f>
        <v>18</v>
      </c>
    </row>
    <row r="378" spans="1:24">
      <c r="A378" s="25" t="s">
        <v>1254</v>
      </c>
      <c r="B378" s="25" t="s">
        <v>1180</v>
      </c>
      <c r="C378" s="25" t="s">
        <v>1181</v>
      </c>
      <c r="D378" s="25" t="s">
        <v>1182</v>
      </c>
      <c r="E378" s="26" t="s">
        <v>43</v>
      </c>
      <c r="F378" s="27" t="s">
        <v>43</v>
      </c>
      <c r="G378" s="28" t="s">
        <v>43</v>
      </c>
      <c r="H378" s="29"/>
      <c r="I378" s="29" t="s">
        <v>44</v>
      </c>
      <c r="J378" s="30">
        <v>10</v>
      </c>
      <c r="K378" s="31">
        <f>171.8</f>
        <v>171.8</v>
      </c>
      <c r="L378" s="32" t="s">
        <v>1239</v>
      </c>
      <c r="M378" s="31">
        <f>189.4</f>
        <v>189.4</v>
      </c>
      <c r="N378" s="32" t="s">
        <v>859</v>
      </c>
      <c r="O378" s="31">
        <f>171.2</f>
        <v>171.2</v>
      </c>
      <c r="P378" s="32" t="s">
        <v>1079</v>
      </c>
      <c r="Q378" s="31">
        <f>183.7</f>
        <v>183.7</v>
      </c>
      <c r="R378" s="32" t="s">
        <v>755</v>
      </c>
      <c r="S378" s="33">
        <f>180.38</f>
        <v>180.38</v>
      </c>
      <c r="T378" s="39">
        <f>6409400</f>
        <v>6409400</v>
      </c>
      <c r="U378" s="30">
        <f>50</f>
        <v>50</v>
      </c>
      <c r="V378" s="30">
        <f>1148814974</f>
        <v>1148814974</v>
      </c>
      <c r="W378" s="30">
        <f>9388</f>
        <v>9388</v>
      </c>
      <c r="X378" s="34">
        <f>20</f>
        <v>20</v>
      </c>
    </row>
    <row r="379" spans="1:24">
      <c r="A379" s="25" t="s">
        <v>1254</v>
      </c>
      <c r="B379" s="25" t="s">
        <v>1184</v>
      </c>
      <c r="C379" s="25" t="s">
        <v>1185</v>
      </c>
      <c r="D379" s="25" t="s">
        <v>1186</v>
      </c>
      <c r="E379" s="26" t="s">
        <v>43</v>
      </c>
      <c r="F379" s="27" t="s">
        <v>43</v>
      </c>
      <c r="G379" s="28" t="s">
        <v>43</v>
      </c>
      <c r="H379" s="29"/>
      <c r="I379" s="29" t="s">
        <v>44</v>
      </c>
      <c r="J379" s="30">
        <v>10</v>
      </c>
      <c r="K379" s="31">
        <f>223.5</f>
        <v>223.5</v>
      </c>
      <c r="L379" s="32" t="s">
        <v>1239</v>
      </c>
      <c r="M379" s="31">
        <f>232.8</f>
        <v>232.8</v>
      </c>
      <c r="N379" s="32" t="s">
        <v>1077</v>
      </c>
      <c r="O379" s="31">
        <f>217.1</f>
        <v>217.1</v>
      </c>
      <c r="P379" s="32" t="s">
        <v>851</v>
      </c>
      <c r="Q379" s="31">
        <f>225.1</f>
        <v>225.1</v>
      </c>
      <c r="R379" s="32" t="s">
        <v>755</v>
      </c>
      <c r="S379" s="33">
        <f>225.38</f>
        <v>225.38</v>
      </c>
      <c r="T379" s="39">
        <f>23575340</f>
        <v>23575340</v>
      </c>
      <c r="U379" s="30">
        <f>4756060</f>
        <v>4756060</v>
      </c>
      <c r="V379" s="30">
        <f>5311919094</f>
        <v>5311919094</v>
      </c>
      <c r="W379" s="30">
        <f>1071576618</f>
        <v>1071576618</v>
      </c>
      <c r="X379" s="34">
        <f>20</f>
        <v>20</v>
      </c>
    </row>
    <row r="380" spans="1:24">
      <c r="A380" s="25" t="s">
        <v>1254</v>
      </c>
      <c r="B380" s="25" t="s">
        <v>1187</v>
      </c>
      <c r="C380" s="25" t="s">
        <v>1188</v>
      </c>
      <c r="D380" s="25" t="s">
        <v>1189</v>
      </c>
      <c r="E380" s="26" t="s">
        <v>43</v>
      </c>
      <c r="F380" s="27" t="s">
        <v>43</v>
      </c>
      <c r="G380" s="28" t="s">
        <v>43</v>
      </c>
      <c r="H380" s="29"/>
      <c r="I380" s="29" t="s">
        <v>44</v>
      </c>
      <c r="J380" s="30">
        <v>1</v>
      </c>
      <c r="K380" s="31">
        <f>934</f>
        <v>934</v>
      </c>
      <c r="L380" s="32" t="s">
        <v>1239</v>
      </c>
      <c r="M380" s="31">
        <f>1020</f>
        <v>1020</v>
      </c>
      <c r="N380" s="32" t="s">
        <v>755</v>
      </c>
      <c r="O380" s="31">
        <f>880</f>
        <v>880</v>
      </c>
      <c r="P380" s="32" t="s">
        <v>1240</v>
      </c>
      <c r="Q380" s="31">
        <f>1016</f>
        <v>1016</v>
      </c>
      <c r="R380" s="32" t="s">
        <v>755</v>
      </c>
      <c r="S380" s="33">
        <f>961.8</f>
        <v>961.8</v>
      </c>
      <c r="T380" s="39">
        <f>1265477</f>
        <v>1265477</v>
      </c>
      <c r="U380" s="30">
        <f>127209</f>
        <v>127209</v>
      </c>
      <c r="V380" s="30">
        <f>1206417948</f>
        <v>1206417948</v>
      </c>
      <c r="W380" s="30">
        <f>117888868</f>
        <v>117888868</v>
      </c>
      <c r="X380" s="34">
        <f>20</f>
        <v>20</v>
      </c>
    </row>
    <row r="381" spans="1:24">
      <c r="A381" s="25" t="s">
        <v>1254</v>
      </c>
      <c r="B381" s="25" t="s">
        <v>1191</v>
      </c>
      <c r="C381" s="25" t="s">
        <v>1192</v>
      </c>
      <c r="D381" s="25" t="s">
        <v>1193</v>
      </c>
      <c r="E381" s="26" t="s">
        <v>43</v>
      </c>
      <c r="F381" s="27" t="s">
        <v>43</v>
      </c>
      <c r="G381" s="28" t="s">
        <v>43</v>
      </c>
      <c r="H381" s="29"/>
      <c r="I381" s="29" t="s">
        <v>44</v>
      </c>
      <c r="J381" s="30">
        <v>1</v>
      </c>
      <c r="K381" s="31">
        <f>1677</f>
        <v>1677</v>
      </c>
      <c r="L381" s="32" t="s">
        <v>1239</v>
      </c>
      <c r="M381" s="31">
        <f>1912</f>
        <v>1912</v>
      </c>
      <c r="N381" s="32" t="s">
        <v>859</v>
      </c>
      <c r="O381" s="31">
        <f>1674</f>
        <v>1674</v>
      </c>
      <c r="P381" s="32" t="s">
        <v>1239</v>
      </c>
      <c r="Q381" s="31">
        <f>1836</f>
        <v>1836</v>
      </c>
      <c r="R381" s="32" t="s">
        <v>755</v>
      </c>
      <c r="S381" s="33">
        <f>1793.5</f>
        <v>1793.5</v>
      </c>
      <c r="T381" s="39">
        <f>10318200</f>
        <v>10318200</v>
      </c>
      <c r="U381" s="30">
        <f>29737</f>
        <v>29737</v>
      </c>
      <c r="V381" s="30">
        <f>18514179514</f>
        <v>18514179514</v>
      </c>
      <c r="W381" s="30">
        <f>54959164</f>
        <v>54959164</v>
      </c>
      <c r="X381" s="34">
        <f>20</f>
        <v>20</v>
      </c>
    </row>
    <row r="382" spans="1:24">
      <c r="A382" s="25" t="s">
        <v>1254</v>
      </c>
      <c r="B382" s="25" t="s">
        <v>1195</v>
      </c>
      <c r="C382" s="25" t="s">
        <v>1196</v>
      </c>
      <c r="D382" s="25" t="s">
        <v>1197</v>
      </c>
      <c r="E382" s="26" t="s">
        <v>43</v>
      </c>
      <c r="F382" s="27" t="s">
        <v>43</v>
      </c>
      <c r="G382" s="28" t="s">
        <v>43</v>
      </c>
      <c r="H382" s="29"/>
      <c r="I382" s="29" t="s">
        <v>44</v>
      </c>
      <c r="J382" s="30">
        <v>10</v>
      </c>
      <c r="K382" s="31">
        <f>1195</f>
        <v>1195</v>
      </c>
      <c r="L382" s="32" t="s">
        <v>1239</v>
      </c>
      <c r="M382" s="31">
        <f>1234.5</f>
        <v>1234.5</v>
      </c>
      <c r="N382" s="32" t="s">
        <v>1240</v>
      </c>
      <c r="O382" s="31">
        <f>977.2</f>
        <v>977.2</v>
      </c>
      <c r="P382" s="32" t="s">
        <v>859</v>
      </c>
      <c r="Q382" s="31">
        <f>1015</f>
        <v>1015</v>
      </c>
      <c r="R382" s="32" t="s">
        <v>755</v>
      </c>
      <c r="S382" s="33">
        <f>1065.54</f>
        <v>1065.54</v>
      </c>
      <c r="T382" s="39">
        <f>8097000</f>
        <v>8097000</v>
      </c>
      <c r="U382" s="30">
        <f>260</f>
        <v>260</v>
      </c>
      <c r="V382" s="30">
        <f>8415207066</f>
        <v>8415207066</v>
      </c>
      <c r="W382" s="30">
        <f>264120</f>
        <v>264120</v>
      </c>
      <c r="X382" s="34">
        <f>20</f>
        <v>20</v>
      </c>
    </row>
    <row r="383" spans="1:24">
      <c r="A383" s="25" t="s">
        <v>1254</v>
      </c>
      <c r="B383" s="25" t="s">
        <v>1202</v>
      </c>
      <c r="C383" s="25" t="s">
        <v>1201</v>
      </c>
      <c r="D383" s="25" t="s">
        <v>1200</v>
      </c>
      <c r="E383" s="26" t="s">
        <v>43</v>
      </c>
      <c r="F383" s="27" t="s">
        <v>43</v>
      </c>
      <c r="G383" s="28" t="s">
        <v>43</v>
      </c>
      <c r="H383" s="29"/>
      <c r="I383" s="29" t="s">
        <v>44</v>
      </c>
      <c r="J383" s="30">
        <v>1</v>
      </c>
      <c r="K383" s="31">
        <f>1078</f>
        <v>1078</v>
      </c>
      <c r="L383" s="32" t="s">
        <v>1239</v>
      </c>
      <c r="M383" s="31">
        <f>1140</f>
        <v>1140</v>
      </c>
      <c r="N383" s="32" t="s">
        <v>1078</v>
      </c>
      <c r="O383" s="31">
        <f>1074</f>
        <v>1074</v>
      </c>
      <c r="P383" s="32" t="s">
        <v>1239</v>
      </c>
      <c r="Q383" s="31">
        <f>1122</f>
        <v>1122</v>
      </c>
      <c r="R383" s="32" t="s">
        <v>755</v>
      </c>
      <c r="S383" s="33">
        <f>1099.65</f>
        <v>1099.6500000000001</v>
      </c>
      <c r="T383" s="39">
        <f>22602</f>
        <v>22602</v>
      </c>
      <c r="U383" s="30" t="str">
        <f>"－"</f>
        <v>－</v>
      </c>
      <c r="V383" s="30">
        <f>24570972</f>
        <v>24570972</v>
      </c>
      <c r="W383" s="30" t="str">
        <f>"－"</f>
        <v>－</v>
      </c>
      <c r="X383" s="34">
        <f>20</f>
        <v>20</v>
      </c>
    </row>
    <row r="384" spans="1:24">
      <c r="A384" s="25" t="s">
        <v>1254</v>
      </c>
      <c r="B384" s="25" t="s">
        <v>1223</v>
      </c>
      <c r="C384" s="25" t="s">
        <v>1224</v>
      </c>
      <c r="D384" s="25" t="s">
        <v>1225</v>
      </c>
      <c r="E384" s="26" t="s">
        <v>43</v>
      </c>
      <c r="F384" s="27" t="s">
        <v>43</v>
      </c>
      <c r="G384" s="28" t="s">
        <v>43</v>
      </c>
      <c r="H384" s="29"/>
      <c r="I384" s="29" t="s">
        <v>452</v>
      </c>
      <c r="J384" s="30">
        <v>1</v>
      </c>
      <c r="K384" s="31">
        <f>9954</f>
        <v>9954</v>
      </c>
      <c r="L384" s="32" t="s">
        <v>1239</v>
      </c>
      <c r="M384" s="31">
        <f>10185</f>
        <v>10185</v>
      </c>
      <c r="N384" s="32" t="s">
        <v>1211</v>
      </c>
      <c r="O384" s="31">
        <f>9892</f>
        <v>9892</v>
      </c>
      <c r="P384" s="32" t="s">
        <v>1240</v>
      </c>
      <c r="Q384" s="31">
        <f>10180</f>
        <v>10180</v>
      </c>
      <c r="R384" s="32" t="s">
        <v>755</v>
      </c>
      <c r="S384" s="33">
        <f>10022.15</f>
        <v>10022.15</v>
      </c>
      <c r="T384" s="39">
        <f>7025</f>
        <v>7025</v>
      </c>
      <c r="U384" s="30" t="str">
        <f>"－"</f>
        <v>－</v>
      </c>
      <c r="V384" s="30">
        <f>70557315</f>
        <v>70557315</v>
      </c>
      <c r="W384" s="30" t="str">
        <f>"－"</f>
        <v>－</v>
      </c>
      <c r="X384" s="34">
        <f>20</f>
        <v>20</v>
      </c>
    </row>
    <row r="385" spans="1:24">
      <c r="A385" s="25" t="s">
        <v>1254</v>
      </c>
      <c r="B385" s="25" t="s">
        <v>1227</v>
      </c>
      <c r="C385" s="25" t="s">
        <v>1228</v>
      </c>
      <c r="D385" s="25" t="s">
        <v>1229</v>
      </c>
      <c r="E385" s="26" t="s">
        <v>43</v>
      </c>
      <c r="F385" s="27" t="s">
        <v>43</v>
      </c>
      <c r="G385" s="28" t="s">
        <v>43</v>
      </c>
      <c r="H385" s="29"/>
      <c r="I385" s="29" t="s">
        <v>44</v>
      </c>
      <c r="J385" s="30">
        <v>1</v>
      </c>
      <c r="K385" s="31">
        <f>1802</f>
        <v>1802</v>
      </c>
      <c r="L385" s="32" t="s">
        <v>1239</v>
      </c>
      <c r="M385" s="31">
        <f>2235</f>
        <v>2235</v>
      </c>
      <c r="N385" s="32" t="s">
        <v>859</v>
      </c>
      <c r="O385" s="31">
        <f>1802</f>
        <v>1802</v>
      </c>
      <c r="P385" s="32" t="s">
        <v>1239</v>
      </c>
      <c r="Q385" s="31">
        <f>2150</f>
        <v>2150</v>
      </c>
      <c r="R385" s="32" t="s">
        <v>755</v>
      </c>
      <c r="S385" s="33">
        <f>2051.05</f>
        <v>2051.0500000000002</v>
      </c>
      <c r="T385" s="39">
        <f>169950</f>
        <v>169950</v>
      </c>
      <c r="U385" s="30" t="str">
        <f>"－"</f>
        <v>－</v>
      </c>
      <c r="V385" s="30">
        <f>348069225</f>
        <v>348069225</v>
      </c>
      <c r="W385" s="30" t="str">
        <f>"－"</f>
        <v>－</v>
      </c>
      <c r="X385" s="34">
        <f>20</f>
        <v>20</v>
      </c>
    </row>
    <row r="386" spans="1:24">
      <c r="A386" s="25" t="s">
        <v>1254</v>
      </c>
      <c r="B386" s="25" t="s">
        <v>1231</v>
      </c>
      <c r="C386" s="25" t="s">
        <v>1232</v>
      </c>
      <c r="D386" s="25" t="s">
        <v>1233</v>
      </c>
      <c r="E386" s="26" t="s">
        <v>43</v>
      </c>
      <c r="F386" s="27" t="s">
        <v>43</v>
      </c>
      <c r="G386" s="28" t="s">
        <v>43</v>
      </c>
      <c r="H386" s="29"/>
      <c r="I386" s="29" t="s">
        <v>44</v>
      </c>
      <c r="J386" s="30">
        <v>10</v>
      </c>
      <c r="K386" s="31">
        <f>193.8</f>
        <v>193.8</v>
      </c>
      <c r="L386" s="32" t="s">
        <v>1239</v>
      </c>
      <c r="M386" s="31">
        <f>201.7</f>
        <v>201.7</v>
      </c>
      <c r="N386" s="32" t="s">
        <v>1211</v>
      </c>
      <c r="O386" s="31">
        <f>192.2</f>
        <v>192.2</v>
      </c>
      <c r="P386" s="32" t="s">
        <v>1239</v>
      </c>
      <c r="Q386" s="31">
        <f>200.9</f>
        <v>200.9</v>
      </c>
      <c r="R386" s="32" t="s">
        <v>755</v>
      </c>
      <c r="S386" s="33">
        <f>198.01</f>
        <v>198.01</v>
      </c>
      <c r="T386" s="39">
        <f>789260</f>
        <v>789260</v>
      </c>
      <c r="U386" s="30">
        <f>220</f>
        <v>220</v>
      </c>
      <c r="V386" s="30">
        <f>156141840</f>
        <v>156141840</v>
      </c>
      <c r="W386" s="30">
        <f>42498</f>
        <v>42498</v>
      </c>
      <c r="X386" s="34">
        <f>20</f>
        <v>20</v>
      </c>
    </row>
    <row r="387" spans="1:24">
      <c r="A387" s="25" t="s">
        <v>1254</v>
      </c>
      <c r="B387" s="25" t="s">
        <v>1234</v>
      </c>
      <c r="C387" s="25" t="s">
        <v>1235</v>
      </c>
      <c r="D387" s="25" t="s">
        <v>1236</v>
      </c>
      <c r="E387" s="26" t="s">
        <v>43</v>
      </c>
      <c r="F387" s="27" t="s">
        <v>43</v>
      </c>
      <c r="G387" s="28" t="s">
        <v>43</v>
      </c>
      <c r="H387" s="29"/>
      <c r="I387" s="29" t="s">
        <v>44</v>
      </c>
      <c r="J387" s="30">
        <v>10</v>
      </c>
      <c r="K387" s="31">
        <f>481.4</f>
        <v>481.4</v>
      </c>
      <c r="L387" s="32" t="s">
        <v>1239</v>
      </c>
      <c r="M387" s="31">
        <f>523.4</f>
        <v>523.4</v>
      </c>
      <c r="N387" s="32" t="s">
        <v>859</v>
      </c>
      <c r="O387" s="31">
        <f>477</f>
        <v>477</v>
      </c>
      <c r="P387" s="32" t="s">
        <v>1239</v>
      </c>
      <c r="Q387" s="31">
        <f>518</f>
        <v>518</v>
      </c>
      <c r="R387" s="32" t="s">
        <v>755</v>
      </c>
      <c r="S387" s="33">
        <f>500.88</f>
        <v>500.88</v>
      </c>
      <c r="T387" s="39">
        <f>223810</f>
        <v>223810</v>
      </c>
      <c r="U387" s="30" t="str">
        <f>"－"</f>
        <v>－</v>
      </c>
      <c r="V387" s="30">
        <f>109658665</f>
        <v>109658665</v>
      </c>
      <c r="W387" s="30" t="str">
        <f>"－"</f>
        <v>－</v>
      </c>
      <c r="X387" s="34">
        <f>19</f>
        <v>19</v>
      </c>
    </row>
    <row r="388" spans="1:24">
      <c r="A388" s="25" t="s">
        <v>1254</v>
      </c>
      <c r="B388" s="25" t="s">
        <v>1242</v>
      </c>
      <c r="C388" s="25" t="s">
        <v>1243</v>
      </c>
      <c r="D388" s="25" t="s">
        <v>1244</v>
      </c>
      <c r="E388" s="26" t="s">
        <v>43</v>
      </c>
      <c r="F388" s="27" t="s">
        <v>43</v>
      </c>
      <c r="G388" s="28" t="s">
        <v>43</v>
      </c>
      <c r="H388" s="29"/>
      <c r="I388" s="29" t="s">
        <v>44</v>
      </c>
      <c r="J388" s="30">
        <v>1</v>
      </c>
      <c r="K388" s="31">
        <f>2103</f>
        <v>2103</v>
      </c>
      <c r="L388" s="32" t="s">
        <v>1239</v>
      </c>
      <c r="M388" s="31">
        <f>2254</f>
        <v>2254</v>
      </c>
      <c r="N388" s="32" t="s">
        <v>1212</v>
      </c>
      <c r="O388" s="31">
        <f>2092</f>
        <v>2092</v>
      </c>
      <c r="P388" s="32" t="s">
        <v>1239</v>
      </c>
      <c r="Q388" s="31">
        <f>2205</f>
        <v>2205</v>
      </c>
      <c r="R388" s="32" t="s">
        <v>755</v>
      </c>
      <c r="S388" s="33">
        <f>2155.75</f>
        <v>2155.75</v>
      </c>
      <c r="T388" s="39">
        <f>300582</f>
        <v>300582</v>
      </c>
      <c r="U388" s="30">
        <f>1</f>
        <v>1</v>
      </c>
      <c r="V388" s="30">
        <f>647742239</f>
        <v>647742239</v>
      </c>
      <c r="W388" s="30">
        <f>2136</f>
        <v>2136</v>
      </c>
      <c r="X388" s="34">
        <f>20</f>
        <v>20</v>
      </c>
    </row>
    <row r="389" spans="1:24">
      <c r="A389" s="25" t="s">
        <v>1254</v>
      </c>
      <c r="B389" s="25" t="s">
        <v>1246</v>
      </c>
      <c r="C389" s="25" t="s">
        <v>1247</v>
      </c>
      <c r="D389" s="25" t="s">
        <v>1248</v>
      </c>
      <c r="E389" s="26" t="s">
        <v>43</v>
      </c>
      <c r="F389" s="27" t="s">
        <v>43</v>
      </c>
      <c r="G389" s="28" t="s">
        <v>43</v>
      </c>
      <c r="H389" s="29"/>
      <c r="I389" s="29" t="s">
        <v>44</v>
      </c>
      <c r="J389" s="30">
        <v>1</v>
      </c>
      <c r="K389" s="31">
        <f>1054</f>
        <v>1054</v>
      </c>
      <c r="L389" s="32" t="s">
        <v>1239</v>
      </c>
      <c r="M389" s="31">
        <f>1146</f>
        <v>1146</v>
      </c>
      <c r="N389" s="32" t="s">
        <v>859</v>
      </c>
      <c r="O389" s="31">
        <f>1048</f>
        <v>1048</v>
      </c>
      <c r="P389" s="32" t="s">
        <v>1239</v>
      </c>
      <c r="Q389" s="31">
        <f>1119</f>
        <v>1119</v>
      </c>
      <c r="R389" s="32" t="s">
        <v>755</v>
      </c>
      <c r="S389" s="33">
        <f>1104.35</f>
        <v>1104.3499999999999</v>
      </c>
      <c r="T389" s="39">
        <f>176625</f>
        <v>176625</v>
      </c>
      <c r="U389" s="30" t="str">
        <f>"－"</f>
        <v>－</v>
      </c>
      <c r="V389" s="30">
        <f>195318815</f>
        <v>195318815</v>
      </c>
      <c r="W389" s="30" t="str">
        <f>"－"</f>
        <v>－</v>
      </c>
      <c r="X389" s="34">
        <f>20</f>
        <v>20</v>
      </c>
    </row>
    <row r="390" spans="1:24">
      <c r="A390" s="25" t="s">
        <v>1254</v>
      </c>
      <c r="B390" s="25" t="s">
        <v>1258</v>
      </c>
      <c r="C390" s="25" t="s">
        <v>1257</v>
      </c>
      <c r="D390" s="25" t="s">
        <v>1256</v>
      </c>
      <c r="E390" s="26" t="s">
        <v>659</v>
      </c>
      <c r="F390" s="27" t="s">
        <v>660</v>
      </c>
      <c r="G390" s="28" t="s">
        <v>1255</v>
      </c>
      <c r="H390" s="29"/>
      <c r="I390" s="29" t="s">
        <v>44</v>
      </c>
      <c r="J390" s="30">
        <v>10</v>
      </c>
      <c r="K390" s="31">
        <f>1025.5</f>
        <v>1025.5</v>
      </c>
      <c r="L390" s="32" t="s">
        <v>1206</v>
      </c>
      <c r="M390" s="31">
        <f>1031.5</f>
        <v>1031.5</v>
      </c>
      <c r="N390" s="32" t="s">
        <v>755</v>
      </c>
      <c r="O390" s="31">
        <f>1009</f>
        <v>1009</v>
      </c>
      <c r="P390" s="32" t="s">
        <v>850</v>
      </c>
      <c r="Q390" s="31">
        <f>1026</f>
        <v>1026</v>
      </c>
      <c r="R390" s="32" t="s">
        <v>755</v>
      </c>
      <c r="S390" s="33">
        <f>1018.89</f>
        <v>1018.89</v>
      </c>
      <c r="T390" s="39">
        <f>8910</f>
        <v>8910</v>
      </c>
      <c r="U390" s="30" t="str">
        <f>"－"</f>
        <v>－</v>
      </c>
      <c r="V390" s="30">
        <f>9097625</f>
        <v>9097625</v>
      </c>
      <c r="W390" s="30" t="str">
        <f>"－"</f>
        <v>－</v>
      </c>
      <c r="X390" s="34">
        <f>14</f>
        <v>14</v>
      </c>
    </row>
    <row r="391" spans="1:24">
      <c r="A391" s="25" t="s">
        <v>1254</v>
      </c>
      <c r="B391" s="25" t="s">
        <v>1253</v>
      </c>
      <c r="C391" s="25" t="s">
        <v>1252</v>
      </c>
      <c r="D391" s="25" t="s">
        <v>1251</v>
      </c>
      <c r="E391" s="26" t="s">
        <v>659</v>
      </c>
      <c r="F391" s="27" t="s">
        <v>660</v>
      </c>
      <c r="G391" s="28" t="s">
        <v>1250</v>
      </c>
      <c r="H391" s="29"/>
      <c r="I391" s="29" t="s">
        <v>44</v>
      </c>
      <c r="J391" s="30">
        <v>1</v>
      </c>
      <c r="K391" s="31">
        <f>2012</f>
        <v>2012</v>
      </c>
      <c r="L391" s="32" t="s">
        <v>859</v>
      </c>
      <c r="M391" s="31">
        <f>2031</f>
        <v>2031</v>
      </c>
      <c r="N391" s="32" t="s">
        <v>859</v>
      </c>
      <c r="O391" s="31">
        <f>2001</f>
        <v>2001</v>
      </c>
      <c r="P391" s="32" t="s">
        <v>755</v>
      </c>
      <c r="Q391" s="31">
        <f>2006</f>
        <v>2006</v>
      </c>
      <c r="R391" s="32" t="s">
        <v>755</v>
      </c>
      <c r="S391" s="33">
        <f>2016.5</f>
        <v>2016.5</v>
      </c>
      <c r="T391" s="39">
        <f>16035</f>
        <v>16035</v>
      </c>
      <c r="U391" s="30" t="str">
        <f>"－"</f>
        <v>－</v>
      </c>
      <c r="V391" s="30">
        <f>32321943</f>
        <v>32321943</v>
      </c>
      <c r="W391" s="30" t="str">
        <f>"－"</f>
        <v>－</v>
      </c>
      <c r="X391" s="34">
        <f>2</f>
        <v>2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A9831-B8F5-4514-A0AB-CFEB8C52ED2F}">
  <sheetPr>
    <pageSetUpPr fitToPage="1"/>
  </sheetPr>
  <dimension ref="A1:X391"/>
  <sheetViews>
    <sheetView showGridLines="0" view="pageBreakPreview" zoomScaleNormal="70" zoomScaleSheetLayoutView="100" workbookViewId="0">
      <pane ySplit="6" topLeftCell="A7" activePane="bottomLeft" state="frozen"/>
      <selection pane="bottomLeft"/>
    </sheetView>
  </sheetViews>
  <sheetFormatPr defaultRowHeight="17.649999999999999"/>
  <cols>
    <col min="1" max="1" width="13.125" style="3" bestFit="1" customWidth="1"/>
    <col min="2" max="2" width="10.75" style="3" bestFit="1" customWidth="1"/>
    <col min="3" max="4" width="27.625" style="3" customWidth="1"/>
    <col min="5" max="5" width="13.75" style="3" bestFit="1" customWidth="1"/>
    <col min="6" max="6" width="20.75" style="3" bestFit="1" customWidth="1"/>
    <col min="7" max="7" width="11.25" style="3" customWidth="1"/>
    <col min="8" max="8" width="8.75" style="3" bestFit="1" customWidth="1"/>
    <col min="9" max="9" width="11.75" style="3" bestFit="1" customWidth="1"/>
    <col min="10" max="10" width="12.625" style="3" bestFit="1" customWidth="1"/>
    <col min="11" max="11" width="16.25" style="3" customWidth="1"/>
    <col min="12" max="12" width="5.625" style="3" bestFit="1" customWidth="1"/>
    <col min="13" max="13" width="16.25" style="3" customWidth="1"/>
    <col min="14" max="14" width="5.625" style="3" bestFit="1" customWidth="1"/>
    <col min="15" max="15" width="16.25" style="3" customWidth="1"/>
    <col min="16" max="16" width="5.625" style="3" bestFit="1" customWidth="1"/>
    <col min="17" max="17" width="16.25" style="3" customWidth="1"/>
    <col min="18" max="18" width="5.625" style="3" bestFit="1" customWidth="1"/>
    <col min="19" max="19" width="23.875" style="3" bestFit="1" customWidth="1"/>
    <col min="20" max="20" width="16.25" style="40" customWidth="1"/>
    <col min="21" max="21" width="24.125" style="3" customWidth="1"/>
    <col min="22" max="22" width="19.875" style="3" bestFit="1" customWidth="1"/>
    <col min="23" max="23" width="25" style="3" bestFit="1" customWidth="1"/>
    <col min="24" max="24" width="13.125" style="3" bestFit="1" customWidth="1"/>
    <col min="25" max="16384" width="9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36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3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38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1238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2891.5</f>
        <v>2891.5</v>
      </c>
      <c r="L7" s="32" t="s">
        <v>1239</v>
      </c>
      <c r="M7" s="31">
        <f>2894</f>
        <v>2894</v>
      </c>
      <c r="N7" s="32" t="s">
        <v>1239</v>
      </c>
      <c r="O7" s="31">
        <f>2390</f>
        <v>2390</v>
      </c>
      <c r="P7" s="32" t="s">
        <v>1079</v>
      </c>
      <c r="Q7" s="31">
        <f>2861</f>
        <v>2861</v>
      </c>
      <c r="R7" s="32" t="s">
        <v>755</v>
      </c>
      <c r="S7" s="33">
        <f>2717.69</f>
        <v>2717.69</v>
      </c>
      <c r="T7" s="39">
        <f>22947790</f>
        <v>22947790</v>
      </c>
      <c r="U7" s="30">
        <f>15358140</f>
        <v>15358140</v>
      </c>
      <c r="V7" s="30">
        <f>60364392647</f>
        <v>60364392647</v>
      </c>
      <c r="W7" s="30">
        <f>40004885312</f>
        <v>40004885312</v>
      </c>
      <c r="X7" s="34">
        <f>21</f>
        <v>21</v>
      </c>
    </row>
    <row r="8" spans="1:24">
      <c r="A8" s="25" t="s">
        <v>1238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2856.5</f>
        <v>2856.5</v>
      </c>
      <c r="L8" s="32" t="s">
        <v>1239</v>
      </c>
      <c r="M8" s="31">
        <f>2863</f>
        <v>2863</v>
      </c>
      <c r="N8" s="32" t="s">
        <v>1239</v>
      </c>
      <c r="O8" s="31">
        <f>2358.5</f>
        <v>2358.5</v>
      </c>
      <c r="P8" s="32" t="s">
        <v>1079</v>
      </c>
      <c r="Q8" s="31">
        <f>2834.5</f>
        <v>2834.5</v>
      </c>
      <c r="R8" s="32" t="s">
        <v>755</v>
      </c>
      <c r="S8" s="33">
        <f>2689.33</f>
        <v>2689.33</v>
      </c>
      <c r="T8" s="39">
        <f>71781290</f>
        <v>71781290</v>
      </c>
      <c r="U8" s="30">
        <f>14624570</f>
        <v>14624570</v>
      </c>
      <c r="V8" s="30">
        <f>191734183851</f>
        <v>191734183851</v>
      </c>
      <c r="W8" s="30">
        <f>39543215316</f>
        <v>39543215316</v>
      </c>
      <c r="X8" s="34">
        <f>21</f>
        <v>21</v>
      </c>
    </row>
    <row r="9" spans="1:24">
      <c r="A9" s="25" t="s">
        <v>1238</v>
      </c>
      <c r="B9" s="25" t="s">
        <v>48</v>
      </c>
      <c r="C9" s="25" t="s">
        <v>49</v>
      </c>
      <c r="D9" s="25" t="s">
        <v>1218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2826</f>
        <v>2826</v>
      </c>
      <c r="L9" s="32" t="s">
        <v>1239</v>
      </c>
      <c r="M9" s="31">
        <f>2829</f>
        <v>2829</v>
      </c>
      <c r="N9" s="32" t="s">
        <v>1239</v>
      </c>
      <c r="O9" s="31">
        <f>2331</f>
        <v>2331</v>
      </c>
      <c r="P9" s="32" t="s">
        <v>1079</v>
      </c>
      <c r="Q9" s="31">
        <f>2798</f>
        <v>2798</v>
      </c>
      <c r="R9" s="32" t="s">
        <v>755</v>
      </c>
      <c r="S9" s="33">
        <f>2658.38</f>
        <v>2658.38</v>
      </c>
      <c r="T9" s="39">
        <f>17710184</f>
        <v>17710184</v>
      </c>
      <c r="U9" s="30">
        <f>4807812</f>
        <v>4807812</v>
      </c>
      <c r="V9" s="30">
        <f>46504476458</f>
        <v>46504476458</v>
      </c>
      <c r="W9" s="30">
        <f>12949560411</f>
        <v>12949560411</v>
      </c>
      <c r="X9" s="34">
        <f>21</f>
        <v>21</v>
      </c>
    </row>
    <row r="10" spans="1:24">
      <c r="A10" s="25" t="s">
        <v>1238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43950</f>
        <v>43950</v>
      </c>
      <c r="L10" s="32" t="s">
        <v>1239</v>
      </c>
      <c r="M10" s="31">
        <f>43950</f>
        <v>43950</v>
      </c>
      <c r="N10" s="32" t="s">
        <v>1239</v>
      </c>
      <c r="O10" s="31">
        <f>37350</f>
        <v>37350</v>
      </c>
      <c r="P10" s="32" t="s">
        <v>1077</v>
      </c>
      <c r="Q10" s="31">
        <f>41250</f>
        <v>41250</v>
      </c>
      <c r="R10" s="32" t="s">
        <v>755</v>
      </c>
      <c r="S10" s="33">
        <f>41255.24</f>
        <v>41255.24</v>
      </c>
      <c r="T10" s="39">
        <f>11174</f>
        <v>11174</v>
      </c>
      <c r="U10" s="30" t="str">
        <f>"－"</f>
        <v>－</v>
      </c>
      <c r="V10" s="30">
        <f>452572610</f>
        <v>452572610</v>
      </c>
      <c r="W10" s="30" t="str">
        <f>"－"</f>
        <v>－</v>
      </c>
      <c r="X10" s="34">
        <f>21</f>
        <v>21</v>
      </c>
    </row>
    <row r="11" spans="1:24">
      <c r="A11" s="25" t="s">
        <v>1238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1426</f>
        <v>1426</v>
      </c>
      <c r="L11" s="32" t="s">
        <v>1239</v>
      </c>
      <c r="M11" s="31">
        <f>1434</f>
        <v>1434</v>
      </c>
      <c r="N11" s="32" t="s">
        <v>755</v>
      </c>
      <c r="O11" s="31">
        <f>1130</f>
        <v>1130</v>
      </c>
      <c r="P11" s="32" t="s">
        <v>1079</v>
      </c>
      <c r="Q11" s="31">
        <f>1418</f>
        <v>1418</v>
      </c>
      <c r="R11" s="32" t="s">
        <v>755</v>
      </c>
      <c r="S11" s="33">
        <f>1335.31</f>
        <v>1335.31</v>
      </c>
      <c r="T11" s="39">
        <f>639390</f>
        <v>639390</v>
      </c>
      <c r="U11" s="30">
        <f>150000</f>
        <v>150000</v>
      </c>
      <c r="V11" s="30">
        <f>835724940</f>
        <v>835724940</v>
      </c>
      <c r="W11" s="30">
        <f>199506500</f>
        <v>199506500</v>
      </c>
      <c r="X11" s="34">
        <f>21</f>
        <v>21</v>
      </c>
    </row>
    <row r="12" spans="1:24">
      <c r="A12" s="25" t="s">
        <v>1238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540.8</f>
        <v>540.79999999999995</v>
      </c>
      <c r="L12" s="32" t="s">
        <v>1239</v>
      </c>
      <c r="M12" s="31">
        <f>544</f>
        <v>544</v>
      </c>
      <c r="N12" s="32" t="s">
        <v>755</v>
      </c>
      <c r="O12" s="31">
        <f>482</f>
        <v>482</v>
      </c>
      <c r="P12" s="32" t="s">
        <v>1210</v>
      </c>
      <c r="Q12" s="31">
        <f>544</f>
        <v>544</v>
      </c>
      <c r="R12" s="32" t="s">
        <v>755</v>
      </c>
      <c r="S12" s="33">
        <f>509.16</f>
        <v>509.16</v>
      </c>
      <c r="T12" s="39">
        <f>104000</f>
        <v>104000</v>
      </c>
      <c r="U12" s="30">
        <f>1000</f>
        <v>1000</v>
      </c>
      <c r="V12" s="30">
        <f>54847700</f>
        <v>54847700</v>
      </c>
      <c r="W12" s="30">
        <f>505900</f>
        <v>505900</v>
      </c>
      <c r="X12" s="34">
        <f>14</f>
        <v>14</v>
      </c>
    </row>
    <row r="13" spans="1:24">
      <c r="A13" s="25" t="s">
        <v>1238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37520</f>
        <v>37520</v>
      </c>
      <c r="L13" s="32" t="s">
        <v>1239</v>
      </c>
      <c r="M13" s="31">
        <f>37640</f>
        <v>37640</v>
      </c>
      <c r="N13" s="32" t="s">
        <v>1078</v>
      </c>
      <c r="O13" s="31">
        <f>31980</f>
        <v>31980</v>
      </c>
      <c r="P13" s="32" t="s">
        <v>1079</v>
      </c>
      <c r="Q13" s="31">
        <f>37600</f>
        <v>37600</v>
      </c>
      <c r="R13" s="32" t="s">
        <v>755</v>
      </c>
      <c r="S13" s="33">
        <f>35840</f>
        <v>35840</v>
      </c>
      <c r="T13" s="39">
        <f>2646778</f>
        <v>2646778</v>
      </c>
      <c r="U13" s="30">
        <f>1299637</f>
        <v>1299637</v>
      </c>
      <c r="V13" s="30">
        <f>94282461598</f>
        <v>94282461598</v>
      </c>
      <c r="W13" s="30">
        <f>46767743188</f>
        <v>46767743188</v>
      </c>
      <c r="X13" s="34">
        <f>21</f>
        <v>21</v>
      </c>
    </row>
    <row r="14" spans="1:24">
      <c r="A14" s="25" t="s">
        <v>1238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37660</f>
        <v>37660</v>
      </c>
      <c r="L14" s="32" t="s">
        <v>1239</v>
      </c>
      <c r="M14" s="31">
        <f>37780</f>
        <v>37780</v>
      </c>
      <c r="N14" s="32" t="s">
        <v>1078</v>
      </c>
      <c r="O14" s="31">
        <f>32110</f>
        <v>32110</v>
      </c>
      <c r="P14" s="32" t="s">
        <v>1079</v>
      </c>
      <c r="Q14" s="31">
        <f>37730</f>
        <v>37730</v>
      </c>
      <c r="R14" s="32" t="s">
        <v>755</v>
      </c>
      <c r="S14" s="33">
        <f>35996.19</f>
        <v>35996.19</v>
      </c>
      <c r="T14" s="39">
        <f>13262499</f>
        <v>13262499</v>
      </c>
      <c r="U14" s="30">
        <f>1090302</f>
        <v>1090302</v>
      </c>
      <c r="V14" s="30">
        <f>471709181143</f>
        <v>471709181143</v>
      </c>
      <c r="W14" s="30">
        <f>39654378243</f>
        <v>39654378243</v>
      </c>
      <c r="X14" s="34">
        <f>21</f>
        <v>21</v>
      </c>
    </row>
    <row r="15" spans="1:24">
      <c r="A15" s="25" t="s">
        <v>1238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</v>
      </c>
      <c r="K15" s="31">
        <f>8498</f>
        <v>8498</v>
      </c>
      <c r="L15" s="32" t="s">
        <v>1239</v>
      </c>
      <c r="M15" s="31">
        <f>8700</f>
        <v>8700</v>
      </c>
      <c r="N15" s="32" t="s">
        <v>1077</v>
      </c>
      <c r="O15" s="31">
        <f>7218</f>
        <v>7218</v>
      </c>
      <c r="P15" s="32" t="s">
        <v>852</v>
      </c>
      <c r="Q15" s="31">
        <f>7844</f>
        <v>7844</v>
      </c>
      <c r="R15" s="32" t="s">
        <v>755</v>
      </c>
      <c r="S15" s="33">
        <f>7859.71</f>
        <v>7859.71</v>
      </c>
      <c r="T15" s="39">
        <f>74708</f>
        <v>74708</v>
      </c>
      <c r="U15" s="30" t="str">
        <f>"－"</f>
        <v>－</v>
      </c>
      <c r="V15" s="30">
        <f>584869526</f>
        <v>584869526</v>
      </c>
      <c r="W15" s="30" t="str">
        <f>"－"</f>
        <v>－</v>
      </c>
      <c r="X15" s="34">
        <f>21</f>
        <v>21</v>
      </c>
    </row>
    <row r="16" spans="1:24">
      <c r="A16" s="25" t="s">
        <v>1238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201</f>
        <v>201</v>
      </c>
      <c r="L16" s="32" t="s">
        <v>1239</v>
      </c>
      <c r="M16" s="31">
        <f>230</f>
        <v>230</v>
      </c>
      <c r="N16" s="32" t="s">
        <v>1240</v>
      </c>
      <c r="O16" s="31">
        <f>187</f>
        <v>187</v>
      </c>
      <c r="P16" s="32" t="s">
        <v>852</v>
      </c>
      <c r="Q16" s="31">
        <f>207.5</f>
        <v>207.5</v>
      </c>
      <c r="R16" s="32" t="s">
        <v>755</v>
      </c>
      <c r="S16" s="33">
        <f>202.57</f>
        <v>202.57</v>
      </c>
      <c r="T16" s="39">
        <f>2884600</f>
        <v>2884600</v>
      </c>
      <c r="U16" s="30">
        <f>3200</f>
        <v>3200</v>
      </c>
      <c r="V16" s="30">
        <f>589761170</f>
        <v>589761170</v>
      </c>
      <c r="W16" s="30">
        <f>680400</f>
        <v>680400</v>
      </c>
      <c r="X16" s="34">
        <f>21</f>
        <v>21</v>
      </c>
    </row>
    <row r="17" spans="1:24">
      <c r="A17" s="25" t="s">
        <v>1238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43160</f>
        <v>43160</v>
      </c>
      <c r="L17" s="32" t="s">
        <v>1239</v>
      </c>
      <c r="M17" s="31">
        <f>45140</f>
        <v>45140</v>
      </c>
      <c r="N17" s="32" t="s">
        <v>850</v>
      </c>
      <c r="O17" s="31">
        <f>39870</f>
        <v>39870</v>
      </c>
      <c r="P17" s="32" t="s">
        <v>1079</v>
      </c>
      <c r="Q17" s="31">
        <f>43430</f>
        <v>43430</v>
      </c>
      <c r="R17" s="32" t="s">
        <v>755</v>
      </c>
      <c r="S17" s="33">
        <f>42873.81</f>
        <v>42873.81</v>
      </c>
      <c r="T17" s="39">
        <f>619462</f>
        <v>619462</v>
      </c>
      <c r="U17" s="30">
        <f>70</f>
        <v>70</v>
      </c>
      <c r="V17" s="30">
        <f>26742797130</f>
        <v>26742797130</v>
      </c>
      <c r="W17" s="30">
        <f>2811300</f>
        <v>2811300</v>
      </c>
      <c r="X17" s="34">
        <f>21</f>
        <v>21</v>
      </c>
    </row>
    <row r="18" spans="1:24">
      <c r="A18" s="25" t="s">
        <v>1238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11325</f>
        <v>11325</v>
      </c>
      <c r="L18" s="32" t="s">
        <v>1239</v>
      </c>
      <c r="M18" s="31">
        <f>11765</f>
        <v>11765</v>
      </c>
      <c r="N18" s="32" t="s">
        <v>850</v>
      </c>
      <c r="O18" s="31">
        <f>10390</f>
        <v>10390</v>
      </c>
      <c r="P18" s="32" t="s">
        <v>852</v>
      </c>
      <c r="Q18" s="31">
        <f>11330</f>
        <v>11330</v>
      </c>
      <c r="R18" s="32" t="s">
        <v>755</v>
      </c>
      <c r="S18" s="33">
        <f>11185.24</f>
        <v>11185.24</v>
      </c>
      <c r="T18" s="39">
        <f>1074090</f>
        <v>1074090</v>
      </c>
      <c r="U18" s="30">
        <f>110</f>
        <v>110</v>
      </c>
      <c r="V18" s="30">
        <f>12037606600</f>
        <v>12037606600</v>
      </c>
      <c r="W18" s="30">
        <f>1231200</f>
        <v>1231200</v>
      </c>
      <c r="X18" s="34">
        <f>21</f>
        <v>21</v>
      </c>
    </row>
    <row r="19" spans="1:24">
      <c r="A19" s="25" t="s">
        <v>1238</v>
      </c>
      <c r="B19" s="25" t="s">
        <v>76</v>
      </c>
      <c r="C19" s="25" t="s">
        <v>77</v>
      </c>
      <c r="D19" s="25" t="s">
        <v>78</v>
      </c>
      <c r="E19" s="26" t="s">
        <v>1221</v>
      </c>
      <c r="F19" s="27" t="s">
        <v>1222</v>
      </c>
      <c r="G19" s="28" t="s">
        <v>43</v>
      </c>
      <c r="H19" s="29"/>
      <c r="I19" s="29" t="s">
        <v>44</v>
      </c>
      <c r="J19" s="30">
        <v>1</v>
      </c>
      <c r="K19" s="31">
        <f>37420</f>
        <v>37420</v>
      </c>
      <c r="L19" s="32" t="s">
        <v>1239</v>
      </c>
      <c r="M19" s="31">
        <f>37520</f>
        <v>37520</v>
      </c>
      <c r="N19" s="32" t="s">
        <v>1239</v>
      </c>
      <c r="O19" s="31">
        <f>36890</f>
        <v>36890</v>
      </c>
      <c r="P19" s="32" t="s">
        <v>1240</v>
      </c>
      <c r="Q19" s="31">
        <f>37210</f>
        <v>37210</v>
      </c>
      <c r="R19" s="32" t="s">
        <v>1240</v>
      </c>
      <c r="S19" s="33">
        <f>37130</f>
        <v>37130</v>
      </c>
      <c r="T19" s="39">
        <f>304846</f>
        <v>304846</v>
      </c>
      <c r="U19" s="30">
        <f>190639</f>
        <v>190639</v>
      </c>
      <c r="V19" s="30">
        <f>11312455229</f>
        <v>11312455229</v>
      </c>
      <c r="W19" s="30">
        <f>7067618389</f>
        <v>7067618389</v>
      </c>
      <c r="X19" s="34">
        <f>2</f>
        <v>2</v>
      </c>
    </row>
    <row r="20" spans="1:24">
      <c r="A20" s="25" t="s">
        <v>1238</v>
      </c>
      <c r="B20" s="25" t="s">
        <v>76</v>
      </c>
      <c r="C20" s="25" t="s">
        <v>77</v>
      </c>
      <c r="D20" s="25" t="s">
        <v>78</v>
      </c>
      <c r="E20" s="26" t="s">
        <v>1221</v>
      </c>
      <c r="F20" s="27" t="s">
        <v>1222</v>
      </c>
      <c r="G20" s="28" t="s">
        <v>43</v>
      </c>
      <c r="H20" s="29"/>
      <c r="I20" s="29" t="s">
        <v>44</v>
      </c>
      <c r="J20" s="30">
        <v>1</v>
      </c>
      <c r="K20" s="31">
        <f>3540</f>
        <v>3540</v>
      </c>
      <c r="L20" s="32" t="s">
        <v>1204</v>
      </c>
      <c r="M20" s="31">
        <f>3755</f>
        <v>3755</v>
      </c>
      <c r="N20" s="32" t="s">
        <v>1078</v>
      </c>
      <c r="O20" s="31">
        <f>3190</f>
        <v>3190</v>
      </c>
      <c r="P20" s="32" t="s">
        <v>1079</v>
      </c>
      <c r="Q20" s="31">
        <f>3750</f>
        <v>3750</v>
      </c>
      <c r="R20" s="32" t="s">
        <v>755</v>
      </c>
      <c r="S20" s="33">
        <f>3563.16</f>
        <v>3563.16</v>
      </c>
      <c r="T20" s="39">
        <f>19823966</f>
        <v>19823966</v>
      </c>
      <c r="U20" s="30">
        <f>7646983</f>
        <v>7646983</v>
      </c>
      <c r="V20" s="30">
        <f>69693159650</f>
        <v>69693159650</v>
      </c>
      <c r="W20" s="30">
        <f>26717118755</f>
        <v>26717118755</v>
      </c>
      <c r="X20" s="34">
        <f>19</f>
        <v>19</v>
      </c>
    </row>
    <row r="21" spans="1:24">
      <c r="A21" s="25" t="s">
        <v>1238</v>
      </c>
      <c r="B21" s="25" t="s">
        <v>79</v>
      </c>
      <c r="C21" s="25" t="s">
        <v>80</v>
      </c>
      <c r="D21" s="25" t="s">
        <v>1217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37710</f>
        <v>37710</v>
      </c>
      <c r="L21" s="32" t="s">
        <v>1239</v>
      </c>
      <c r="M21" s="31">
        <f>37810</f>
        <v>37810</v>
      </c>
      <c r="N21" s="32" t="s">
        <v>1078</v>
      </c>
      <c r="O21" s="31">
        <f>32120</f>
        <v>32120</v>
      </c>
      <c r="P21" s="32" t="s">
        <v>1079</v>
      </c>
      <c r="Q21" s="31">
        <f>37770</f>
        <v>37770</v>
      </c>
      <c r="R21" s="32" t="s">
        <v>755</v>
      </c>
      <c r="S21" s="33">
        <f>36023.33</f>
        <v>36023.33</v>
      </c>
      <c r="T21" s="39">
        <f>2867349</f>
        <v>2867349</v>
      </c>
      <c r="U21" s="30">
        <f>1245629</f>
        <v>1245629</v>
      </c>
      <c r="V21" s="30">
        <f>102191070154</f>
        <v>102191070154</v>
      </c>
      <c r="W21" s="30">
        <f>45049135654</f>
        <v>45049135654</v>
      </c>
      <c r="X21" s="34">
        <f>21</f>
        <v>21</v>
      </c>
    </row>
    <row r="22" spans="1:24">
      <c r="A22" s="25" t="s">
        <v>1238</v>
      </c>
      <c r="B22" s="25" t="s">
        <v>1048</v>
      </c>
      <c r="C22" s="25" t="s">
        <v>1049</v>
      </c>
      <c r="D22" s="25" t="s">
        <v>1050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</v>
      </c>
      <c r="K22" s="31">
        <f>1018</f>
        <v>1018</v>
      </c>
      <c r="L22" s="32" t="s">
        <v>1239</v>
      </c>
      <c r="M22" s="31">
        <f>1019</f>
        <v>1019</v>
      </c>
      <c r="N22" s="32" t="s">
        <v>1240</v>
      </c>
      <c r="O22" s="31">
        <f>948</f>
        <v>948</v>
      </c>
      <c r="P22" s="32" t="s">
        <v>850</v>
      </c>
      <c r="Q22" s="31">
        <f>967</f>
        <v>967</v>
      </c>
      <c r="R22" s="32" t="s">
        <v>755</v>
      </c>
      <c r="S22" s="33">
        <f>979.81</f>
        <v>979.81</v>
      </c>
      <c r="T22" s="39">
        <f>8796619</f>
        <v>8796619</v>
      </c>
      <c r="U22" s="30">
        <f>8081000</f>
        <v>8081000</v>
      </c>
      <c r="V22" s="30">
        <f>8761405579</f>
        <v>8761405579</v>
      </c>
      <c r="W22" s="30">
        <f>8054826600</f>
        <v>8054826600</v>
      </c>
      <c r="X22" s="34">
        <f>21</f>
        <v>21</v>
      </c>
    </row>
    <row r="23" spans="1:24">
      <c r="A23" s="25" t="s">
        <v>1238</v>
      </c>
      <c r="B23" s="25" t="s">
        <v>82</v>
      </c>
      <c r="C23" s="25" t="s">
        <v>939</v>
      </c>
      <c r="D23" s="25" t="s">
        <v>83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</v>
      </c>
      <c r="K23" s="31">
        <f>1847</f>
        <v>1847</v>
      </c>
      <c r="L23" s="32" t="s">
        <v>1239</v>
      </c>
      <c r="M23" s="31">
        <f>1875</f>
        <v>1875</v>
      </c>
      <c r="N23" s="32" t="s">
        <v>756</v>
      </c>
      <c r="O23" s="31">
        <f>1751.5</f>
        <v>1751.5</v>
      </c>
      <c r="P23" s="32" t="s">
        <v>1079</v>
      </c>
      <c r="Q23" s="31">
        <f>1858</f>
        <v>1858</v>
      </c>
      <c r="R23" s="32" t="s">
        <v>755</v>
      </c>
      <c r="S23" s="33">
        <f>1840.21</f>
        <v>1840.21</v>
      </c>
      <c r="T23" s="39">
        <f>20899590</f>
        <v>20899590</v>
      </c>
      <c r="U23" s="30">
        <f>9180450</f>
        <v>9180450</v>
      </c>
      <c r="V23" s="30">
        <f>38302364764</f>
        <v>38302364764</v>
      </c>
      <c r="W23" s="30">
        <f>16893226319</f>
        <v>16893226319</v>
      </c>
      <c r="X23" s="34">
        <f>21</f>
        <v>21</v>
      </c>
    </row>
    <row r="24" spans="1:24">
      <c r="A24" s="25" t="s">
        <v>1238</v>
      </c>
      <c r="B24" s="25" t="s">
        <v>84</v>
      </c>
      <c r="C24" s="25" t="s">
        <v>85</v>
      </c>
      <c r="D24" s="25" t="s">
        <v>940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100</v>
      </c>
      <c r="K24" s="31">
        <f>1726</f>
        <v>1726</v>
      </c>
      <c r="L24" s="32" t="s">
        <v>1239</v>
      </c>
      <c r="M24" s="31">
        <f>1753</f>
        <v>1753</v>
      </c>
      <c r="N24" s="32" t="s">
        <v>756</v>
      </c>
      <c r="O24" s="31">
        <f>1640</f>
        <v>1640</v>
      </c>
      <c r="P24" s="32" t="s">
        <v>1079</v>
      </c>
      <c r="Q24" s="31">
        <f>1739.5</f>
        <v>1739.5</v>
      </c>
      <c r="R24" s="32" t="s">
        <v>755</v>
      </c>
      <c r="S24" s="33">
        <f>1722.62</f>
        <v>1722.62</v>
      </c>
      <c r="T24" s="39">
        <f>2643800</f>
        <v>2643800</v>
      </c>
      <c r="U24" s="30">
        <f>1399600</f>
        <v>1399600</v>
      </c>
      <c r="V24" s="30">
        <f>4543786591</f>
        <v>4543786591</v>
      </c>
      <c r="W24" s="30">
        <f>2422694841</f>
        <v>2422694841</v>
      </c>
      <c r="X24" s="34">
        <f>21</f>
        <v>21</v>
      </c>
    </row>
    <row r="25" spans="1:24">
      <c r="A25" s="25" t="s">
        <v>1238</v>
      </c>
      <c r="B25" s="25" t="s">
        <v>86</v>
      </c>
      <c r="C25" s="25" t="s">
        <v>87</v>
      </c>
      <c r="D25" s="25" t="s">
        <v>941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</v>
      </c>
      <c r="K25" s="31">
        <f>37410</f>
        <v>37410</v>
      </c>
      <c r="L25" s="32" t="s">
        <v>1239</v>
      </c>
      <c r="M25" s="31">
        <f>37510</f>
        <v>37510</v>
      </c>
      <c r="N25" s="32" t="s">
        <v>1078</v>
      </c>
      <c r="O25" s="31">
        <f>31900</f>
        <v>31900</v>
      </c>
      <c r="P25" s="32" t="s">
        <v>1079</v>
      </c>
      <c r="Q25" s="31">
        <f>37470</f>
        <v>37470</v>
      </c>
      <c r="R25" s="32" t="s">
        <v>755</v>
      </c>
      <c r="S25" s="33">
        <f>35751.43</f>
        <v>35751.43</v>
      </c>
      <c r="T25" s="39">
        <f>1702909</f>
        <v>1702909</v>
      </c>
      <c r="U25" s="30">
        <f>878004</f>
        <v>878004</v>
      </c>
      <c r="V25" s="30">
        <f>60483480104</f>
        <v>60483480104</v>
      </c>
      <c r="W25" s="30">
        <f>31441653594</f>
        <v>31441653594</v>
      </c>
      <c r="X25" s="34">
        <f>21</f>
        <v>21</v>
      </c>
    </row>
    <row r="26" spans="1:24">
      <c r="A26" s="25" t="s">
        <v>1238</v>
      </c>
      <c r="B26" s="25" t="s">
        <v>88</v>
      </c>
      <c r="C26" s="25" t="s">
        <v>89</v>
      </c>
      <c r="D26" s="25" t="s">
        <v>90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10</v>
      </c>
      <c r="K26" s="31">
        <f>2818.5</f>
        <v>2818.5</v>
      </c>
      <c r="L26" s="32" t="s">
        <v>1239</v>
      </c>
      <c r="M26" s="31">
        <f>2822.5</f>
        <v>2822.5</v>
      </c>
      <c r="N26" s="32" t="s">
        <v>1239</v>
      </c>
      <c r="O26" s="31">
        <f>2330</f>
        <v>2330</v>
      </c>
      <c r="P26" s="32" t="s">
        <v>1079</v>
      </c>
      <c r="Q26" s="31">
        <f>2791.5</f>
        <v>2791.5</v>
      </c>
      <c r="R26" s="32" t="s">
        <v>755</v>
      </c>
      <c r="S26" s="33">
        <f>2654.31</f>
        <v>2654.31</v>
      </c>
      <c r="T26" s="39">
        <f>21356040</f>
        <v>21356040</v>
      </c>
      <c r="U26" s="30">
        <f>17936060</f>
        <v>17936060</v>
      </c>
      <c r="V26" s="30">
        <f>54866331414</f>
        <v>54866331414</v>
      </c>
      <c r="W26" s="30">
        <f>45970701204</f>
        <v>45970701204</v>
      </c>
      <c r="X26" s="34">
        <f>21</f>
        <v>21</v>
      </c>
    </row>
    <row r="27" spans="1:24">
      <c r="A27" s="25" t="s">
        <v>1238</v>
      </c>
      <c r="B27" s="25" t="s">
        <v>91</v>
      </c>
      <c r="C27" s="25" t="s">
        <v>92</v>
      </c>
      <c r="D27" s="25" t="s">
        <v>93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</v>
      </c>
      <c r="K27" s="31">
        <f>16250</f>
        <v>16250</v>
      </c>
      <c r="L27" s="32" t="s">
        <v>1240</v>
      </c>
      <c r="M27" s="31">
        <f>16280</f>
        <v>16280</v>
      </c>
      <c r="N27" s="32" t="s">
        <v>1240</v>
      </c>
      <c r="O27" s="31">
        <f>15440</f>
        <v>15440</v>
      </c>
      <c r="P27" s="32" t="s">
        <v>1240</v>
      </c>
      <c r="Q27" s="31">
        <f>15940</f>
        <v>15940</v>
      </c>
      <c r="R27" s="32" t="s">
        <v>755</v>
      </c>
      <c r="S27" s="33">
        <f>15881.39</f>
        <v>15881.39</v>
      </c>
      <c r="T27" s="39">
        <f>1045</f>
        <v>1045</v>
      </c>
      <c r="U27" s="30" t="str">
        <f>"－"</f>
        <v>－</v>
      </c>
      <c r="V27" s="30">
        <f>16537985</f>
        <v>16537985</v>
      </c>
      <c r="W27" s="30" t="str">
        <f>"－"</f>
        <v>－</v>
      </c>
      <c r="X27" s="34">
        <f>18</f>
        <v>18</v>
      </c>
    </row>
    <row r="28" spans="1:24">
      <c r="A28" s="25" t="s">
        <v>1238</v>
      </c>
      <c r="B28" s="25" t="s">
        <v>94</v>
      </c>
      <c r="C28" s="25" t="s">
        <v>95</v>
      </c>
      <c r="D28" s="25" t="s">
        <v>96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10</v>
      </c>
      <c r="K28" s="31">
        <f>317.4</f>
        <v>317.39999999999998</v>
      </c>
      <c r="L28" s="32" t="s">
        <v>1239</v>
      </c>
      <c r="M28" s="31">
        <f>443.7</f>
        <v>443.7</v>
      </c>
      <c r="N28" s="32" t="s">
        <v>1079</v>
      </c>
      <c r="O28" s="31">
        <f>296.8</f>
        <v>296.8</v>
      </c>
      <c r="P28" s="32" t="s">
        <v>755</v>
      </c>
      <c r="Q28" s="31">
        <f>298.6</f>
        <v>298.60000000000002</v>
      </c>
      <c r="R28" s="32" t="s">
        <v>755</v>
      </c>
      <c r="S28" s="33">
        <f>340.05</f>
        <v>340.05</v>
      </c>
      <c r="T28" s="39">
        <f>67964530</f>
        <v>67964530</v>
      </c>
      <c r="U28" s="30">
        <f>19450</f>
        <v>19450</v>
      </c>
      <c r="V28" s="30">
        <f>24082513680</f>
        <v>24082513680</v>
      </c>
      <c r="W28" s="30">
        <f>6868986</f>
        <v>6868986</v>
      </c>
      <c r="X28" s="34">
        <f>21</f>
        <v>21</v>
      </c>
    </row>
    <row r="29" spans="1:24">
      <c r="A29" s="25" t="s">
        <v>1238</v>
      </c>
      <c r="B29" s="25" t="s">
        <v>97</v>
      </c>
      <c r="C29" s="25" t="s">
        <v>98</v>
      </c>
      <c r="D29" s="25" t="s">
        <v>942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13520</f>
        <v>13520</v>
      </c>
      <c r="L29" s="32" t="s">
        <v>1239</v>
      </c>
      <c r="M29" s="31">
        <f>18030</f>
        <v>18030</v>
      </c>
      <c r="N29" s="32" t="s">
        <v>1079</v>
      </c>
      <c r="O29" s="31">
        <f>12465</f>
        <v>12465</v>
      </c>
      <c r="P29" s="32" t="s">
        <v>1078</v>
      </c>
      <c r="Q29" s="31">
        <f>12480</f>
        <v>12480</v>
      </c>
      <c r="R29" s="32" t="s">
        <v>755</v>
      </c>
      <c r="S29" s="33">
        <f>14118.33</f>
        <v>14118.33</v>
      </c>
      <c r="T29" s="39">
        <f>43172253</f>
        <v>43172253</v>
      </c>
      <c r="U29" s="30">
        <f>699273</f>
        <v>699273</v>
      </c>
      <c r="V29" s="30">
        <f>630359056212</f>
        <v>630359056212</v>
      </c>
      <c r="W29" s="30">
        <f>9888747912</f>
        <v>9888747912</v>
      </c>
      <c r="X29" s="34">
        <f>21</f>
        <v>21</v>
      </c>
    </row>
    <row r="30" spans="1:24">
      <c r="A30" s="25" t="s">
        <v>1238</v>
      </c>
      <c r="B30" s="25" t="s">
        <v>99</v>
      </c>
      <c r="C30" s="25" t="s">
        <v>100</v>
      </c>
      <c r="D30" s="25" t="s">
        <v>101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</v>
      </c>
      <c r="K30" s="31">
        <f>43250</f>
        <v>43250</v>
      </c>
      <c r="L30" s="32" t="s">
        <v>1239</v>
      </c>
      <c r="M30" s="31">
        <f>43580</f>
        <v>43580</v>
      </c>
      <c r="N30" s="32" t="s">
        <v>1239</v>
      </c>
      <c r="O30" s="31">
        <f>31500</f>
        <v>31500</v>
      </c>
      <c r="P30" s="32" t="s">
        <v>1079</v>
      </c>
      <c r="Q30" s="31">
        <f>42430</f>
        <v>42430</v>
      </c>
      <c r="R30" s="32" t="s">
        <v>755</v>
      </c>
      <c r="S30" s="33">
        <f>38891.43</f>
        <v>38891.43</v>
      </c>
      <c r="T30" s="39">
        <f>571771</f>
        <v>571771</v>
      </c>
      <c r="U30" s="30">
        <f>12</f>
        <v>12</v>
      </c>
      <c r="V30" s="30">
        <f>21824759600</f>
        <v>21824759600</v>
      </c>
      <c r="W30" s="30">
        <f>484660</f>
        <v>484660</v>
      </c>
      <c r="X30" s="34">
        <f>21</f>
        <v>21</v>
      </c>
    </row>
    <row r="31" spans="1:24">
      <c r="A31" s="25" t="s">
        <v>1238</v>
      </c>
      <c r="B31" s="25" t="s">
        <v>102</v>
      </c>
      <c r="C31" s="25" t="s">
        <v>103</v>
      </c>
      <c r="D31" s="25" t="s">
        <v>104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10</v>
      </c>
      <c r="K31" s="31">
        <f>332.4</f>
        <v>332.4</v>
      </c>
      <c r="L31" s="32" t="s">
        <v>1239</v>
      </c>
      <c r="M31" s="31">
        <f>443.5</f>
        <v>443.5</v>
      </c>
      <c r="N31" s="32" t="s">
        <v>1079</v>
      </c>
      <c r="O31" s="31">
        <f>306</f>
        <v>306</v>
      </c>
      <c r="P31" s="32" t="s">
        <v>1078</v>
      </c>
      <c r="Q31" s="31">
        <f>306.3</f>
        <v>306.3</v>
      </c>
      <c r="R31" s="32" t="s">
        <v>755</v>
      </c>
      <c r="S31" s="33">
        <f>347.06</f>
        <v>347.06</v>
      </c>
      <c r="T31" s="39">
        <f>1213174410</f>
        <v>1213174410</v>
      </c>
      <c r="U31" s="30">
        <f>20092420</f>
        <v>20092420</v>
      </c>
      <c r="V31" s="30">
        <f>432707944984</f>
        <v>432707944984</v>
      </c>
      <c r="W31" s="30">
        <f>6819192928</f>
        <v>6819192928</v>
      </c>
      <c r="X31" s="34">
        <f>21</f>
        <v>21</v>
      </c>
    </row>
    <row r="32" spans="1:24">
      <c r="A32" s="25" t="s">
        <v>1238</v>
      </c>
      <c r="B32" s="25" t="s">
        <v>105</v>
      </c>
      <c r="C32" s="25" t="s">
        <v>106</v>
      </c>
      <c r="D32" s="25" t="s">
        <v>107</v>
      </c>
      <c r="E32" s="26" t="s">
        <v>1221</v>
      </c>
      <c r="F32" s="27" t="s">
        <v>1222</v>
      </c>
      <c r="G32" s="28" t="s">
        <v>43</v>
      </c>
      <c r="H32" s="29"/>
      <c r="I32" s="29" t="s">
        <v>44</v>
      </c>
      <c r="J32" s="30">
        <v>1</v>
      </c>
      <c r="K32" s="31">
        <f>25395</f>
        <v>25395</v>
      </c>
      <c r="L32" s="32" t="s">
        <v>1239</v>
      </c>
      <c r="M32" s="31">
        <f>25395</f>
        <v>25395</v>
      </c>
      <c r="N32" s="32" t="s">
        <v>1239</v>
      </c>
      <c r="O32" s="31">
        <f>24560</f>
        <v>24560</v>
      </c>
      <c r="P32" s="32" t="s">
        <v>1240</v>
      </c>
      <c r="Q32" s="31">
        <f>24765</f>
        <v>24765</v>
      </c>
      <c r="R32" s="32" t="s">
        <v>1240</v>
      </c>
      <c r="S32" s="33">
        <f>24797.5</f>
        <v>24797.5</v>
      </c>
      <c r="T32" s="39">
        <f>56433</f>
        <v>56433</v>
      </c>
      <c r="U32" s="30">
        <f>44000</f>
        <v>44000</v>
      </c>
      <c r="V32" s="30">
        <f>1396403705</f>
        <v>1396403705</v>
      </c>
      <c r="W32" s="30">
        <f>1087334000</f>
        <v>1087334000</v>
      </c>
      <c r="X32" s="34">
        <f>2</f>
        <v>2</v>
      </c>
    </row>
    <row r="33" spans="1:24">
      <c r="A33" s="25" t="s">
        <v>1238</v>
      </c>
      <c r="B33" s="25" t="s">
        <v>105</v>
      </c>
      <c r="C33" s="25" t="s">
        <v>106</v>
      </c>
      <c r="D33" s="25" t="s">
        <v>107</v>
      </c>
      <c r="E33" s="26" t="s">
        <v>1221</v>
      </c>
      <c r="F33" s="27" t="s">
        <v>1222</v>
      </c>
      <c r="G33" s="28" t="s">
        <v>43</v>
      </c>
      <c r="H33" s="29"/>
      <c r="I33" s="29" t="s">
        <v>44</v>
      </c>
      <c r="J33" s="30">
        <v>1</v>
      </c>
      <c r="K33" s="31">
        <f>2427</f>
        <v>2427</v>
      </c>
      <c r="L33" s="32" t="s">
        <v>1204</v>
      </c>
      <c r="M33" s="31">
        <f>2493</f>
        <v>2493</v>
      </c>
      <c r="N33" s="32" t="s">
        <v>755</v>
      </c>
      <c r="O33" s="31">
        <f>2100</f>
        <v>2100</v>
      </c>
      <c r="P33" s="32" t="s">
        <v>1079</v>
      </c>
      <c r="Q33" s="31">
        <f>2493</f>
        <v>2493</v>
      </c>
      <c r="R33" s="32" t="s">
        <v>755</v>
      </c>
      <c r="S33" s="33">
        <f>2359.26</f>
        <v>2359.2600000000002</v>
      </c>
      <c r="T33" s="39">
        <f>801305</f>
        <v>801305</v>
      </c>
      <c r="U33" s="30">
        <f>467403</f>
        <v>467403</v>
      </c>
      <c r="V33" s="30">
        <f>1857267123</f>
        <v>1857267123</v>
      </c>
      <c r="W33" s="30">
        <f>1098894278</f>
        <v>1098894278</v>
      </c>
      <c r="X33" s="34">
        <f>19</f>
        <v>19</v>
      </c>
    </row>
    <row r="34" spans="1:24">
      <c r="A34" s="25" t="s">
        <v>1238</v>
      </c>
      <c r="B34" s="25" t="s">
        <v>108</v>
      </c>
      <c r="C34" s="25" t="s">
        <v>876</v>
      </c>
      <c r="D34" s="25" t="s">
        <v>877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35360</f>
        <v>35360</v>
      </c>
      <c r="L34" s="32" t="s">
        <v>1239</v>
      </c>
      <c r="M34" s="31">
        <f>35540</f>
        <v>35540</v>
      </c>
      <c r="N34" s="32" t="s">
        <v>1239</v>
      </c>
      <c r="O34" s="31">
        <f>25725</f>
        <v>25725</v>
      </c>
      <c r="P34" s="32" t="s">
        <v>1079</v>
      </c>
      <c r="Q34" s="31">
        <f>34620</f>
        <v>34620</v>
      </c>
      <c r="R34" s="32" t="s">
        <v>755</v>
      </c>
      <c r="S34" s="33">
        <f>31720.48</f>
        <v>31720.48</v>
      </c>
      <c r="T34" s="39">
        <f>2265688</f>
        <v>2265688</v>
      </c>
      <c r="U34" s="30">
        <f>24423</f>
        <v>24423</v>
      </c>
      <c r="V34" s="30">
        <f>70105174383</f>
        <v>70105174383</v>
      </c>
      <c r="W34" s="30">
        <f>776310553</f>
        <v>776310553</v>
      </c>
      <c r="X34" s="34">
        <f>21</f>
        <v>21</v>
      </c>
    </row>
    <row r="35" spans="1:24">
      <c r="A35" s="25" t="s">
        <v>1238</v>
      </c>
      <c r="B35" s="25" t="s">
        <v>109</v>
      </c>
      <c r="C35" s="25" t="s">
        <v>878</v>
      </c>
      <c r="D35" s="25" t="s">
        <v>879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340</f>
        <v>340</v>
      </c>
      <c r="L35" s="32" t="s">
        <v>1239</v>
      </c>
      <c r="M35" s="31">
        <f>454</f>
        <v>454</v>
      </c>
      <c r="N35" s="32" t="s">
        <v>1079</v>
      </c>
      <c r="O35" s="31">
        <f>314</f>
        <v>314</v>
      </c>
      <c r="P35" s="32" t="s">
        <v>1078</v>
      </c>
      <c r="Q35" s="31">
        <f>315</f>
        <v>315</v>
      </c>
      <c r="R35" s="32" t="s">
        <v>755</v>
      </c>
      <c r="S35" s="33">
        <f>355.33</f>
        <v>355.33</v>
      </c>
      <c r="T35" s="39">
        <f>105613237</f>
        <v>105613237</v>
      </c>
      <c r="U35" s="30">
        <f>392656</f>
        <v>392656</v>
      </c>
      <c r="V35" s="30">
        <f>39508173483</f>
        <v>39508173483</v>
      </c>
      <c r="W35" s="30">
        <f>140164865</f>
        <v>140164865</v>
      </c>
      <c r="X35" s="34">
        <f>21</f>
        <v>21</v>
      </c>
    </row>
    <row r="36" spans="1:24">
      <c r="A36" s="25" t="s">
        <v>1238</v>
      </c>
      <c r="B36" s="25" t="s">
        <v>110</v>
      </c>
      <c r="C36" s="25" t="s">
        <v>880</v>
      </c>
      <c r="D36" s="25" t="s">
        <v>881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35390</f>
        <v>35390</v>
      </c>
      <c r="L36" s="32" t="s">
        <v>1239</v>
      </c>
      <c r="M36" s="31">
        <f>35520</f>
        <v>35520</v>
      </c>
      <c r="N36" s="32" t="s">
        <v>1239</v>
      </c>
      <c r="O36" s="31">
        <f>24990</f>
        <v>24990</v>
      </c>
      <c r="P36" s="32" t="s">
        <v>1079</v>
      </c>
      <c r="Q36" s="31">
        <f>33720</f>
        <v>33720</v>
      </c>
      <c r="R36" s="32" t="s">
        <v>755</v>
      </c>
      <c r="S36" s="33">
        <f>30800.95</f>
        <v>30800.95</v>
      </c>
      <c r="T36" s="39">
        <f>314998</f>
        <v>314998</v>
      </c>
      <c r="U36" s="30">
        <f>8290</f>
        <v>8290</v>
      </c>
      <c r="V36" s="30">
        <f>9243297169</f>
        <v>9243297169</v>
      </c>
      <c r="W36" s="30">
        <f>237254719</f>
        <v>237254719</v>
      </c>
      <c r="X36" s="34">
        <f>21</f>
        <v>21</v>
      </c>
    </row>
    <row r="37" spans="1:24">
      <c r="A37" s="25" t="s">
        <v>1238</v>
      </c>
      <c r="B37" s="25" t="s">
        <v>111</v>
      </c>
      <c r="C37" s="25" t="s">
        <v>882</v>
      </c>
      <c r="D37" s="25" t="s">
        <v>883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460</f>
        <v>460</v>
      </c>
      <c r="L37" s="32" t="s">
        <v>1239</v>
      </c>
      <c r="M37" s="31">
        <f>635</f>
        <v>635</v>
      </c>
      <c r="N37" s="32" t="s">
        <v>1079</v>
      </c>
      <c r="O37" s="31">
        <f>432</f>
        <v>432</v>
      </c>
      <c r="P37" s="32" t="s">
        <v>755</v>
      </c>
      <c r="Q37" s="31">
        <f>435</f>
        <v>435</v>
      </c>
      <c r="R37" s="32" t="s">
        <v>755</v>
      </c>
      <c r="S37" s="33">
        <f>492.52</f>
        <v>492.52</v>
      </c>
      <c r="T37" s="39">
        <f>8428282</f>
        <v>8428282</v>
      </c>
      <c r="U37" s="30">
        <f>23337</f>
        <v>23337</v>
      </c>
      <c r="V37" s="30">
        <f>4474475740</f>
        <v>4474475740</v>
      </c>
      <c r="W37" s="30">
        <f>12832456</f>
        <v>12832456</v>
      </c>
      <c r="X37" s="34">
        <f>21</f>
        <v>21</v>
      </c>
    </row>
    <row r="38" spans="1:24">
      <c r="A38" s="25" t="s">
        <v>1238</v>
      </c>
      <c r="B38" s="25" t="s">
        <v>112</v>
      </c>
      <c r="C38" s="25" t="s">
        <v>113</v>
      </c>
      <c r="D38" s="25" t="s">
        <v>114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</v>
      </c>
      <c r="K38" s="31">
        <f>36360</f>
        <v>36360</v>
      </c>
      <c r="L38" s="32" t="s">
        <v>1239</v>
      </c>
      <c r="M38" s="31">
        <f>36440</f>
        <v>36440</v>
      </c>
      <c r="N38" s="32" t="s">
        <v>1239</v>
      </c>
      <c r="O38" s="31">
        <f>31000</f>
        <v>31000</v>
      </c>
      <c r="P38" s="32" t="s">
        <v>1079</v>
      </c>
      <c r="Q38" s="31">
        <f>36410</f>
        <v>36410</v>
      </c>
      <c r="R38" s="32" t="s">
        <v>755</v>
      </c>
      <c r="S38" s="33">
        <f>34670</f>
        <v>34670</v>
      </c>
      <c r="T38" s="39">
        <f>473923</f>
        <v>473923</v>
      </c>
      <c r="U38" s="30">
        <f>115134</f>
        <v>115134</v>
      </c>
      <c r="V38" s="30">
        <f>16156160511</f>
        <v>16156160511</v>
      </c>
      <c r="W38" s="30">
        <f>3893907591</f>
        <v>3893907591</v>
      </c>
      <c r="X38" s="34">
        <f>21</f>
        <v>21</v>
      </c>
    </row>
    <row r="39" spans="1:24">
      <c r="A39" s="25" t="s">
        <v>1238</v>
      </c>
      <c r="B39" s="25" t="s">
        <v>115</v>
      </c>
      <c r="C39" s="25" t="s">
        <v>116</v>
      </c>
      <c r="D39" s="25" t="s">
        <v>117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</v>
      </c>
      <c r="K39" s="31">
        <f>36680</f>
        <v>36680</v>
      </c>
      <c r="L39" s="32" t="s">
        <v>1239</v>
      </c>
      <c r="M39" s="31">
        <f>36710</f>
        <v>36710</v>
      </c>
      <c r="N39" s="32" t="s">
        <v>1239</v>
      </c>
      <c r="O39" s="31">
        <f>30910</f>
        <v>30910</v>
      </c>
      <c r="P39" s="32" t="s">
        <v>1079</v>
      </c>
      <c r="Q39" s="31">
        <f>36400</f>
        <v>36400</v>
      </c>
      <c r="R39" s="32" t="s">
        <v>755</v>
      </c>
      <c r="S39" s="33">
        <f>34772.38</f>
        <v>34772.379999999997</v>
      </c>
      <c r="T39" s="39">
        <f>201354</f>
        <v>201354</v>
      </c>
      <c r="U39" s="30">
        <f>47489</f>
        <v>47489</v>
      </c>
      <c r="V39" s="30">
        <f>6804723942</f>
        <v>6804723942</v>
      </c>
      <c r="W39" s="30">
        <f>1588163822</f>
        <v>1588163822</v>
      </c>
      <c r="X39" s="34">
        <f>21</f>
        <v>21</v>
      </c>
    </row>
    <row r="40" spans="1:24">
      <c r="A40" s="25" t="s">
        <v>1238</v>
      </c>
      <c r="B40" s="25" t="s">
        <v>118</v>
      </c>
      <c r="C40" s="25" t="s">
        <v>119</v>
      </c>
      <c r="D40" s="25" t="s">
        <v>120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10</v>
      </c>
      <c r="K40" s="31">
        <f>1748</f>
        <v>1748</v>
      </c>
      <c r="L40" s="32" t="s">
        <v>1239</v>
      </c>
      <c r="M40" s="31">
        <f>1774</f>
        <v>1774</v>
      </c>
      <c r="N40" s="32" t="s">
        <v>756</v>
      </c>
      <c r="O40" s="31">
        <f>1609.5</f>
        <v>1609.5</v>
      </c>
      <c r="P40" s="32" t="s">
        <v>1079</v>
      </c>
      <c r="Q40" s="31">
        <f>1755</f>
        <v>1755</v>
      </c>
      <c r="R40" s="32" t="s">
        <v>755</v>
      </c>
      <c r="S40" s="33">
        <f>1741.67</f>
        <v>1741.67</v>
      </c>
      <c r="T40" s="39">
        <f>1904370</f>
        <v>1904370</v>
      </c>
      <c r="U40" s="30">
        <f>299110</f>
        <v>299110</v>
      </c>
      <c r="V40" s="30">
        <f>3307167934</f>
        <v>3307167934</v>
      </c>
      <c r="W40" s="30">
        <f>525074414</f>
        <v>525074414</v>
      </c>
      <c r="X40" s="34">
        <f>21</f>
        <v>21</v>
      </c>
    </row>
    <row r="41" spans="1:24">
      <c r="A41" s="25" t="s">
        <v>1238</v>
      </c>
      <c r="B41" s="25" t="s">
        <v>121</v>
      </c>
      <c r="C41" s="25" t="s">
        <v>122</v>
      </c>
      <c r="D41" s="25" t="s">
        <v>123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2260</f>
        <v>2260</v>
      </c>
      <c r="L41" s="32" t="s">
        <v>1239</v>
      </c>
      <c r="M41" s="31">
        <f>2260</f>
        <v>2260</v>
      </c>
      <c r="N41" s="32" t="s">
        <v>1239</v>
      </c>
      <c r="O41" s="31">
        <f>1970</f>
        <v>1970</v>
      </c>
      <c r="P41" s="32" t="s">
        <v>852</v>
      </c>
      <c r="Q41" s="31">
        <f>2177</f>
        <v>2177</v>
      </c>
      <c r="R41" s="32" t="s">
        <v>755</v>
      </c>
      <c r="S41" s="33">
        <f>2118.6</f>
        <v>2118.6</v>
      </c>
      <c r="T41" s="39">
        <f>43920</f>
        <v>43920</v>
      </c>
      <c r="U41" s="30">
        <f>2660</f>
        <v>2660</v>
      </c>
      <c r="V41" s="30">
        <f>93191331</f>
        <v>93191331</v>
      </c>
      <c r="W41" s="30">
        <f>5778620</f>
        <v>5778620</v>
      </c>
      <c r="X41" s="34">
        <f>21</f>
        <v>21</v>
      </c>
    </row>
    <row r="42" spans="1:24">
      <c r="A42" s="25" t="s">
        <v>1238</v>
      </c>
      <c r="B42" s="25" t="s">
        <v>1082</v>
      </c>
      <c r="C42" s="25" t="s">
        <v>1083</v>
      </c>
      <c r="D42" s="25" t="s">
        <v>1084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1974</f>
        <v>1974</v>
      </c>
      <c r="L42" s="32" t="s">
        <v>1239</v>
      </c>
      <c r="M42" s="31">
        <f>2011</f>
        <v>2011</v>
      </c>
      <c r="N42" s="32" t="s">
        <v>1080</v>
      </c>
      <c r="O42" s="31">
        <f>1916</f>
        <v>1916</v>
      </c>
      <c r="P42" s="32" t="s">
        <v>1079</v>
      </c>
      <c r="Q42" s="31">
        <f>1964</f>
        <v>1964</v>
      </c>
      <c r="R42" s="32" t="s">
        <v>755</v>
      </c>
      <c r="S42" s="33">
        <f>1980.71</f>
        <v>1980.71</v>
      </c>
      <c r="T42" s="39">
        <f>18533</f>
        <v>18533</v>
      </c>
      <c r="U42" s="30" t="str">
        <f>"－"</f>
        <v>－</v>
      </c>
      <c r="V42" s="30">
        <f>36436502</f>
        <v>36436502</v>
      </c>
      <c r="W42" s="30" t="str">
        <f>"－"</f>
        <v>－</v>
      </c>
      <c r="X42" s="34">
        <f>21</f>
        <v>21</v>
      </c>
    </row>
    <row r="43" spans="1:24">
      <c r="A43" s="25" t="s">
        <v>1238</v>
      </c>
      <c r="B43" s="25" t="s">
        <v>124</v>
      </c>
      <c r="C43" s="25" t="s">
        <v>884</v>
      </c>
      <c r="D43" s="25" t="s">
        <v>885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2633</f>
        <v>2633</v>
      </c>
      <c r="L43" s="32" t="s">
        <v>1239</v>
      </c>
      <c r="M43" s="31">
        <f>3060</f>
        <v>3060</v>
      </c>
      <c r="N43" s="32" t="s">
        <v>1079</v>
      </c>
      <c r="O43" s="31">
        <f>2562</f>
        <v>2562</v>
      </c>
      <c r="P43" s="32" t="s">
        <v>1078</v>
      </c>
      <c r="Q43" s="31">
        <f>2564</f>
        <v>2564</v>
      </c>
      <c r="R43" s="32" t="s">
        <v>755</v>
      </c>
      <c r="S43" s="33">
        <f>2713.24</f>
        <v>2713.24</v>
      </c>
      <c r="T43" s="39">
        <f>2807296</f>
        <v>2807296</v>
      </c>
      <c r="U43" s="30">
        <f>161300</f>
        <v>161300</v>
      </c>
      <c r="V43" s="30">
        <f>7796516732</f>
        <v>7796516732</v>
      </c>
      <c r="W43" s="30">
        <f>452127355</f>
        <v>452127355</v>
      </c>
      <c r="X43" s="34">
        <f>21</f>
        <v>21</v>
      </c>
    </row>
    <row r="44" spans="1:24">
      <c r="A44" s="25" t="s">
        <v>1238</v>
      </c>
      <c r="B44" s="25" t="s">
        <v>125</v>
      </c>
      <c r="C44" s="25" t="s">
        <v>886</v>
      </c>
      <c r="D44" s="25" t="s">
        <v>887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2937</f>
        <v>2937</v>
      </c>
      <c r="L44" s="32" t="s">
        <v>1239</v>
      </c>
      <c r="M44" s="31">
        <f>3520</f>
        <v>3520</v>
      </c>
      <c r="N44" s="32" t="s">
        <v>1079</v>
      </c>
      <c r="O44" s="31">
        <f>2894</f>
        <v>2894</v>
      </c>
      <c r="P44" s="32" t="s">
        <v>755</v>
      </c>
      <c r="Q44" s="31">
        <f>2894</f>
        <v>2894</v>
      </c>
      <c r="R44" s="32" t="s">
        <v>755</v>
      </c>
      <c r="S44" s="33">
        <f>3072.95</f>
        <v>3072.95</v>
      </c>
      <c r="T44" s="39">
        <f>488783</f>
        <v>488783</v>
      </c>
      <c r="U44" s="30">
        <f>74510</f>
        <v>74510</v>
      </c>
      <c r="V44" s="30">
        <f>1565444570</f>
        <v>1565444570</v>
      </c>
      <c r="W44" s="30">
        <f>251757710</f>
        <v>251757710</v>
      </c>
      <c r="X44" s="34">
        <f>21</f>
        <v>21</v>
      </c>
    </row>
    <row r="45" spans="1:24">
      <c r="A45" s="25" t="s">
        <v>1238</v>
      </c>
      <c r="B45" s="25" t="s">
        <v>126</v>
      </c>
      <c r="C45" s="25" t="s">
        <v>127</v>
      </c>
      <c r="D45" s="25" t="s">
        <v>128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27195</f>
        <v>27195</v>
      </c>
      <c r="L45" s="32" t="s">
        <v>1239</v>
      </c>
      <c r="M45" s="31">
        <f>27340</f>
        <v>27340</v>
      </c>
      <c r="N45" s="32" t="s">
        <v>1239</v>
      </c>
      <c r="O45" s="31">
        <f>19620</f>
        <v>19620</v>
      </c>
      <c r="P45" s="32" t="s">
        <v>1079</v>
      </c>
      <c r="Q45" s="31">
        <f>26610</f>
        <v>26610</v>
      </c>
      <c r="R45" s="32" t="s">
        <v>755</v>
      </c>
      <c r="S45" s="33">
        <f>24392.38</f>
        <v>24392.38</v>
      </c>
      <c r="T45" s="39">
        <f>11227774</f>
        <v>11227774</v>
      </c>
      <c r="U45" s="30">
        <f>20019</f>
        <v>20019</v>
      </c>
      <c r="V45" s="30">
        <f>269683515155</f>
        <v>269683515155</v>
      </c>
      <c r="W45" s="30">
        <f>513860070</f>
        <v>513860070</v>
      </c>
      <c r="X45" s="34">
        <f>21</f>
        <v>21</v>
      </c>
    </row>
    <row r="46" spans="1:24">
      <c r="A46" s="25" t="s">
        <v>1238</v>
      </c>
      <c r="B46" s="25" t="s">
        <v>129</v>
      </c>
      <c r="C46" s="25" t="s">
        <v>130</v>
      </c>
      <c r="D46" s="25" t="s">
        <v>131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</v>
      </c>
      <c r="K46" s="31">
        <f>546</f>
        <v>546</v>
      </c>
      <c r="L46" s="32" t="s">
        <v>1239</v>
      </c>
      <c r="M46" s="31">
        <f>715</f>
        <v>715</v>
      </c>
      <c r="N46" s="32" t="s">
        <v>1079</v>
      </c>
      <c r="O46" s="31">
        <f>501</f>
        <v>501</v>
      </c>
      <c r="P46" s="32" t="s">
        <v>1078</v>
      </c>
      <c r="Q46" s="31">
        <f>502</f>
        <v>502</v>
      </c>
      <c r="R46" s="32" t="s">
        <v>755</v>
      </c>
      <c r="S46" s="33">
        <f>569.71</f>
        <v>569.71</v>
      </c>
      <c r="T46" s="39">
        <f>304722769</f>
        <v>304722769</v>
      </c>
      <c r="U46" s="30">
        <f>4236215</f>
        <v>4236215</v>
      </c>
      <c r="V46" s="30">
        <f>182047540356</f>
        <v>182047540356</v>
      </c>
      <c r="W46" s="30">
        <f>2459404815</f>
        <v>2459404815</v>
      </c>
      <c r="X46" s="34">
        <f>21</f>
        <v>21</v>
      </c>
    </row>
    <row r="47" spans="1:24">
      <c r="A47" s="25" t="s">
        <v>1238</v>
      </c>
      <c r="B47" s="25" t="s">
        <v>132</v>
      </c>
      <c r="C47" s="25" t="s">
        <v>888</v>
      </c>
      <c r="D47" s="25" t="s">
        <v>889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586</f>
        <v>586</v>
      </c>
      <c r="L47" s="32" t="s">
        <v>1239</v>
      </c>
      <c r="M47" s="31">
        <f>783</f>
        <v>783</v>
      </c>
      <c r="N47" s="32" t="s">
        <v>1079</v>
      </c>
      <c r="O47" s="31">
        <f>556</f>
        <v>556</v>
      </c>
      <c r="P47" s="32" t="s">
        <v>755</v>
      </c>
      <c r="Q47" s="31">
        <f>556</f>
        <v>556</v>
      </c>
      <c r="R47" s="32" t="s">
        <v>755</v>
      </c>
      <c r="S47" s="33">
        <f>629.29</f>
        <v>629.29</v>
      </c>
      <c r="T47" s="39">
        <f>512917</f>
        <v>512917</v>
      </c>
      <c r="U47" s="30" t="str">
        <f>"－"</f>
        <v>－</v>
      </c>
      <c r="V47" s="30">
        <f>346169148</f>
        <v>346169148</v>
      </c>
      <c r="W47" s="30" t="str">
        <f>"－"</f>
        <v>－</v>
      </c>
      <c r="X47" s="34">
        <f>21</f>
        <v>21</v>
      </c>
    </row>
    <row r="48" spans="1:24">
      <c r="A48" s="25" t="s">
        <v>1238</v>
      </c>
      <c r="B48" s="25" t="s">
        <v>133</v>
      </c>
      <c r="C48" s="25" t="s">
        <v>134</v>
      </c>
      <c r="D48" s="25" t="s">
        <v>135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597.5</f>
        <v>597.5</v>
      </c>
      <c r="L48" s="32" t="s">
        <v>1239</v>
      </c>
      <c r="M48" s="31">
        <f>751.6</f>
        <v>751.6</v>
      </c>
      <c r="N48" s="32" t="s">
        <v>1079</v>
      </c>
      <c r="O48" s="31">
        <f>541</f>
        <v>541</v>
      </c>
      <c r="P48" s="32" t="s">
        <v>755</v>
      </c>
      <c r="Q48" s="31">
        <f>541.7</f>
        <v>541.70000000000005</v>
      </c>
      <c r="R48" s="32" t="s">
        <v>755</v>
      </c>
      <c r="S48" s="33">
        <f>611.02</f>
        <v>611.02</v>
      </c>
      <c r="T48" s="39">
        <f>880670</f>
        <v>880670</v>
      </c>
      <c r="U48" s="30" t="str">
        <f>"－"</f>
        <v>－</v>
      </c>
      <c r="V48" s="30">
        <f>567479527</f>
        <v>567479527</v>
      </c>
      <c r="W48" s="30" t="str">
        <f>"－"</f>
        <v>－</v>
      </c>
      <c r="X48" s="34">
        <f>21</f>
        <v>21</v>
      </c>
    </row>
    <row r="49" spans="1:24">
      <c r="A49" s="25" t="s">
        <v>1238</v>
      </c>
      <c r="B49" s="25" t="s">
        <v>136</v>
      </c>
      <c r="C49" s="25" t="s">
        <v>137</v>
      </c>
      <c r="D49" s="25" t="s">
        <v>138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233</f>
        <v>233</v>
      </c>
      <c r="L49" s="32" t="s">
        <v>1239</v>
      </c>
      <c r="M49" s="31">
        <f>351</f>
        <v>351</v>
      </c>
      <c r="N49" s="32" t="s">
        <v>1079</v>
      </c>
      <c r="O49" s="31">
        <f>215</f>
        <v>215</v>
      </c>
      <c r="P49" s="32" t="s">
        <v>755</v>
      </c>
      <c r="Q49" s="31">
        <f>220</f>
        <v>220</v>
      </c>
      <c r="R49" s="32" t="s">
        <v>755</v>
      </c>
      <c r="S49" s="33">
        <f>248.14</f>
        <v>248.14</v>
      </c>
      <c r="T49" s="39">
        <f>1037644</f>
        <v>1037644</v>
      </c>
      <c r="U49" s="30" t="str">
        <f>"－"</f>
        <v>－</v>
      </c>
      <c r="V49" s="30">
        <f>280341405</f>
        <v>280341405</v>
      </c>
      <c r="W49" s="30" t="str">
        <f>"－"</f>
        <v>－</v>
      </c>
      <c r="X49" s="34">
        <f>21</f>
        <v>21</v>
      </c>
    </row>
    <row r="50" spans="1:24">
      <c r="A50" s="25" t="s">
        <v>1238</v>
      </c>
      <c r="B50" s="25" t="s">
        <v>139</v>
      </c>
      <c r="C50" s="25" t="s">
        <v>140</v>
      </c>
      <c r="D50" s="25" t="s">
        <v>141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2762.5</f>
        <v>2762.5</v>
      </c>
      <c r="L50" s="32" t="s">
        <v>1239</v>
      </c>
      <c r="M50" s="31">
        <f>2764</f>
        <v>2764</v>
      </c>
      <c r="N50" s="32" t="s">
        <v>1239</v>
      </c>
      <c r="O50" s="31">
        <f>2300</f>
        <v>2300</v>
      </c>
      <c r="P50" s="32" t="s">
        <v>1079</v>
      </c>
      <c r="Q50" s="31">
        <f>2738</f>
        <v>2738</v>
      </c>
      <c r="R50" s="32" t="s">
        <v>755</v>
      </c>
      <c r="S50" s="33">
        <f>2599.83</f>
        <v>2599.83</v>
      </c>
      <c r="T50" s="39">
        <f>2492300</f>
        <v>2492300</v>
      </c>
      <c r="U50" s="30">
        <f>1253700</f>
        <v>1253700</v>
      </c>
      <c r="V50" s="30">
        <f>6382904565</f>
        <v>6382904565</v>
      </c>
      <c r="W50" s="30">
        <f>3220720805</f>
        <v>3220720805</v>
      </c>
      <c r="X50" s="34">
        <f>21</f>
        <v>21</v>
      </c>
    </row>
    <row r="51" spans="1:24">
      <c r="A51" s="25" t="s">
        <v>1238</v>
      </c>
      <c r="B51" s="25" t="s">
        <v>142</v>
      </c>
      <c r="C51" s="25" t="s">
        <v>143</v>
      </c>
      <c r="D51" s="25" t="s">
        <v>144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24835</f>
        <v>24835</v>
      </c>
      <c r="L51" s="32" t="s">
        <v>1239</v>
      </c>
      <c r="M51" s="31">
        <f>24835</f>
        <v>24835</v>
      </c>
      <c r="N51" s="32" t="s">
        <v>1239</v>
      </c>
      <c r="O51" s="31">
        <f>20850</f>
        <v>20850</v>
      </c>
      <c r="P51" s="32" t="s">
        <v>1079</v>
      </c>
      <c r="Q51" s="31">
        <f>24665</f>
        <v>24665</v>
      </c>
      <c r="R51" s="32" t="s">
        <v>755</v>
      </c>
      <c r="S51" s="33">
        <f>23575.24</f>
        <v>23575.24</v>
      </c>
      <c r="T51" s="39">
        <f>198743</f>
        <v>198743</v>
      </c>
      <c r="U51" s="30">
        <f>134250</f>
        <v>134250</v>
      </c>
      <c r="V51" s="30">
        <f>4471853570</f>
        <v>4471853570</v>
      </c>
      <c r="W51" s="30">
        <f>2980970355</f>
        <v>2980970355</v>
      </c>
      <c r="X51" s="34">
        <f>21</f>
        <v>21</v>
      </c>
    </row>
    <row r="52" spans="1:24">
      <c r="A52" s="25" t="s">
        <v>1238</v>
      </c>
      <c r="B52" s="25" t="s">
        <v>145</v>
      </c>
      <c r="C52" s="25" t="s">
        <v>146</v>
      </c>
      <c r="D52" s="25" t="s">
        <v>147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10</v>
      </c>
      <c r="K52" s="31">
        <f>278.6</f>
        <v>278.60000000000002</v>
      </c>
      <c r="L52" s="32" t="s">
        <v>1239</v>
      </c>
      <c r="M52" s="31">
        <f>278.9</f>
        <v>278.89999999999998</v>
      </c>
      <c r="N52" s="32" t="s">
        <v>1239</v>
      </c>
      <c r="O52" s="31">
        <f>230</f>
        <v>230</v>
      </c>
      <c r="P52" s="32" t="s">
        <v>1079</v>
      </c>
      <c r="Q52" s="31">
        <f>275.2</f>
        <v>275.2</v>
      </c>
      <c r="R52" s="32" t="s">
        <v>755</v>
      </c>
      <c r="S52" s="33">
        <f>262.05</f>
        <v>262.05</v>
      </c>
      <c r="T52" s="39">
        <f>210751690</f>
        <v>210751690</v>
      </c>
      <c r="U52" s="30">
        <f>127605450</f>
        <v>127605450</v>
      </c>
      <c r="V52" s="30">
        <f>53860023374</f>
        <v>53860023374</v>
      </c>
      <c r="W52" s="30">
        <f>32580376534</f>
        <v>32580376534</v>
      </c>
      <c r="X52" s="34">
        <f>21</f>
        <v>21</v>
      </c>
    </row>
    <row r="53" spans="1:24">
      <c r="A53" s="25" t="s">
        <v>1238</v>
      </c>
      <c r="B53" s="25" t="s">
        <v>148</v>
      </c>
      <c r="C53" s="25" t="s">
        <v>149</v>
      </c>
      <c r="D53" s="25" t="s">
        <v>150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1767</f>
        <v>1767</v>
      </c>
      <c r="L53" s="32" t="s">
        <v>1239</v>
      </c>
      <c r="M53" s="31">
        <f>1796</f>
        <v>1796</v>
      </c>
      <c r="N53" s="32" t="s">
        <v>756</v>
      </c>
      <c r="O53" s="31">
        <f>1680</f>
        <v>1680</v>
      </c>
      <c r="P53" s="32" t="s">
        <v>1079</v>
      </c>
      <c r="Q53" s="31">
        <f>1782</f>
        <v>1782</v>
      </c>
      <c r="R53" s="32" t="s">
        <v>755</v>
      </c>
      <c r="S53" s="33">
        <f>1764.1</f>
        <v>1764.1</v>
      </c>
      <c r="T53" s="39">
        <f>19180299</f>
        <v>19180299</v>
      </c>
      <c r="U53" s="30">
        <f>16256854</f>
        <v>16256854</v>
      </c>
      <c r="V53" s="30">
        <f>33741411644</f>
        <v>33741411644</v>
      </c>
      <c r="W53" s="30">
        <f>28602216749</f>
        <v>28602216749</v>
      </c>
      <c r="X53" s="34">
        <f>21</f>
        <v>21</v>
      </c>
    </row>
    <row r="54" spans="1:24">
      <c r="A54" s="25" t="s">
        <v>1238</v>
      </c>
      <c r="B54" s="25" t="s">
        <v>151</v>
      </c>
      <c r="C54" s="25" t="s">
        <v>152</v>
      </c>
      <c r="D54" s="25" t="s">
        <v>153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2561</f>
        <v>2561</v>
      </c>
      <c r="L54" s="32" t="s">
        <v>1239</v>
      </c>
      <c r="M54" s="31">
        <f>2591</f>
        <v>2591</v>
      </c>
      <c r="N54" s="32" t="s">
        <v>755</v>
      </c>
      <c r="O54" s="31">
        <f>2212</f>
        <v>2212</v>
      </c>
      <c r="P54" s="32" t="s">
        <v>1079</v>
      </c>
      <c r="Q54" s="31">
        <f>2591</f>
        <v>2591</v>
      </c>
      <c r="R54" s="32" t="s">
        <v>755</v>
      </c>
      <c r="S54" s="33">
        <f>2480.62</f>
        <v>2480.62</v>
      </c>
      <c r="T54" s="39">
        <f>125675</f>
        <v>125675</v>
      </c>
      <c r="U54" s="30">
        <f>18307</f>
        <v>18307</v>
      </c>
      <c r="V54" s="30">
        <f>309103200</f>
        <v>309103200</v>
      </c>
      <c r="W54" s="30">
        <f>47366914</f>
        <v>47366914</v>
      </c>
      <c r="X54" s="34">
        <f>21</f>
        <v>21</v>
      </c>
    </row>
    <row r="55" spans="1:24">
      <c r="A55" s="25" t="s">
        <v>1238</v>
      </c>
      <c r="B55" s="25" t="s">
        <v>154</v>
      </c>
      <c r="C55" s="25" t="s">
        <v>155</v>
      </c>
      <c r="D55" s="25" t="s">
        <v>156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3775</f>
        <v>3775</v>
      </c>
      <c r="L55" s="32" t="s">
        <v>1239</v>
      </c>
      <c r="M55" s="31">
        <f>3830</f>
        <v>3830</v>
      </c>
      <c r="N55" s="32" t="s">
        <v>755</v>
      </c>
      <c r="O55" s="31">
        <f>3210</f>
        <v>3210</v>
      </c>
      <c r="P55" s="32" t="s">
        <v>1079</v>
      </c>
      <c r="Q55" s="31">
        <f>3800</f>
        <v>3800</v>
      </c>
      <c r="R55" s="32" t="s">
        <v>755</v>
      </c>
      <c r="S55" s="33">
        <f>3613.81</f>
        <v>3613.81</v>
      </c>
      <c r="T55" s="39">
        <f>3364274</f>
        <v>3364274</v>
      </c>
      <c r="U55" s="30">
        <f>1756331</f>
        <v>1756331</v>
      </c>
      <c r="V55" s="30">
        <f>12050611477</f>
        <v>12050611477</v>
      </c>
      <c r="W55" s="30">
        <f>6319395097</f>
        <v>6319395097</v>
      </c>
      <c r="X55" s="34">
        <f>21</f>
        <v>21</v>
      </c>
    </row>
    <row r="56" spans="1:24">
      <c r="A56" s="25" t="s">
        <v>1238</v>
      </c>
      <c r="B56" s="25" t="s">
        <v>157</v>
      </c>
      <c r="C56" s="25" t="s">
        <v>890</v>
      </c>
      <c r="D56" s="25" t="s">
        <v>891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31600</f>
        <v>31600</v>
      </c>
      <c r="L56" s="32" t="s">
        <v>1208</v>
      </c>
      <c r="M56" s="31">
        <f>34410</f>
        <v>34410</v>
      </c>
      <c r="N56" s="32" t="s">
        <v>1078</v>
      </c>
      <c r="O56" s="31">
        <f>31020</f>
        <v>31020</v>
      </c>
      <c r="P56" s="32" t="s">
        <v>1077</v>
      </c>
      <c r="Q56" s="31">
        <f>33880</f>
        <v>33880</v>
      </c>
      <c r="R56" s="32" t="s">
        <v>755</v>
      </c>
      <c r="S56" s="33">
        <f>32570</f>
        <v>32570</v>
      </c>
      <c r="T56" s="39">
        <f>343</f>
        <v>343</v>
      </c>
      <c r="U56" s="30" t="str">
        <f>"－"</f>
        <v>－</v>
      </c>
      <c r="V56" s="30">
        <f>10732830</f>
        <v>10732830</v>
      </c>
      <c r="W56" s="30" t="str">
        <f>"－"</f>
        <v>－</v>
      </c>
      <c r="X56" s="34">
        <f>6</f>
        <v>6</v>
      </c>
    </row>
    <row r="57" spans="1:24">
      <c r="A57" s="25" t="s">
        <v>1238</v>
      </c>
      <c r="B57" s="25" t="s">
        <v>158</v>
      </c>
      <c r="C57" s="25" t="s">
        <v>159</v>
      </c>
      <c r="D57" s="25" t="s">
        <v>160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27615</f>
        <v>27615</v>
      </c>
      <c r="L57" s="32" t="s">
        <v>1240</v>
      </c>
      <c r="M57" s="31">
        <f>27615</f>
        <v>27615</v>
      </c>
      <c r="N57" s="32" t="s">
        <v>1240</v>
      </c>
      <c r="O57" s="31">
        <f>23880</f>
        <v>23880</v>
      </c>
      <c r="P57" s="32" t="s">
        <v>1077</v>
      </c>
      <c r="Q57" s="31">
        <f>26155</f>
        <v>26155</v>
      </c>
      <c r="R57" s="32" t="s">
        <v>755</v>
      </c>
      <c r="S57" s="33">
        <f>25453.33</f>
        <v>25453.33</v>
      </c>
      <c r="T57" s="39">
        <f>40</f>
        <v>40</v>
      </c>
      <c r="U57" s="30" t="str">
        <f>"－"</f>
        <v>－</v>
      </c>
      <c r="V57" s="30">
        <f>1012040</f>
        <v>1012040</v>
      </c>
      <c r="W57" s="30" t="str">
        <f>"－"</f>
        <v>－</v>
      </c>
      <c r="X57" s="34">
        <f>6</f>
        <v>6</v>
      </c>
    </row>
    <row r="58" spans="1:24">
      <c r="A58" s="25" t="s">
        <v>1238</v>
      </c>
      <c r="B58" s="25" t="s">
        <v>161</v>
      </c>
      <c r="C58" s="25" t="s">
        <v>162</v>
      </c>
      <c r="D58" s="25" t="s">
        <v>163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2786</f>
        <v>2786</v>
      </c>
      <c r="L58" s="32" t="s">
        <v>1239</v>
      </c>
      <c r="M58" s="31">
        <f>2835</f>
        <v>2835</v>
      </c>
      <c r="N58" s="32" t="s">
        <v>1078</v>
      </c>
      <c r="O58" s="31">
        <f>2500</f>
        <v>2500</v>
      </c>
      <c r="P58" s="32" t="s">
        <v>852</v>
      </c>
      <c r="Q58" s="31">
        <f>2831</f>
        <v>2831</v>
      </c>
      <c r="R58" s="32" t="s">
        <v>755</v>
      </c>
      <c r="S58" s="33">
        <f>2696.43</f>
        <v>2696.43</v>
      </c>
      <c r="T58" s="39">
        <f>1017</f>
        <v>1017</v>
      </c>
      <c r="U58" s="30" t="str">
        <f>"－"</f>
        <v>－</v>
      </c>
      <c r="V58" s="30">
        <f>2757133</f>
        <v>2757133</v>
      </c>
      <c r="W58" s="30" t="str">
        <f>"－"</f>
        <v>－</v>
      </c>
      <c r="X58" s="34">
        <f>21</f>
        <v>21</v>
      </c>
    </row>
    <row r="59" spans="1:24">
      <c r="A59" s="25" t="s">
        <v>1238</v>
      </c>
      <c r="B59" s="25" t="s">
        <v>164</v>
      </c>
      <c r="C59" s="25" t="s">
        <v>165</v>
      </c>
      <c r="D59" s="25" t="s">
        <v>166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</v>
      </c>
      <c r="K59" s="31">
        <f>1675</f>
        <v>1675</v>
      </c>
      <c r="L59" s="32" t="s">
        <v>1239</v>
      </c>
      <c r="M59" s="31">
        <f>1713</f>
        <v>1713</v>
      </c>
      <c r="N59" s="32" t="s">
        <v>1079</v>
      </c>
      <c r="O59" s="31">
        <f>1624</f>
        <v>1624</v>
      </c>
      <c r="P59" s="32" t="s">
        <v>1080</v>
      </c>
      <c r="Q59" s="31">
        <f>1661</f>
        <v>1661</v>
      </c>
      <c r="R59" s="32" t="s">
        <v>755</v>
      </c>
      <c r="S59" s="33">
        <f>1655.29</f>
        <v>1655.29</v>
      </c>
      <c r="T59" s="39">
        <f>10690079</f>
        <v>10690079</v>
      </c>
      <c r="U59" s="30">
        <f>7814907</f>
        <v>7814907</v>
      </c>
      <c r="V59" s="30">
        <f>17828342422</f>
        <v>17828342422</v>
      </c>
      <c r="W59" s="30">
        <f>13042563473</f>
        <v>13042563473</v>
      </c>
      <c r="X59" s="34">
        <f>21</f>
        <v>21</v>
      </c>
    </row>
    <row r="60" spans="1:24">
      <c r="A60" s="25" t="s">
        <v>1238</v>
      </c>
      <c r="B60" s="25" t="s">
        <v>167</v>
      </c>
      <c r="C60" s="25" t="s">
        <v>168</v>
      </c>
      <c r="D60" s="25" t="s">
        <v>169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>
        <f>2771</f>
        <v>2771</v>
      </c>
      <c r="L60" s="32" t="s">
        <v>1239</v>
      </c>
      <c r="M60" s="31">
        <f>2814</f>
        <v>2814</v>
      </c>
      <c r="N60" s="32" t="s">
        <v>755</v>
      </c>
      <c r="O60" s="31">
        <f>2467</f>
        <v>2467</v>
      </c>
      <c r="P60" s="32" t="s">
        <v>1077</v>
      </c>
      <c r="Q60" s="31">
        <f>2795</f>
        <v>2795</v>
      </c>
      <c r="R60" s="32" t="s">
        <v>755</v>
      </c>
      <c r="S60" s="33">
        <f>2663</f>
        <v>2663</v>
      </c>
      <c r="T60" s="39">
        <f>510</f>
        <v>510</v>
      </c>
      <c r="U60" s="30" t="str">
        <f>"－"</f>
        <v>－</v>
      </c>
      <c r="V60" s="30">
        <f>1358108</f>
        <v>1358108</v>
      </c>
      <c r="W60" s="30" t="str">
        <f>"－"</f>
        <v>－</v>
      </c>
      <c r="X60" s="34">
        <f>21</f>
        <v>21</v>
      </c>
    </row>
    <row r="61" spans="1:24">
      <c r="A61" s="25" t="s">
        <v>1238</v>
      </c>
      <c r="B61" s="25" t="s">
        <v>170</v>
      </c>
      <c r="C61" s="25" t="s">
        <v>171</v>
      </c>
      <c r="D61" s="25" t="s">
        <v>172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10</v>
      </c>
      <c r="K61" s="31">
        <f>2747.5</f>
        <v>2747.5</v>
      </c>
      <c r="L61" s="32" t="s">
        <v>1239</v>
      </c>
      <c r="M61" s="31">
        <f>2882.5</f>
        <v>2882.5</v>
      </c>
      <c r="N61" s="32" t="s">
        <v>738</v>
      </c>
      <c r="O61" s="31">
        <f>2457.5</f>
        <v>2457.5</v>
      </c>
      <c r="P61" s="32" t="s">
        <v>1079</v>
      </c>
      <c r="Q61" s="31">
        <f>2800.5</f>
        <v>2800.5</v>
      </c>
      <c r="R61" s="32" t="s">
        <v>755</v>
      </c>
      <c r="S61" s="33">
        <f>2660.86</f>
        <v>2660.86</v>
      </c>
      <c r="T61" s="39">
        <f>9210</f>
        <v>9210</v>
      </c>
      <c r="U61" s="30" t="str">
        <f>"－"</f>
        <v>－</v>
      </c>
      <c r="V61" s="30">
        <f>24143465</f>
        <v>24143465</v>
      </c>
      <c r="W61" s="30" t="str">
        <f>"－"</f>
        <v>－</v>
      </c>
      <c r="X61" s="34">
        <f>21</f>
        <v>21</v>
      </c>
    </row>
    <row r="62" spans="1:24">
      <c r="A62" s="25" t="s">
        <v>1238</v>
      </c>
      <c r="B62" s="25" t="s">
        <v>173</v>
      </c>
      <c r="C62" s="25" t="s">
        <v>174</v>
      </c>
      <c r="D62" s="25" t="s">
        <v>175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36380</f>
        <v>36380</v>
      </c>
      <c r="L62" s="32" t="s">
        <v>1220</v>
      </c>
      <c r="M62" s="31">
        <f>37620</f>
        <v>37620</v>
      </c>
      <c r="N62" s="32" t="s">
        <v>1205</v>
      </c>
      <c r="O62" s="31">
        <f>36380</f>
        <v>36380</v>
      </c>
      <c r="P62" s="32" t="s">
        <v>1220</v>
      </c>
      <c r="Q62" s="31">
        <f>37620</f>
        <v>37620</v>
      </c>
      <c r="R62" s="32" t="s">
        <v>1205</v>
      </c>
      <c r="S62" s="33">
        <f>37080</f>
        <v>37080</v>
      </c>
      <c r="T62" s="39">
        <f>42</f>
        <v>42</v>
      </c>
      <c r="U62" s="30" t="str">
        <f>"－"</f>
        <v>－</v>
      </c>
      <c r="V62" s="30">
        <f>1545450</f>
        <v>1545450</v>
      </c>
      <c r="W62" s="30" t="str">
        <f>"－"</f>
        <v>－</v>
      </c>
      <c r="X62" s="34">
        <f>4</f>
        <v>4</v>
      </c>
    </row>
    <row r="63" spans="1:24">
      <c r="A63" s="25" t="s">
        <v>1238</v>
      </c>
      <c r="B63" s="25" t="s">
        <v>176</v>
      </c>
      <c r="C63" s="25" t="s">
        <v>177</v>
      </c>
      <c r="D63" s="25" t="s">
        <v>178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23500</f>
        <v>23500</v>
      </c>
      <c r="L63" s="32" t="s">
        <v>1239</v>
      </c>
      <c r="M63" s="31">
        <f>23500</f>
        <v>23500</v>
      </c>
      <c r="N63" s="32" t="s">
        <v>1239</v>
      </c>
      <c r="O63" s="31">
        <f>21590</f>
        <v>21590</v>
      </c>
      <c r="P63" s="32" t="s">
        <v>850</v>
      </c>
      <c r="Q63" s="31">
        <f>22440</f>
        <v>22440</v>
      </c>
      <c r="R63" s="32" t="s">
        <v>755</v>
      </c>
      <c r="S63" s="33">
        <f>22516.9</f>
        <v>22516.9</v>
      </c>
      <c r="T63" s="39">
        <f>577680</f>
        <v>577680</v>
      </c>
      <c r="U63" s="30">
        <f>518500</f>
        <v>518500</v>
      </c>
      <c r="V63" s="30">
        <f>13443146895</f>
        <v>13443146895</v>
      </c>
      <c r="W63" s="30">
        <f>12124812725</f>
        <v>12124812725</v>
      </c>
      <c r="X63" s="34">
        <f>21</f>
        <v>21</v>
      </c>
    </row>
    <row r="64" spans="1:24">
      <c r="A64" s="25" t="s">
        <v>1238</v>
      </c>
      <c r="B64" s="25" t="s">
        <v>179</v>
      </c>
      <c r="C64" s="25" t="s">
        <v>180</v>
      </c>
      <c r="D64" s="25" t="s">
        <v>181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12810</f>
        <v>12810</v>
      </c>
      <c r="L64" s="32" t="s">
        <v>1239</v>
      </c>
      <c r="M64" s="31">
        <f>13195</f>
        <v>13195</v>
      </c>
      <c r="N64" s="32" t="s">
        <v>1079</v>
      </c>
      <c r="O64" s="31">
        <f>12545</f>
        <v>12545</v>
      </c>
      <c r="P64" s="32" t="s">
        <v>1080</v>
      </c>
      <c r="Q64" s="31">
        <f>12880</f>
        <v>12880</v>
      </c>
      <c r="R64" s="32" t="s">
        <v>755</v>
      </c>
      <c r="S64" s="33">
        <f>12802.14</f>
        <v>12802.14</v>
      </c>
      <c r="T64" s="39">
        <f>67315</f>
        <v>67315</v>
      </c>
      <c r="U64" s="30">
        <f>19800</f>
        <v>19800</v>
      </c>
      <c r="V64" s="30">
        <f>863809221</f>
        <v>863809221</v>
      </c>
      <c r="W64" s="30">
        <f>254592276</f>
        <v>254592276</v>
      </c>
      <c r="X64" s="34">
        <f>21</f>
        <v>21</v>
      </c>
    </row>
    <row r="65" spans="1:24">
      <c r="A65" s="25" t="s">
        <v>1238</v>
      </c>
      <c r="B65" s="25" t="s">
        <v>182</v>
      </c>
      <c r="C65" s="25" t="s">
        <v>892</v>
      </c>
      <c r="D65" s="25" t="s">
        <v>893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</v>
      </c>
      <c r="K65" s="31">
        <f>1761</f>
        <v>1761</v>
      </c>
      <c r="L65" s="32" t="s">
        <v>1239</v>
      </c>
      <c r="M65" s="31">
        <f>1789</f>
        <v>1789</v>
      </c>
      <c r="N65" s="32" t="s">
        <v>756</v>
      </c>
      <c r="O65" s="31">
        <f>1668</f>
        <v>1668</v>
      </c>
      <c r="P65" s="32" t="s">
        <v>1079</v>
      </c>
      <c r="Q65" s="31">
        <f>1769</f>
        <v>1769</v>
      </c>
      <c r="R65" s="32" t="s">
        <v>755</v>
      </c>
      <c r="S65" s="33">
        <f>1752.52</f>
        <v>1752.52</v>
      </c>
      <c r="T65" s="39">
        <f>3492307</f>
        <v>3492307</v>
      </c>
      <c r="U65" s="30">
        <f>1287612</f>
        <v>1287612</v>
      </c>
      <c r="V65" s="30">
        <f>6070022740</f>
        <v>6070022740</v>
      </c>
      <c r="W65" s="30">
        <f>2226639186</f>
        <v>2226639186</v>
      </c>
      <c r="X65" s="34">
        <f>21</f>
        <v>21</v>
      </c>
    </row>
    <row r="66" spans="1:24">
      <c r="A66" s="25" t="s">
        <v>1238</v>
      </c>
      <c r="B66" s="25" t="s">
        <v>183</v>
      </c>
      <c r="C66" s="25" t="s">
        <v>184</v>
      </c>
      <c r="D66" s="25" t="s">
        <v>185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2369</f>
        <v>2369</v>
      </c>
      <c r="L66" s="32" t="s">
        <v>1239</v>
      </c>
      <c r="M66" s="31">
        <f>2371</f>
        <v>2371</v>
      </c>
      <c r="N66" s="32" t="s">
        <v>1239</v>
      </c>
      <c r="O66" s="31">
        <f>1873</f>
        <v>1873</v>
      </c>
      <c r="P66" s="32" t="s">
        <v>1079</v>
      </c>
      <c r="Q66" s="31">
        <f>2201</f>
        <v>2201</v>
      </c>
      <c r="R66" s="32" t="s">
        <v>755</v>
      </c>
      <c r="S66" s="33">
        <f>2139.33</f>
        <v>2139.33</v>
      </c>
      <c r="T66" s="39">
        <f>24316723</f>
        <v>24316723</v>
      </c>
      <c r="U66" s="30">
        <f>3457610</f>
        <v>3457610</v>
      </c>
      <c r="V66" s="30">
        <f>50789682807</f>
        <v>50789682807</v>
      </c>
      <c r="W66" s="30">
        <f>7105538785</f>
        <v>7105538785</v>
      </c>
      <c r="X66" s="34">
        <f>21</f>
        <v>21</v>
      </c>
    </row>
    <row r="67" spans="1:24">
      <c r="A67" s="25" t="s">
        <v>1238</v>
      </c>
      <c r="B67" s="25" t="s">
        <v>186</v>
      </c>
      <c r="C67" s="25" t="s">
        <v>187</v>
      </c>
      <c r="D67" s="25" t="s">
        <v>188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6676</f>
        <v>6676</v>
      </c>
      <c r="L67" s="32" t="s">
        <v>852</v>
      </c>
      <c r="M67" s="31">
        <f>7749</f>
        <v>7749</v>
      </c>
      <c r="N67" s="32" t="s">
        <v>1080</v>
      </c>
      <c r="O67" s="31">
        <f>6676</f>
        <v>6676</v>
      </c>
      <c r="P67" s="32" t="s">
        <v>852</v>
      </c>
      <c r="Q67" s="31">
        <f>7455</f>
        <v>7455</v>
      </c>
      <c r="R67" s="32" t="s">
        <v>739</v>
      </c>
      <c r="S67" s="33">
        <f>7554.33</f>
        <v>7554.33</v>
      </c>
      <c r="T67" s="39">
        <f>62</f>
        <v>62</v>
      </c>
      <c r="U67" s="30" t="str">
        <f>"－"</f>
        <v>－</v>
      </c>
      <c r="V67" s="30">
        <f>468166</f>
        <v>468166</v>
      </c>
      <c r="W67" s="30" t="str">
        <f>"－"</f>
        <v>－</v>
      </c>
      <c r="X67" s="34">
        <f>3</f>
        <v>3</v>
      </c>
    </row>
    <row r="68" spans="1:24">
      <c r="A68" s="25" t="s">
        <v>1238</v>
      </c>
      <c r="B68" s="25" t="s">
        <v>189</v>
      </c>
      <c r="C68" s="25" t="s">
        <v>190</v>
      </c>
      <c r="D68" s="25" t="s">
        <v>191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</v>
      </c>
      <c r="K68" s="31">
        <f>19180</f>
        <v>19180</v>
      </c>
      <c r="L68" s="32" t="s">
        <v>1239</v>
      </c>
      <c r="M68" s="31">
        <f>19540</f>
        <v>19540</v>
      </c>
      <c r="N68" s="32" t="s">
        <v>1210</v>
      </c>
      <c r="O68" s="31">
        <f>16200</f>
        <v>16200</v>
      </c>
      <c r="P68" s="32" t="s">
        <v>1079</v>
      </c>
      <c r="Q68" s="31">
        <f>19110</f>
        <v>19110</v>
      </c>
      <c r="R68" s="32" t="s">
        <v>755</v>
      </c>
      <c r="S68" s="33">
        <f>18214.52</f>
        <v>18214.52</v>
      </c>
      <c r="T68" s="39">
        <f>8971</f>
        <v>8971</v>
      </c>
      <c r="U68" s="30">
        <f>50</f>
        <v>50</v>
      </c>
      <c r="V68" s="30">
        <f>161560340</f>
        <v>161560340</v>
      </c>
      <c r="W68" s="30">
        <f>911200</f>
        <v>911200</v>
      </c>
      <c r="X68" s="34">
        <f>21</f>
        <v>21</v>
      </c>
    </row>
    <row r="69" spans="1:24">
      <c r="A69" s="25" t="s">
        <v>1238</v>
      </c>
      <c r="B69" s="25" t="s">
        <v>192</v>
      </c>
      <c r="C69" s="25" t="s">
        <v>193</v>
      </c>
      <c r="D69" s="25" t="s">
        <v>194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31930</f>
        <v>31930</v>
      </c>
      <c r="L69" s="32" t="s">
        <v>1239</v>
      </c>
      <c r="M69" s="31">
        <f>32360</f>
        <v>32360</v>
      </c>
      <c r="N69" s="32" t="s">
        <v>1239</v>
      </c>
      <c r="O69" s="31">
        <f>27945</f>
        <v>27945</v>
      </c>
      <c r="P69" s="32" t="s">
        <v>852</v>
      </c>
      <c r="Q69" s="31">
        <f>30850</f>
        <v>30850</v>
      </c>
      <c r="R69" s="32" t="s">
        <v>755</v>
      </c>
      <c r="S69" s="33">
        <f>30251.43</f>
        <v>30251.43</v>
      </c>
      <c r="T69" s="39">
        <f>194861</f>
        <v>194861</v>
      </c>
      <c r="U69" s="30">
        <f>120749</f>
        <v>120749</v>
      </c>
      <c r="V69" s="30">
        <f>5891419396</f>
        <v>5891419396</v>
      </c>
      <c r="W69" s="30">
        <f>3667870166</f>
        <v>3667870166</v>
      </c>
      <c r="X69" s="34">
        <f>21</f>
        <v>21</v>
      </c>
    </row>
    <row r="70" spans="1:24">
      <c r="A70" s="25" t="s">
        <v>1238</v>
      </c>
      <c r="B70" s="25" t="s">
        <v>195</v>
      </c>
      <c r="C70" s="25" t="s">
        <v>196</v>
      </c>
      <c r="D70" s="25" t="s">
        <v>197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10060</f>
        <v>10060</v>
      </c>
      <c r="L70" s="32" t="s">
        <v>1239</v>
      </c>
      <c r="M70" s="31">
        <f>10200</f>
        <v>10200</v>
      </c>
      <c r="N70" s="32" t="s">
        <v>1204</v>
      </c>
      <c r="O70" s="31">
        <f>9250</f>
        <v>9250</v>
      </c>
      <c r="P70" s="32" t="s">
        <v>852</v>
      </c>
      <c r="Q70" s="31">
        <f>9660</f>
        <v>9660</v>
      </c>
      <c r="R70" s="32" t="s">
        <v>755</v>
      </c>
      <c r="S70" s="33">
        <f>9649.67</f>
        <v>9649.67</v>
      </c>
      <c r="T70" s="39">
        <f>20683</f>
        <v>20683</v>
      </c>
      <c r="U70" s="30" t="str">
        <f>"－"</f>
        <v>－</v>
      </c>
      <c r="V70" s="30">
        <f>198091499</f>
        <v>198091499</v>
      </c>
      <c r="W70" s="30" t="str">
        <f>"－"</f>
        <v>－</v>
      </c>
      <c r="X70" s="34">
        <f>21</f>
        <v>21</v>
      </c>
    </row>
    <row r="71" spans="1:24">
      <c r="A71" s="25" t="s">
        <v>1238</v>
      </c>
      <c r="B71" s="25" t="s">
        <v>198</v>
      </c>
      <c r="C71" s="25" t="s">
        <v>199</v>
      </c>
      <c r="D71" s="25" t="s">
        <v>200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1770</f>
        <v>1770</v>
      </c>
      <c r="L71" s="32" t="s">
        <v>1239</v>
      </c>
      <c r="M71" s="31">
        <f>1794</f>
        <v>1794</v>
      </c>
      <c r="N71" s="32" t="s">
        <v>1208</v>
      </c>
      <c r="O71" s="31">
        <f>1682</f>
        <v>1682</v>
      </c>
      <c r="P71" s="32" t="s">
        <v>852</v>
      </c>
      <c r="Q71" s="31">
        <f>1739</f>
        <v>1739</v>
      </c>
      <c r="R71" s="32" t="s">
        <v>755</v>
      </c>
      <c r="S71" s="33">
        <f>1729.33</f>
        <v>1729.33</v>
      </c>
      <c r="T71" s="39">
        <f>817059</f>
        <v>817059</v>
      </c>
      <c r="U71" s="30">
        <f>233000</f>
        <v>233000</v>
      </c>
      <c r="V71" s="30">
        <f>1413494875</f>
        <v>1413494875</v>
      </c>
      <c r="W71" s="30">
        <f>397428100</f>
        <v>397428100</v>
      </c>
      <c r="X71" s="34">
        <f>21</f>
        <v>21</v>
      </c>
    </row>
    <row r="72" spans="1:24">
      <c r="A72" s="25" t="s">
        <v>1238</v>
      </c>
      <c r="B72" s="25" t="s">
        <v>201</v>
      </c>
      <c r="C72" s="25" t="s">
        <v>202</v>
      </c>
      <c r="D72" s="25" t="s">
        <v>203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1828</f>
        <v>1828</v>
      </c>
      <c r="L72" s="32" t="s">
        <v>1239</v>
      </c>
      <c r="M72" s="31">
        <f>1828</f>
        <v>1828</v>
      </c>
      <c r="N72" s="32" t="s">
        <v>1239</v>
      </c>
      <c r="O72" s="31">
        <f>1732</f>
        <v>1732</v>
      </c>
      <c r="P72" s="32" t="s">
        <v>852</v>
      </c>
      <c r="Q72" s="31">
        <f>1797</f>
        <v>1797</v>
      </c>
      <c r="R72" s="32" t="s">
        <v>755</v>
      </c>
      <c r="S72" s="33">
        <f>1779.57</f>
        <v>1779.57</v>
      </c>
      <c r="T72" s="39">
        <f>875077</f>
        <v>875077</v>
      </c>
      <c r="U72" s="30" t="str">
        <f>"－"</f>
        <v>－</v>
      </c>
      <c r="V72" s="30">
        <f>1545836100</f>
        <v>1545836100</v>
      </c>
      <c r="W72" s="30" t="str">
        <f>"－"</f>
        <v>－</v>
      </c>
      <c r="X72" s="34">
        <f>21</f>
        <v>21</v>
      </c>
    </row>
    <row r="73" spans="1:24">
      <c r="A73" s="25" t="s">
        <v>1238</v>
      </c>
      <c r="B73" s="25" t="s">
        <v>204</v>
      </c>
      <c r="C73" s="25" t="s">
        <v>205</v>
      </c>
      <c r="D73" s="25" t="s">
        <v>206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21255</f>
        <v>21255</v>
      </c>
      <c r="L73" s="32" t="s">
        <v>1239</v>
      </c>
      <c r="M73" s="31">
        <f>21255</f>
        <v>21255</v>
      </c>
      <c r="N73" s="32" t="s">
        <v>1239</v>
      </c>
      <c r="O73" s="31">
        <f>18195</f>
        <v>18195</v>
      </c>
      <c r="P73" s="32" t="s">
        <v>1079</v>
      </c>
      <c r="Q73" s="31">
        <f>21220</f>
        <v>21220</v>
      </c>
      <c r="R73" s="32" t="s">
        <v>755</v>
      </c>
      <c r="S73" s="33">
        <f>20128.57</f>
        <v>20128.57</v>
      </c>
      <c r="T73" s="39">
        <f>4864</f>
        <v>4864</v>
      </c>
      <c r="U73" s="30">
        <f>1</f>
        <v>1</v>
      </c>
      <c r="V73" s="30">
        <f>96108995</f>
        <v>96108995</v>
      </c>
      <c r="W73" s="30">
        <f>18905</f>
        <v>18905</v>
      </c>
      <c r="X73" s="34">
        <f>21</f>
        <v>21</v>
      </c>
    </row>
    <row r="74" spans="1:24">
      <c r="A74" s="25" t="s">
        <v>1238</v>
      </c>
      <c r="B74" s="25" t="s">
        <v>207</v>
      </c>
      <c r="C74" s="25" t="s">
        <v>208</v>
      </c>
      <c r="D74" s="25" t="s">
        <v>209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9439</f>
        <v>9439</v>
      </c>
      <c r="L74" s="32" t="s">
        <v>1239</v>
      </c>
      <c r="M74" s="31">
        <f>9544</f>
        <v>9544</v>
      </c>
      <c r="N74" s="32" t="s">
        <v>1077</v>
      </c>
      <c r="O74" s="31">
        <f>9270</f>
        <v>9270</v>
      </c>
      <c r="P74" s="32" t="s">
        <v>755</v>
      </c>
      <c r="Q74" s="31">
        <f>9271</f>
        <v>9271</v>
      </c>
      <c r="R74" s="32" t="s">
        <v>755</v>
      </c>
      <c r="S74" s="33">
        <f>9344.43</f>
        <v>9344.43</v>
      </c>
      <c r="T74" s="39">
        <f>3765</f>
        <v>3765</v>
      </c>
      <c r="U74" s="30">
        <f>472</f>
        <v>472</v>
      </c>
      <c r="V74" s="30">
        <f>35433744</f>
        <v>35433744</v>
      </c>
      <c r="W74" s="30">
        <f>4386151</f>
        <v>4386151</v>
      </c>
      <c r="X74" s="34">
        <f>21</f>
        <v>21</v>
      </c>
    </row>
    <row r="75" spans="1:24">
      <c r="A75" s="25" t="s">
        <v>1238</v>
      </c>
      <c r="B75" s="25" t="s">
        <v>210</v>
      </c>
      <c r="C75" s="25" t="s">
        <v>211</v>
      </c>
      <c r="D75" s="25" t="s">
        <v>212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14345</f>
        <v>14345</v>
      </c>
      <c r="L75" s="32" t="s">
        <v>1239</v>
      </c>
      <c r="M75" s="31">
        <f>14905</f>
        <v>14905</v>
      </c>
      <c r="N75" s="32" t="s">
        <v>850</v>
      </c>
      <c r="O75" s="31">
        <f>13030</f>
        <v>13030</v>
      </c>
      <c r="P75" s="32" t="s">
        <v>1079</v>
      </c>
      <c r="Q75" s="31">
        <f>14240</f>
        <v>14240</v>
      </c>
      <c r="R75" s="32" t="s">
        <v>755</v>
      </c>
      <c r="S75" s="33">
        <f>14107.86</f>
        <v>14107.86</v>
      </c>
      <c r="T75" s="39">
        <f>14540347</f>
        <v>14540347</v>
      </c>
      <c r="U75" s="30">
        <f>578304</f>
        <v>578304</v>
      </c>
      <c r="V75" s="30">
        <f>205456812301</f>
        <v>205456812301</v>
      </c>
      <c r="W75" s="30">
        <f>7889611706</f>
        <v>7889611706</v>
      </c>
      <c r="X75" s="34">
        <f>21</f>
        <v>21</v>
      </c>
    </row>
    <row r="76" spans="1:24">
      <c r="A76" s="25" t="s">
        <v>1238</v>
      </c>
      <c r="B76" s="25" t="s">
        <v>213</v>
      </c>
      <c r="C76" s="25" t="s">
        <v>214</v>
      </c>
      <c r="D76" s="25" t="s">
        <v>215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4455</f>
        <v>4455</v>
      </c>
      <c r="L76" s="32" t="s">
        <v>1239</v>
      </c>
      <c r="M76" s="31">
        <f>4455</f>
        <v>4455</v>
      </c>
      <c r="N76" s="32" t="s">
        <v>1239</v>
      </c>
      <c r="O76" s="31">
        <f>3840</f>
        <v>3840</v>
      </c>
      <c r="P76" s="32" t="s">
        <v>1079</v>
      </c>
      <c r="Q76" s="31">
        <f>4125</f>
        <v>4125</v>
      </c>
      <c r="R76" s="32" t="s">
        <v>755</v>
      </c>
      <c r="S76" s="33">
        <f>4110.71</f>
        <v>4110.71</v>
      </c>
      <c r="T76" s="39">
        <f>431806</f>
        <v>431806</v>
      </c>
      <c r="U76" s="30">
        <f>76</f>
        <v>76</v>
      </c>
      <c r="V76" s="30">
        <f>1769191590</f>
        <v>1769191590</v>
      </c>
      <c r="W76" s="30">
        <f>334065</f>
        <v>334065</v>
      </c>
      <c r="X76" s="34">
        <f>21</f>
        <v>21</v>
      </c>
    </row>
    <row r="77" spans="1:24">
      <c r="A77" s="25" t="s">
        <v>1238</v>
      </c>
      <c r="B77" s="25" t="s">
        <v>216</v>
      </c>
      <c r="C77" s="25" t="s">
        <v>217</v>
      </c>
      <c r="D77" s="25" t="s">
        <v>218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15330</f>
        <v>15330</v>
      </c>
      <c r="L77" s="32" t="s">
        <v>1239</v>
      </c>
      <c r="M77" s="31">
        <f>15480</f>
        <v>15480</v>
      </c>
      <c r="N77" s="32" t="s">
        <v>1239</v>
      </c>
      <c r="O77" s="31">
        <f>11875</f>
        <v>11875</v>
      </c>
      <c r="P77" s="32" t="s">
        <v>1079</v>
      </c>
      <c r="Q77" s="31">
        <f>13910</f>
        <v>13910</v>
      </c>
      <c r="R77" s="32" t="s">
        <v>755</v>
      </c>
      <c r="S77" s="33">
        <f>13815.24</f>
        <v>13815.24</v>
      </c>
      <c r="T77" s="39">
        <f>673597</f>
        <v>673597</v>
      </c>
      <c r="U77" s="30">
        <f>9555</f>
        <v>9555</v>
      </c>
      <c r="V77" s="30">
        <f>9244255684</f>
        <v>9244255684</v>
      </c>
      <c r="W77" s="30">
        <f>132083369</f>
        <v>132083369</v>
      </c>
      <c r="X77" s="34">
        <f>21</f>
        <v>21</v>
      </c>
    </row>
    <row r="78" spans="1:24">
      <c r="A78" s="25" t="s">
        <v>1238</v>
      </c>
      <c r="B78" s="25" t="s">
        <v>219</v>
      </c>
      <c r="C78" s="25" t="s">
        <v>220</v>
      </c>
      <c r="D78" s="25" t="s">
        <v>221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43760</f>
        <v>43760</v>
      </c>
      <c r="L78" s="32" t="s">
        <v>1239</v>
      </c>
      <c r="M78" s="31">
        <f>43760</f>
        <v>43760</v>
      </c>
      <c r="N78" s="32" t="s">
        <v>1239</v>
      </c>
      <c r="O78" s="31">
        <f>37900</f>
        <v>37900</v>
      </c>
      <c r="P78" s="32" t="s">
        <v>1079</v>
      </c>
      <c r="Q78" s="31">
        <f>39190</f>
        <v>39190</v>
      </c>
      <c r="R78" s="32" t="s">
        <v>755</v>
      </c>
      <c r="S78" s="33">
        <f>40372.86</f>
        <v>40372.86</v>
      </c>
      <c r="T78" s="39">
        <f>19189</f>
        <v>19189</v>
      </c>
      <c r="U78" s="30">
        <f>92</f>
        <v>92</v>
      </c>
      <c r="V78" s="30">
        <f>775433855</f>
        <v>775433855</v>
      </c>
      <c r="W78" s="30">
        <f>3604855</f>
        <v>3604855</v>
      </c>
      <c r="X78" s="34">
        <f>21</f>
        <v>21</v>
      </c>
    </row>
    <row r="79" spans="1:24">
      <c r="A79" s="25" t="s">
        <v>1238</v>
      </c>
      <c r="B79" s="25" t="s">
        <v>222</v>
      </c>
      <c r="C79" s="25" t="s">
        <v>757</v>
      </c>
      <c r="D79" s="25" t="s">
        <v>758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</v>
      </c>
      <c r="K79" s="31">
        <f>29125</f>
        <v>29125</v>
      </c>
      <c r="L79" s="32" t="s">
        <v>1239</v>
      </c>
      <c r="M79" s="31">
        <f>29530</f>
        <v>29530</v>
      </c>
      <c r="N79" s="32" t="s">
        <v>1240</v>
      </c>
      <c r="O79" s="31">
        <f>24290</f>
        <v>24290</v>
      </c>
      <c r="P79" s="32" t="s">
        <v>1079</v>
      </c>
      <c r="Q79" s="31">
        <f>28085</f>
        <v>28085</v>
      </c>
      <c r="R79" s="32" t="s">
        <v>755</v>
      </c>
      <c r="S79" s="33">
        <f>27063.33</f>
        <v>27063.33</v>
      </c>
      <c r="T79" s="39">
        <f>1565287</f>
        <v>1565287</v>
      </c>
      <c r="U79" s="30">
        <f>13781</f>
        <v>13781</v>
      </c>
      <c r="V79" s="30">
        <f>41777841295</f>
        <v>41777841295</v>
      </c>
      <c r="W79" s="30">
        <f>375067885</f>
        <v>375067885</v>
      </c>
      <c r="X79" s="34">
        <f>21</f>
        <v>21</v>
      </c>
    </row>
    <row r="80" spans="1:24">
      <c r="A80" s="25" t="s">
        <v>1238</v>
      </c>
      <c r="B80" s="25" t="s">
        <v>223</v>
      </c>
      <c r="C80" s="25" t="s">
        <v>759</v>
      </c>
      <c r="D80" s="25" t="s">
        <v>760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</v>
      </c>
      <c r="K80" s="31">
        <f>61340</f>
        <v>61340</v>
      </c>
      <c r="L80" s="32" t="s">
        <v>1239</v>
      </c>
      <c r="M80" s="31">
        <f>61560</f>
        <v>61560</v>
      </c>
      <c r="N80" s="32" t="s">
        <v>1240</v>
      </c>
      <c r="O80" s="31">
        <f>52050</f>
        <v>52050</v>
      </c>
      <c r="P80" s="32" t="s">
        <v>852</v>
      </c>
      <c r="Q80" s="31">
        <f>56410</f>
        <v>56410</v>
      </c>
      <c r="R80" s="32" t="s">
        <v>755</v>
      </c>
      <c r="S80" s="33">
        <f>56217.62</f>
        <v>56217.62</v>
      </c>
      <c r="T80" s="39">
        <f>68752</f>
        <v>68752</v>
      </c>
      <c r="U80" s="30">
        <f>5000</f>
        <v>5000</v>
      </c>
      <c r="V80" s="30">
        <f>3836062540</f>
        <v>3836062540</v>
      </c>
      <c r="W80" s="30">
        <f>307085500</f>
        <v>307085500</v>
      </c>
      <c r="X80" s="34">
        <f>21</f>
        <v>21</v>
      </c>
    </row>
    <row r="81" spans="1:24">
      <c r="A81" s="25" t="s">
        <v>1238</v>
      </c>
      <c r="B81" s="25" t="s">
        <v>224</v>
      </c>
      <c r="C81" s="25" t="s">
        <v>225</v>
      </c>
      <c r="D81" s="25" t="s">
        <v>226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</v>
      </c>
      <c r="K81" s="31">
        <f>9092</f>
        <v>9092</v>
      </c>
      <c r="L81" s="32" t="s">
        <v>1239</v>
      </c>
      <c r="M81" s="31">
        <f>9169</f>
        <v>9169</v>
      </c>
      <c r="N81" s="32" t="s">
        <v>1240</v>
      </c>
      <c r="O81" s="31">
        <f>7619</f>
        <v>7619</v>
      </c>
      <c r="P81" s="32" t="s">
        <v>852</v>
      </c>
      <c r="Q81" s="31">
        <f>8579</f>
        <v>8579</v>
      </c>
      <c r="R81" s="32" t="s">
        <v>755</v>
      </c>
      <c r="S81" s="33">
        <f>8379.52</f>
        <v>8379.52</v>
      </c>
      <c r="T81" s="39">
        <f>1300967</f>
        <v>1300967</v>
      </c>
      <c r="U81" s="30">
        <f>52160</f>
        <v>52160</v>
      </c>
      <c r="V81" s="30">
        <f>10777158267</f>
        <v>10777158267</v>
      </c>
      <c r="W81" s="30">
        <f>433637490</f>
        <v>433637490</v>
      </c>
      <c r="X81" s="34">
        <f>21</f>
        <v>21</v>
      </c>
    </row>
    <row r="82" spans="1:24">
      <c r="A82" s="25" t="s">
        <v>1238</v>
      </c>
      <c r="B82" s="25" t="s">
        <v>227</v>
      </c>
      <c r="C82" s="25" t="s">
        <v>228</v>
      </c>
      <c r="D82" s="25" t="s">
        <v>229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10</v>
      </c>
      <c r="K82" s="31">
        <f>5662</f>
        <v>5662</v>
      </c>
      <c r="L82" s="32" t="s">
        <v>1239</v>
      </c>
      <c r="M82" s="31">
        <f>5723</f>
        <v>5723</v>
      </c>
      <c r="N82" s="32" t="s">
        <v>1240</v>
      </c>
      <c r="O82" s="31">
        <f>4790</f>
        <v>4790</v>
      </c>
      <c r="P82" s="32" t="s">
        <v>852</v>
      </c>
      <c r="Q82" s="31">
        <f>5408</f>
        <v>5408</v>
      </c>
      <c r="R82" s="32" t="s">
        <v>755</v>
      </c>
      <c r="S82" s="33">
        <f>5261.81</f>
        <v>5261.81</v>
      </c>
      <c r="T82" s="39">
        <f>241490</f>
        <v>241490</v>
      </c>
      <c r="U82" s="30">
        <f>56640</f>
        <v>56640</v>
      </c>
      <c r="V82" s="30">
        <f>1249092588</f>
        <v>1249092588</v>
      </c>
      <c r="W82" s="30">
        <f>298585218</f>
        <v>298585218</v>
      </c>
      <c r="X82" s="34">
        <f>21</f>
        <v>21</v>
      </c>
    </row>
    <row r="83" spans="1:24">
      <c r="A83" s="25" t="s">
        <v>1238</v>
      </c>
      <c r="B83" s="25" t="s">
        <v>230</v>
      </c>
      <c r="C83" s="25" t="s">
        <v>830</v>
      </c>
      <c r="D83" s="25" t="s">
        <v>831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10</v>
      </c>
      <c r="K83" s="31">
        <f>5302</f>
        <v>5302</v>
      </c>
      <c r="L83" s="32" t="s">
        <v>1240</v>
      </c>
      <c r="M83" s="31">
        <f>5400</f>
        <v>5400</v>
      </c>
      <c r="N83" s="32" t="s">
        <v>663</v>
      </c>
      <c r="O83" s="31">
        <f>4360</f>
        <v>4360</v>
      </c>
      <c r="P83" s="32" t="s">
        <v>1079</v>
      </c>
      <c r="Q83" s="31">
        <f>5388</f>
        <v>5388</v>
      </c>
      <c r="R83" s="32" t="s">
        <v>755</v>
      </c>
      <c r="S83" s="33">
        <f>5151.05</f>
        <v>5151.05</v>
      </c>
      <c r="T83" s="39">
        <f>6160</f>
        <v>6160</v>
      </c>
      <c r="U83" s="30">
        <f>10</f>
        <v>10</v>
      </c>
      <c r="V83" s="30">
        <f>31564820</f>
        <v>31564820</v>
      </c>
      <c r="W83" s="30">
        <f>52230</f>
        <v>52230</v>
      </c>
      <c r="X83" s="34">
        <f>20</f>
        <v>20</v>
      </c>
    </row>
    <row r="84" spans="1:24">
      <c r="A84" s="25" t="s">
        <v>1238</v>
      </c>
      <c r="B84" s="25" t="s">
        <v>231</v>
      </c>
      <c r="C84" s="25" t="s">
        <v>232</v>
      </c>
      <c r="D84" s="25" t="s">
        <v>233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4646</f>
        <v>4646</v>
      </c>
      <c r="L84" s="32" t="s">
        <v>1239</v>
      </c>
      <c r="M84" s="31">
        <f>4685</f>
        <v>4685</v>
      </c>
      <c r="N84" s="32" t="s">
        <v>1240</v>
      </c>
      <c r="O84" s="31">
        <f>3935</f>
        <v>3935</v>
      </c>
      <c r="P84" s="32" t="s">
        <v>852</v>
      </c>
      <c r="Q84" s="31">
        <f>4430</f>
        <v>4430</v>
      </c>
      <c r="R84" s="32" t="s">
        <v>755</v>
      </c>
      <c r="S84" s="33">
        <f>4312.81</f>
        <v>4312.8100000000004</v>
      </c>
      <c r="T84" s="39">
        <f>110267</f>
        <v>110267</v>
      </c>
      <c r="U84" s="30" t="str">
        <f>"－"</f>
        <v>－</v>
      </c>
      <c r="V84" s="30">
        <f>467561590</f>
        <v>467561590</v>
      </c>
      <c r="W84" s="30" t="str">
        <f>"－"</f>
        <v>－</v>
      </c>
      <c r="X84" s="34">
        <f>21</f>
        <v>21</v>
      </c>
    </row>
    <row r="85" spans="1:24">
      <c r="A85" s="25" t="s">
        <v>1238</v>
      </c>
      <c r="B85" s="25" t="s">
        <v>234</v>
      </c>
      <c r="C85" s="25" t="s">
        <v>943</v>
      </c>
      <c r="D85" s="25" t="s">
        <v>235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2013.5</f>
        <v>2013.5</v>
      </c>
      <c r="L85" s="32" t="s">
        <v>1239</v>
      </c>
      <c r="M85" s="31">
        <f>2089.5</f>
        <v>2089.5</v>
      </c>
      <c r="N85" s="32" t="s">
        <v>1240</v>
      </c>
      <c r="O85" s="31">
        <f>1760</f>
        <v>1760</v>
      </c>
      <c r="P85" s="32" t="s">
        <v>852</v>
      </c>
      <c r="Q85" s="31">
        <f>2013</f>
        <v>2013</v>
      </c>
      <c r="R85" s="32" t="s">
        <v>755</v>
      </c>
      <c r="S85" s="33">
        <f>1945.1</f>
        <v>1945.1</v>
      </c>
      <c r="T85" s="39">
        <f>369805</f>
        <v>369805</v>
      </c>
      <c r="U85" s="30">
        <f>270000</f>
        <v>270000</v>
      </c>
      <c r="V85" s="30">
        <f>714131479</f>
        <v>714131479</v>
      </c>
      <c r="W85" s="30">
        <f>519690006</f>
        <v>519690006</v>
      </c>
      <c r="X85" s="34">
        <f>21</f>
        <v>21</v>
      </c>
    </row>
    <row r="86" spans="1:24">
      <c r="A86" s="25" t="s">
        <v>1238</v>
      </c>
      <c r="B86" s="25" t="s">
        <v>236</v>
      </c>
      <c r="C86" s="25" t="s">
        <v>237</v>
      </c>
      <c r="D86" s="25" t="s">
        <v>238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83480</f>
        <v>83480</v>
      </c>
      <c r="L86" s="32" t="s">
        <v>1239</v>
      </c>
      <c r="M86" s="31">
        <f>84130</f>
        <v>84130</v>
      </c>
      <c r="N86" s="32" t="s">
        <v>1240</v>
      </c>
      <c r="O86" s="31">
        <f>70050</f>
        <v>70050</v>
      </c>
      <c r="P86" s="32" t="s">
        <v>852</v>
      </c>
      <c r="Q86" s="31">
        <f>78830</f>
        <v>78830</v>
      </c>
      <c r="R86" s="32" t="s">
        <v>755</v>
      </c>
      <c r="S86" s="33">
        <f>76983.81</f>
        <v>76983.81</v>
      </c>
      <c r="T86" s="39">
        <f>131197</f>
        <v>131197</v>
      </c>
      <c r="U86" s="30">
        <f>5556</f>
        <v>5556</v>
      </c>
      <c r="V86" s="30">
        <f>9985327853</f>
        <v>9985327853</v>
      </c>
      <c r="W86" s="30">
        <f>426035493</f>
        <v>426035493</v>
      </c>
      <c r="X86" s="34">
        <f>21</f>
        <v>21</v>
      </c>
    </row>
    <row r="87" spans="1:24">
      <c r="A87" s="25" t="s">
        <v>1238</v>
      </c>
      <c r="B87" s="25" t="s">
        <v>239</v>
      </c>
      <c r="C87" s="25" t="s">
        <v>240</v>
      </c>
      <c r="D87" s="25" t="s">
        <v>241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3155</f>
        <v>3155</v>
      </c>
      <c r="L87" s="32" t="s">
        <v>1239</v>
      </c>
      <c r="M87" s="31">
        <f>3160</f>
        <v>3160</v>
      </c>
      <c r="N87" s="32" t="s">
        <v>1239</v>
      </c>
      <c r="O87" s="31">
        <f>2737</f>
        <v>2737</v>
      </c>
      <c r="P87" s="32" t="s">
        <v>852</v>
      </c>
      <c r="Q87" s="31">
        <f>3085</f>
        <v>3085</v>
      </c>
      <c r="R87" s="32" t="s">
        <v>755</v>
      </c>
      <c r="S87" s="33">
        <f>3023.57</f>
        <v>3023.57</v>
      </c>
      <c r="T87" s="39">
        <f>17083</f>
        <v>17083</v>
      </c>
      <c r="U87" s="30" t="str">
        <f>"－"</f>
        <v>－</v>
      </c>
      <c r="V87" s="30">
        <f>51075380</f>
        <v>51075380</v>
      </c>
      <c r="W87" s="30" t="str">
        <f>"－"</f>
        <v>－</v>
      </c>
      <c r="X87" s="34">
        <f>21</f>
        <v>21</v>
      </c>
    </row>
    <row r="88" spans="1:24">
      <c r="A88" s="25" t="s">
        <v>1238</v>
      </c>
      <c r="B88" s="25" t="s">
        <v>242</v>
      </c>
      <c r="C88" s="25" t="s">
        <v>243</v>
      </c>
      <c r="D88" s="25" t="s">
        <v>244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5210</f>
        <v>5210</v>
      </c>
      <c r="L88" s="32" t="s">
        <v>1239</v>
      </c>
      <c r="M88" s="31">
        <f>5230</f>
        <v>5230</v>
      </c>
      <c r="N88" s="32" t="s">
        <v>1240</v>
      </c>
      <c r="O88" s="31">
        <f>4555</f>
        <v>4555</v>
      </c>
      <c r="P88" s="32" t="s">
        <v>852</v>
      </c>
      <c r="Q88" s="31">
        <f>4820</f>
        <v>4820</v>
      </c>
      <c r="R88" s="32" t="s">
        <v>755</v>
      </c>
      <c r="S88" s="33">
        <f>4810.48</f>
        <v>4810.4799999999996</v>
      </c>
      <c r="T88" s="39">
        <f>8179</f>
        <v>8179</v>
      </c>
      <c r="U88" s="30" t="str">
        <f>"－"</f>
        <v>－</v>
      </c>
      <c r="V88" s="30">
        <f>39386600</f>
        <v>39386600</v>
      </c>
      <c r="W88" s="30" t="str">
        <f>"－"</f>
        <v>－</v>
      </c>
      <c r="X88" s="34">
        <f>21</f>
        <v>21</v>
      </c>
    </row>
    <row r="89" spans="1:24">
      <c r="A89" s="25" t="s">
        <v>1238</v>
      </c>
      <c r="B89" s="25" t="s">
        <v>245</v>
      </c>
      <c r="C89" s="25" t="s">
        <v>832</v>
      </c>
      <c r="D89" s="25" t="s">
        <v>833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</v>
      </c>
      <c r="K89" s="31">
        <f>2200</f>
        <v>2200</v>
      </c>
      <c r="L89" s="32" t="s">
        <v>1239</v>
      </c>
      <c r="M89" s="31">
        <f>2279</f>
        <v>2279</v>
      </c>
      <c r="N89" s="32" t="s">
        <v>755</v>
      </c>
      <c r="O89" s="31">
        <f>1748</f>
        <v>1748</v>
      </c>
      <c r="P89" s="32" t="s">
        <v>1079</v>
      </c>
      <c r="Q89" s="31">
        <f>2277</f>
        <v>2277</v>
      </c>
      <c r="R89" s="32" t="s">
        <v>755</v>
      </c>
      <c r="S89" s="33">
        <f>2106.71</f>
        <v>2106.71</v>
      </c>
      <c r="T89" s="39">
        <f>806022</f>
        <v>806022</v>
      </c>
      <c r="U89" s="30">
        <f>40004</f>
        <v>40004</v>
      </c>
      <c r="V89" s="30">
        <f>1664370020</f>
        <v>1664370020</v>
      </c>
      <c r="W89" s="30">
        <f>88498026</f>
        <v>88498026</v>
      </c>
      <c r="X89" s="34">
        <f>21</f>
        <v>21</v>
      </c>
    </row>
    <row r="90" spans="1:24">
      <c r="A90" s="25" t="s">
        <v>1238</v>
      </c>
      <c r="B90" s="25" t="s">
        <v>246</v>
      </c>
      <c r="C90" s="25" t="s">
        <v>247</v>
      </c>
      <c r="D90" s="25" t="s">
        <v>248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</v>
      </c>
      <c r="K90" s="31">
        <f>48100</f>
        <v>48100</v>
      </c>
      <c r="L90" s="32" t="s">
        <v>1239</v>
      </c>
      <c r="M90" s="31">
        <f>48280</f>
        <v>48280</v>
      </c>
      <c r="N90" s="32" t="s">
        <v>1240</v>
      </c>
      <c r="O90" s="31">
        <f>46150</f>
        <v>46150</v>
      </c>
      <c r="P90" s="32" t="s">
        <v>852</v>
      </c>
      <c r="Q90" s="31">
        <f>47520</f>
        <v>47520</v>
      </c>
      <c r="R90" s="32" t="s">
        <v>755</v>
      </c>
      <c r="S90" s="33">
        <f>47101.43</f>
        <v>47101.43</v>
      </c>
      <c r="T90" s="39">
        <f>12051</f>
        <v>12051</v>
      </c>
      <c r="U90" s="30">
        <f>7</f>
        <v>7</v>
      </c>
      <c r="V90" s="30">
        <f>567079780</f>
        <v>567079780</v>
      </c>
      <c r="W90" s="30">
        <f>318720</f>
        <v>318720</v>
      </c>
      <c r="X90" s="34">
        <f>21</f>
        <v>21</v>
      </c>
    </row>
    <row r="91" spans="1:24">
      <c r="A91" s="25" t="s">
        <v>1238</v>
      </c>
      <c r="B91" s="25" t="s">
        <v>249</v>
      </c>
      <c r="C91" s="25" t="s">
        <v>250</v>
      </c>
      <c r="D91" s="25" t="s">
        <v>251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10</v>
      </c>
      <c r="K91" s="31">
        <f>455</f>
        <v>455</v>
      </c>
      <c r="L91" s="32" t="s">
        <v>1239</v>
      </c>
      <c r="M91" s="31">
        <f>459.5</f>
        <v>459.5</v>
      </c>
      <c r="N91" s="32" t="s">
        <v>1239</v>
      </c>
      <c r="O91" s="31">
        <f>313.3</f>
        <v>313.3</v>
      </c>
      <c r="P91" s="32" t="s">
        <v>1079</v>
      </c>
      <c r="Q91" s="31">
        <f>438.1</f>
        <v>438.1</v>
      </c>
      <c r="R91" s="32" t="s">
        <v>755</v>
      </c>
      <c r="S91" s="33">
        <f>398.77</f>
        <v>398.77</v>
      </c>
      <c r="T91" s="39">
        <f>177849700</f>
        <v>177849700</v>
      </c>
      <c r="U91" s="30">
        <f>161760</f>
        <v>161760</v>
      </c>
      <c r="V91" s="30">
        <f>67621452589</f>
        <v>67621452589</v>
      </c>
      <c r="W91" s="30">
        <f>66046845</f>
        <v>66046845</v>
      </c>
      <c r="X91" s="34">
        <f>21</f>
        <v>21</v>
      </c>
    </row>
    <row r="92" spans="1:24">
      <c r="A92" s="25" t="s">
        <v>1238</v>
      </c>
      <c r="B92" s="25" t="s">
        <v>252</v>
      </c>
      <c r="C92" s="25" t="s">
        <v>253</v>
      </c>
      <c r="D92" s="25" t="s">
        <v>254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10</v>
      </c>
      <c r="K92" s="31">
        <f>1231</f>
        <v>1231</v>
      </c>
      <c r="L92" s="32" t="s">
        <v>1239</v>
      </c>
      <c r="M92" s="31">
        <f>1494.5</f>
        <v>1494.5</v>
      </c>
      <c r="N92" s="32" t="s">
        <v>1079</v>
      </c>
      <c r="O92" s="31">
        <f>1210</f>
        <v>1210</v>
      </c>
      <c r="P92" s="32" t="s">
        <v>755</v>
      </c>
      <c r="Q92" s="31">
        <f>1212.5</f>
        <v>1212.5</v>
      </c>
      <c r="R92" s="32" t="s">
        <v>755</v>
      </c>
      <c r="S92" s="33">
        <f>1288.21</f>
        <v>1288.21</v>
      </c>
      <c r="T92" s="39">
        <f>4655080</f>
        <v>4655080</v>
      </c>
      <c r="U92" s="30">
        <f>2991650</f>
        <v>2991650</v>
      </c>
      <c r="V92" s="30">
        <f>5927466504</f>
        <v>5927466504</v>
      </c>
      <c r="W92" s="30">
        <f>3740081514</f>
        <v>3740081514</v>
      </c>
      <c r="X92" s="34">
        <f>21</f>
        <v>21</v>
      </c>
    </row>
    <row r="93" spans="1:24">
      <c r="A93" s="25" t="s">
        <v>1238</v>
      </c>
      <c r="B93" s="25" t="s">
        <v>255</v>
      </c>
      <c r="C93" s="25" t="s">
        <v>256</v>
      </c>
      <c r="D93" s="25" t="s">
        <v>257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</v>
      </c>
      <c r="K93" s="31">
        <f>22950</f>
        <v>22950</v>
      </c>
      <c r="L93" s="32" t="s">
        <v>1239</v>
      </c>
      <c r="M93" s="31">
        <f>23080</f>
        <v>23080</v>
      </c>
      <c r="N93" s="32" t="s">
        <v>1239</v>
      </c>
      <c r="O93" s="31">
        <f>16565</f>
        <v>16565</v>
      </c>
      <c r="P93" s="32" t="s">
        <v>1079</v>
      </c>
      <c r="Q93" s="31">
        <f>22495</f>
        <v>22495</v>
      </c>
      <c r="R93" s="32" t="s">
        <v>755</v>
      </c>
      <c r="S93" s="33">
        <f>20610.24</f>
        <v>20610.240000000002</v>
      </c>
      <c r="T93" s="39">
        <f>144399844</f>
        <v>144399844</v>
      </c>
      <c r="U93" s="30">
        <f>215089</f>
        <v>215089</v>
      </c>
      <c r="V93" s="30">
        <f>2907596873925</f>
        <v>2907596873925</v>
      </c>
      <c r="W93" s="30">
        <f>4427519360</f>
        <v>4427519360</v>
      </c>
      <c r="X93" s="34">
        <f>21</f>
        <v>21</v>
      </c>
    </row>
    <row r="94" spans="1:24">
      <c r="A94" s="25" t="s">
        <v>1238</v>
      </c>
      <c r="B94" s="25" t="s">
        <v>258</v>
      </c>
      <c r="C94" s="25" t="s">
        <v>259</v>
      </c>
      <c r="D94" s="25" t="s">
        <v>260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</v>
      </c>
      <c r="K94" s="31">
        <f>618</f>
        <v>618</v>
      </c>
      <c r="L94" s="32" t="s">
        <v>1239</v>
      </c>
      <c r="M94" s="31">
        <f>719</f>
        <v>719</v>
      </c>
      <c r="N94" s="32" t="s">
        <v>1079</v>
      </c>
      <c r="O94" s="31">
        <f>601</f>
        <v>601</v>
      </c>
      <c r="P94" s="32" t="s">
        <v>1078</v>
      </c>
      <c r="Q94" s="31">
        <f>601</f>
        <v>601</v>
      </c>
      <c r="R94" s="32" t="s">
        <v>755</v>
      </c>
      <c r="S94" s="33">
        <f>636.81</f>
        <v>636.80999999999995</v>
      </c>
      <c r="T94" s="39">
        <f>45364684</f>
        <v>45364684</v>
      </c>
      <c r="U94" s="30">
        <f>4082328</f>
        <v>4082328</v>
      </c>
      <c r="V94" s="30">
        <f>29550962989</f>
        <v>29550962989</v>
      </c>
      <c r="W94" s="30">
        <f>2624333559</f>
        <v>2624333559</v>
      </c>
      <c r="X94" s="34">
        <f>21</f>
        <v>21</v>
      </c>
    </row>
    <row r="95" spans="1:24">
      <c r="A95" s="25" t="s">
        <v>1238</v>
      </c>
      <c r="B95" s="25" t="s">
        <v>261</v>
      </c>
      <c r="C95" s="25" t="s">
        <v>262</v>
      </c>
      <c r="D95" s="25" t="s">
        <v>263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10</v>
      </c>
      <c r="K95" s="31">
        <f>7123</f>
        <v>7123</v>
      </c>
      <c r="L95" s="32" t="s">
        <v>1239</v>
      </c>
      <c r="M95" s="31">
        <f>7300</f>
        <v>7300</v>
      </c>
      <c r="N95" s="32" t="s">
        <v>1239</v>
      </c>
      <c r="O95" s="31">
        <f>4470</f>
        <v>4470</v>
      </c>
      <c r="P95" s="32" t="s">
        <v>852</v>
      </c>
      <c r="Q95" s="31">
        <f>5905</f>
        <v>5905</v>
      </c>
      <c r="R95" s="32" t="s">
        <v>755</v>
      </c>
      <c r="S95" s="33">
        <f>5895.95</f>
        <v>5895.95</v>
      </c>
      <c r="T95" s="39">
        <f>385100</f>
        <v>385100</v>
      </c>
      <c r="U95" s="30" t="str">
        <f>"－"</f>
        <v>－</v>
      </c>
      <c r="V95" s="30">
        <f>2243528730</f>
        <v>2243528730</v>
      </c>
      <c r="W95" s="30" t="str">
        <f>"－"</f>
        <v>－</v>
      </c>
      <c r="X95" s="34">
        <f>21</f>
        <v>21</v>
      </c>
    </row>
    <row r="96" spans="1:24">
      <c r="A96" s="25" t="s">
        <v>1238</v>
      </c>
      <c r="B96" s="25" t="s">
        <v>264</v>
      </c>
      <c r="C96" s="25" t="s">
        <v>265</v>
      </c>
      <c r="D96" s="25" t="s">
        <v>266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10</v>
      </c>
      <c r="K96" s="31">
        <f>8289</f>
        <v>8289</v>
      </c>
      <c r="L96" s="32" t="s">
        <v>1239</v>
      </c>
      <c r="M96" s="31">
        <f>9680</f>
        <v>9680</v>
      </c>
      <c r="N96" s="32" t="s">
        <v>852</v>
      </c>
      <c r="O96" s="31">
        <f>8001</f>
        <v>8001</v>
      </c>
      <c r="P96" s="32" t="s">
        <v>756</v>
      </c>
      <c r="Q96" s="31">
        <f>8240</f>
        <v>8240</v>
      </c>
      <c r="R96" s="32" t="s">
        <v>755</v>
      </c>
      <c r="S96" s="33">
        <f>8482.9</f>
        <v>8482.9</v>
      </c>
      <c r="T96" s="39">
        <f>116490</f>
        <v>116490</v>
      </c>
      <c r="U96" s="30">
        <f>10</f>
        <v>10</v>
      </c>
      <c r="V96" s="30">
        <f>1026716200</f>
        <v>1026716200</v>
      </c>
      <c r="W96" s="30">
        <f>84510</f>
        <v>84510</v>
      </c>
      <c r="X96" s="34">
        <f>21</f>
        <v>21</v>
      </c>
    </row>
    <row r="97" spans="1:24">
      <c r="A97" s="25" t="s">
        <v>1238</v>
      </c>
      <c r="B97" s="25" t="s">
        <v>267</v>
      </c>
      <c r="C97" s="25" t="s">
        <v>268</v>
      </c>
      <c r="D97" s="25" t="s">
        <v>944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</v>
      </c>
      <c r="K97" s="31">
        <f>39200</f>
        <v>39200</v>
      </c>
      <c r="L97" s="32" t="s">
        <v>1239</v>
      </c>
      <c r="M97" s="31">
        <f>39230</f>
        <v>39230</v>
      </c>
      <c r="N97" s="32" t="s">
        <v>1204</v>
      </c>
      <c r="O97" s="31">
        <f>31500</f>
        <v>31500</v>
      </c>
      <c r="P97" s="32" t="s">
        <v>1079</v>
      </c>
      <c r="Q97" s="31">
        <f>36920</f>
        <v>36920</v>
      </c>
      <c r="R97" s="32" t="s">
        <v>755</v>
      </c>
      <c r="S97" s="33">
        <f>35823.33</f>
        <v>35823.33</v>
      </c>
      <c r="T97" s="39">
        <f>146207</f>
        <v>146207</v>
      </c>
      <c r="U97" s="30">
        <f>27815</f>
        <v>27815</v>
      </c>
      <c r="V97" s="30">
        <f>5121304289</f>
        <v>5121304289</v>
      </c>
      <c r="W97" s="30">
        <f>965442159</f>
        <v>965442159</v>
      </c>
      <c r="X97" s="34">
        <f>21</f>
        <v>21</v>
      </c>
    </row>
    <row r="98" spans="1:24">
      <c r="A98" s="25" t="s">
        <v>1238</v>
      </c>
      <c r="B98" s="25" t="s">
        <v>269</v>
      </c>
      <c r="C98" s="25" t="s">
        <v>270</v>
      </c>
      <c r="D98" s="25" t="s">
        <v>271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</v>
      </c>
      <c r="K98" s="31">
        <f>2874</f>
        <v>2874</v>
      </c>
      <c r="L98" s="32" t="s">
        <v>1239</v>
      </c>
      <c r="M98" s="31">
        <f>2897</f>
        <v>2897</v>
      </c>
      <c r="N98" s="32" t="s">
        <v>1078</v>
      </c>
      <c r="O98" s="31">
        <f>2460</f>
        <v>2460</v>
      </c>
      <c r="P98" s="32" t="s">
        <v>1079</v>
      </c>
      <c r="Q98" s="31">
        <f>2897</f>
        <v>2897</v>
      </c>
      <c r="R98" s="32" t="s">
        <v>755</v>
      </c>
      <c r="S98" s="33">
        <f>2765.24</f>
        <v>2765.24</v>
      </c>
      <c r="T98" s="39">
        <f>501671</f>
        <v>501671</v>
      </c>
      <c r="U98" s="30">
        <f>280088</f>
        <v>280088</v>
      </c>
      <c r="V98" s="30">
        <f>1353732444</f>
        <v>1353732444</v>
      </c>
      <c r="W98" s="30">
        <f>749582105</f>
        <v>749582105</v>
      </c>
      <c r="X98" s="34">
        <f>21</f>
        <v>21</v>
      </c>
    </row>
    <row r="99" spans="1:24">
      <c r="A99" s="25" t="s">
        <v>1238</v>
      </c>
      <c r="B99" s="25" t="s">
        <v>272</v>
      </c>
      <c r="C99" s="25" t="s">
        <v>273</v>
      </c>
      <c r="D99" s="25" t="s">
        <v>274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246.9</f>
        <v>246.9</v>
      </c>
      <c r="L99" s="32" t="s">
        <v>1239</v>
      </c>
      <c r="M99" s="31">
        <f>248.1</f>
        <v>248.1</v>
      </c>
      <c r="N99" s="32" t="s">
        <v>1239</v>
      </c>
      <c r="O99" s="31">
        <f>177.6</f>
        <v>177.6</v>
      </c>
      <c r="P99" s="32" t="s">
        <v>1079</v>
      </c>
      <c r="Q99" s="31">
        <f>242</f>
        <v>242</v>
      </c>
      <c r="R99" s="32" t="s">
        <v>755</v>
      </c>
      <c r="S99" s="33">
        <f>221.59</f>
        <v>221.59</v>
      </c>
      <c r="T99" s="39">
        <f>1131814910</f>
        <v>1131814910</v>
      </c>
      <c r="U99" s="30">
        <f>17411890</f>
        <v>17411890</v>
      </c>
      <c r="V99" s="30">
        <f>246286398212</f>
        <v>246286398212</v>
      </c>
      <c r="W99" s="30">
        <f>3924101794</f>
        <v>3924101794</v>
      </c>
      <c r="X99" s="34">
        <f>21</f>
        <v>21</v>
      </c>
    </row>
    <row r="100" spans="1:24">
      <c r="A100" s="25" t="s">
        <v>1238</v>
      </c>
      <c r="B100" s="25" t="s">
        <v>275</v>
      </c>
      <c r="C100" s="25" t="s">
        <v>276</v>
      </c>
      <c r="D100" s="25" t="s">
        <v>277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10</v>
      </c>
      <c r="K100" s="31">
        <f>1642.5</f>
        <v>1642.5</v>
      </c>
      <c r="L100" s="32" t="s">
        <v>1239</v>
      </c>
      <c r="M100" s="31">
        <f>1911</f>
        <v>1911</v>
      </c>
      <c r="N100" s="32" t="s">
        <v>1079</v>
      </c>
      <c r="O100" s="31">
        <f>1598</f>
        <v>1598</v>
      </c>
      <c r="P100" s="32" t="s">
        <v>1078</v>
      </c>
      <c r="Q100" s="31">
        <f>1600.5</f>
        <v>1600.5</v>
      </c>
      <c r="R100" s="32" t="s">
        <v>755</v>
      </c>
      <c r="S100" s="33">
        <f>1693.43</f>
        <v>1693.43</v>
      </c>
      <c r="T100" s="39">
        <f>19137480</f>
        <v>19137480</v>
      </c>
      <c r="U100" s="30">
        <f>5145800</f>
        <v>5145800</v>
      </c>
      <c r="V100" s="30">
        <f>32529346228</f>
        <v>32529346228</v>
      </c>
      <c r="W100" s="30">
        <f>8516835728</f>
        <v>8516835728</v>
      </c>
      <c r="X100" s="34">
        <f>21</f>
        <v>21</v>
      </c>
    </row>
    <row r="101" spans="1:24">
      <c r="A101" s="25" t="s">
        <v>1238</v>
      </c>
      <c r="B101" s="25" t="s">
        <v>278</v>
      </c>
      <c r="C101" s="25" t="s">
        <v>894</v>
      </c>
      <c r="D101" s="25" t="s">
        <v>895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10</v>
      </c>
      <c r="K101" s="31">
        <f>1814.5</f>
        <v>1814.5</v>
      </c>
      <c r="L101" s="32" t="s">
        <v>1239</v>
      </c>
      <c r="M101" s="31">
        <f>1822.5</f>
        <v>1822.5</v>
      </c>
      <c r="N101" s="32" t="s">
        <v>1239</v>
      </c>
      <c r="O101" s="31">
        <f>1568.5</f>
        <v>1568.5</v>
      </c>
      <c r="P101" s="32" t="s">
        <v>1079</v>
      </c>
      <c r="Q101" s="31">
        <f>1822</f>
        <v>1822</v>
      </c>
      <c r="R101" s="32" t="s">
        <v>755</v>
      </c>
      <c r="S101" s="33">
        <f>1738</f>
        <v>1738</v>
      </c>
      <c r="T101" s="39">
        <f>3260</f>
        <v>3260</v>
      </c>
      <c r="U101" s="30" t="str">
        <f>"－"</f>
        <v>－</v>
      </c>
      <c r="V101" s="30">
        <f>5727620</f>
        <v>5727620</v>
      </c>
      <c r="W101" s="30" t="str">
        <f>"－"</f>
        <v>－</v>
      </c>
      <c r="X101" s="34">
        <f>16</f>
        <v>16</v>
      </c>
    </row>
    <row r="102" spans="1:24">
      <c r="A102" s="25" t="s">
        <v>1238</v>
      </c>
      <c r="B102" s="25" t="s">
        <v>279</v>
      </c>
      <c r="C102" s="25" t="s">
        <v>280</v>
      </c>
      <c r="D102" s="25" t="s">
        <v>281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2140</f>
        <v>2140</v>
      </c>
      <c r="L102" s="32" t="s">
        <v>1239</v>
      </c>
      <c r="M102" s="31">
        <f>2140</f>
        <v>2140</v>
      </c>
      <c r="N102" s="32" t="s">
        <v>1239</v>
      </c>
      <c r="O102" s="31">
        <f>1820</f>
        <v>1820</v>
      </c>
      <c r="P102" s="32" t="s">
        <v>1079</v>
      </c>
      <c r="Q102" s="31">
        <f>2125</f>
        <v>2125</v>
      </c>
      <c r="R102" s="32" t="s">
        <v>755</v>
      </c>
      <c r="S102" s="33">
        <f>2021.81</f>
        <v>2021.81</v>
      </c>
      <c r="T102" s="39">
        <f>3284</f>
        <v>3284</v>
      </c>
      <c r="U102" s="30" t="str">
        <f>"－"</f>
        <v>－</v>
      </c>
      <c r="V102" s="30">
        <f>6615789</f>
        <v>6615789</v>
      </c>
      <c r="W102" s="30" t="str">
        <f>"－"</f>
        <v>－</v>
      </c>
      <c r="X102" s="34">
        <f>21</f>
        <v>21</v>
      </c>
    </row>
    <row r="103" spans="1:24">
      <c r="A103" s="25" t="s">
        <v>1238</v>
      </c>
      <c r="B103" s="25" t="s">
        <v>282</v>
      </c>
      <c r="C103" s="25" t="s">
        <v>283</v>
      </c>
      <c r="D103" s="25" t="s">
        <v>284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24710</f>
        <v>24710</v>
      </c>
      <c r="L103" s="32" t="s">
        <v>1239</v>
      </c>
      <c r="M103" s="31">
        <f>24815</f>
        <v>24815</v>
      </c>
      <c r="N103" s="32" t="s">
        <v>1239</v>
      </c>
      <c r="O103" s="31">
        <f>20250</f>
        <v>20250</v>
      </c>
      <c r="P103" s="32" t="s">
        <v>1079</v>
      </c>
      <c r="Q103" s="31">
        <f>24185</f>
        <v>24185</v>
      </c>
      <c r="R103" s="32" t="s">
        <v>755</v>
      </c>
      <c r="S103" s="33">
        <f>23092.38</f>
        <v>23092.38</v>
      </c>
      <c r="T103" s="39">
        <f>101530</f>
        <v>101530</v>
      </c>
      <c r="U103" s="30">
        <f>32758</f>
        <v>32758</v>
      </c>
      <c r="V103" s="30">
        <f>2336389416</f>
        <v>2336389416</v>
      </c>
      <c r="W103" s="30">
        <f>761287941</f>
        <v>761287941</v>
      </c>
      <c r="X103" s="34">
        <f>21</f>
        <v>21</v>
      </c>
    </row>
    <row r="104" spans="1:24">
      <c r="A104" s="25" t="s">
        <v>1238</v>
      </c>
      <c r="B104" s="25" t="s">
        <v>285</v>
      </c>
      <c r="C104" s="25" t="s">
        <v>286</v>
      </c>
      <c r="D104" s="25" t="s">
        <v>287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</v>
      </c>
      <c r="K104" s="31">
        <f>2252</f>
        <v>2252</v>
      </c>
      <c r="L104" s="32" t="s">
        <v>1239</v>
      </c>
      <c r="M104" s="31">
        <f>2263</f>
        <v>2263</v>
      </c>
      <c r="N104" s="32" t="s">
        <v>1239</v>
      </c>
      <c r="O104" s="31">
        <f>1884</f>
        <v>1884</v>
      </c>
      <c r="P104" s="32" t="s">
        <v>1079</v>
      </c>
      <c r="Q104" s="31">
        <f>2241</f>
        <v>2241</v>
      </c>
      <c r="R104" s="32" t="s">
        <v>755</v>
      </c>
      <c r="S104" s="33">
        <f>2131.48</f>
        <v>2131.48</v>
      </c>
      <c r="T104" s="39">
        <f>469920</f>
        <v>469920</v>
      </c>
      <c r="U104" s="30">
        <f>171100</f>
        <v>171100</v>
      </c>
      <c r="V104" s="30">
        <f>1007084796</f>
        <v>1007084796</v>
      </c>
      <c r="W104" s="30">
        <f>354607890</f>
        <v>354607890</v>
      </c>
      <c r="X104" s="34">
        <f>21</f>
        <v>21</v>
      </c>
    </row>
    <row r="105" spans="1:24">
      <c r="A105" s="25" t="s">
        <v>1238</v>
      </c>
      <c r="B105" s="25" t="s">
        <v>288</v>
      </c>
      <c r="C105" s="25" t="s">
        <v>289</v>
      </c>
      <c r="D105" s="25" t="s">
        <v>290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</v>
      </c>
      <c r="K105" s="31">
        <f>25270</f>
        <v>25270</v>
      </c>
      <c r="L105" s="32" t="s">
        <v>1239</v>
      </c>
      <c r="M105" s="31">
        <f>25315</f>
        <v>25315</v>
      </c>
      <c r="N105" s="32" t="s">
        <v>1239</v>
      </c>
      <c r="O105" s="31">
        <f>21195</f>
        <v>21195</v>
      </c>
      <c r="P105" s="32" t="s">
        <v>1079</v>
      </c>
      <c r="Q105" s="31">
        <f>25030</f>
        <v>25030</v>
      </c>
      <c r="R105" s="32" t="s">
        <v>755</v>
      </c>
      <c r="S105" s="33">
        <f>23851.67</f>
        <v>23851.67</v>
      </c>
      <c r="T105" s="39">
        <f>168624</f>
        <v>168624</v>
      </c>
      <c r="U105" s="30">
        <f>129407</f>
        <v>129407</v>
      </c>
      <c r="V105" s="30">
        <f>3873544150</f>
        <v>3873544150</v>
      </c>
      <c r="W105" s="30">
        <f>2952605275</f>
        <v>2952605275</v>
      </c>
      <c r="X105" s="34">
        <f>21</f>
        <v>21</v>
      </c>
    </row>
    <row r="106" spans="1:24">
      <c r="A106" s="25" t="s">
        <v>1238</v>
      </c>
      <c r="B106" s="25" t="s">
        <v>291</v>
      </c>
      <c r="C106" s="25" t="s">
        <v>292</v>
      </c>
      <c r="D106" s="25" t="s">
        <v>293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1750.5</f>
        <v>1750.5</v>
      </c>
      <c r="L106" s="32" t="s">
        <v>1239</v>
      </c>
      <c r="M106" s="31">
        <f>1772</f>
        <v>1772</v>
      </c>
      <c r="N106" s="32" t="s">
        <v>1208</v>
      </c>
      <c r="O106" s="31">
        <f>1666</f>
        <v>1666</v>
      </c>
      <c r="P106" s="32" t="s">
        <v>1079</v>
      </c>
      <c r="Q106" s="31">
        <f>1745</f>
        <v>1745</v>
      </c>
      <c r="R106" s="32" t="s">
        <v>755</v>
      </c>
      <c r="S106" s="33">
        <f>1742.5</f>
        <v>1742.5</v>
      </c>
      <c r="T106" s="39">
        <f>2010350</f>
        <v>2010350</v>
      </c>
      <c r="U106" s="30">
        <f>1021170</f>
        <v>1021170</v>
      </c>
      <c r="V106" s="30">
        <f>3491178312</f>
        <v>3491178312</v>
      </c>
      <c r="W106" s="30">
        <f>1779568422</f>
        <v>1779568422</v>
      </c>
      <c r="X106" s="34">
        <f>21</f>
        <v>21</v>
      </c>
    </row>
    <row r="107" spans="1:24">
      <c r="A107" s="25" t="s">
        <v>1238</v>
      </c>
      <c r="B107" s="25" t="s">
        <v>294</v>
      </c>
      <c r="C107" s="25" t="s">
        <v>295</v>
      </c>
      <c r="D107" s="25" t="s">
        <v>296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10</v>
      </c>
      <c r="K107" s="31">
        <f>2080</f>
        <v>2080</v>
      </c>
      <c r="L107" s="32" t="s">
        <v>1208</v>
      </c>
      <c r="M107" s="31">
        <f>2080</f>
        <v>2080</v>
      </c>
      <c r="N107" s="32" t="s">
        <v>1208</v>
      </c>
      <c r="O107" s="31">
        <f>2080</f>
        <v>2080</v>
      </c>
      <c r="P107" s="32" t="s">
        <v>1208</v>
      </c>
      <c r="Q107" s="31">
        <f>2080</f>
        <v>2080</v>
      </c>
      <c r="R107" s="32" t="s">
        <v>1208</v>
      </c>
      <c r="S107" s="33">
        <f>2080</f>
        <v>2080</v>
      </c>
      <c r="T107" s="39">
        <f>20</f>
        <v>20</v>
      </c>
      <c r="U107" s="30" t="str">
        <f>"－"</f>
        <v>－</v>
      </c>
      <c r="V107" s="30">
        <f>41600</f>
        <v>41600</v>
      </c>
      <c r="W107" s="30" t="str">
        <f>"－"</f>
        <v>－</v>
      </c>
      <c r="X107" s="34">
        <f>1</f>
        <v>1</v>
      </c>
    </row>
    <row r="108" spans="1:24">
      <c r="A108" s="25" t="s">
        <v>1238</v>
      </c>
      <c r="B108" s="25" t="s">
        <v>297</v>
      </c>
      <c r="C108" s="25" t="s">
        <v>298</v>
      </c>
      <c r="D108" s="25" t="s">
        <v>299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1749</f>
        <v>1749</v>
      </c>
      <c r="L108" s="32" t="s">
        <v>1239</v>
      </c>
      <c r="M108" s="31">
        <f>1775.5</f>
        <v>1775.5</v>
      </c>
      <c r="N108" s="32" t="s">
        <v>756</v>
      </c>
      <c r="O108" s="31">
        <f>1660</f>
        <v>1660</v>
      </c>
      <c r="P108" s="32" t="s">
        <v>1079</v>
      </c>
      <c r="Q108" s="31">
        <f>1763</f>
        <v>1763</v>
      </c>
      <c r="R108" s="32" t="s">
        <v>755</v>
      </c>
      <c r="S108" s="33">
        <f>1742.67</f>
        <v>1742.67</v>
      </c>
      <c r="T108" s="39">
        <f>4441790</f>
        <v>4441790</v>
      </c>
      <c r="U108" s="30">
        <f>2948320</f>
        <v>2948320</v>
      </c>
      <c r="V108" s="30">
        <f>7683928016</f>
        <v>7683928016</v>
      </c>
      <c r="W108" s="30">
        <f>5103306501</f>
        <v>5103306501</v>
      </c>
      <c r="X108" s="34">
        <f>21</f>
        <v>21</v>
      </c>
    </row>
    <row r="109" spans="1:24">
      <c r="A109" s="25" t="s">
        <v>1238</v>
      </c>
      <c r="B109" s="25" t="s">
        <v>300</v>
      </c>
      <c r="C109" s="25" t="s">
        <v>896</v>
      </c>
      <c r="D109" s="25" t="s">
        <v>897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</v>
      </c>
      <c r="K109" s="31">
        <f>24960</f>
        <v>24960</v>
      </c>
      <c r="L109" s="32" t="s">
        <v>1239</v>
      </c>
      <c r="M109" s="31">
        <f>25100</f>
        <v>25100</v>
      </c>
      <c r="N109" s="32" t="s">
        <v>1240</v>
      </c>
      <c r="O109" s="31">
        <f>20660</f>
        <v>20660</v>
      </c>
      <c r="P109" s="32" t="s">
        <v>1079</v>
      </c>
      <c r="Q109" s="31">
        <f>24660</f>
        <v>24660</v>
      </c>
      <c r="R109" s="32" t="s">
        <v>755</v>
      </c>
      <c r="S109" s="33">
        <f>23654.29</f>
        <v>23654.29</v>
      </c>
      <c r="T109" s="39">
        <f>19297</f>
        <v>19297</v>
      </c>
      <c r="U109" s="30">
        <f>5652</f>
        <v>5652</v>
      </c>
      <c r="V109" s="30">
        <f>451816810</f>
        <v>451816810</v>
      </c>
      <c r="W109" s="30">
        <f>130328590</f>
        <v>130328590</v>
      </c>
      <c r="X109" s="34">
        <f>21</f>
        <v>21</v>
      </c>
    </row>
    <row r="110" spans="1:24">
      <c r="A110" s="25" t="s">
        <v>1238</v>
      </c>
      <c r="B110" s="25" t="s">
        <v>1097</v>
      </c>
      <c r="C110" s="25" t="s">
        <v>1096</v>
      </c>
      <c r="D110" s="25" t="s">
        <v>1095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10</v>
      </c>
      <c r="K110" s="31">
        <f>505.7</f>
        <v>505.7</v>
      </c>
      <c r="L110" s="32" t="s">
        <v>1239</v>
      </c>
      <c r="M110" s="31">
        <f>514.1</f>
        <v>514.1</v>
      </c>
      <c r="N110" s="32" t="s">
        <v>738</v>
      </c>
      <c r="O110" s="31">
        <f>428</f>
        <v>428</v>
      </c>
      <c r="P110" s="32" t="s">
        <v>1079</v>
      </c>
      <c r="Q110" s="31">
        <f>503.5</f>
        <v>503.5</v>
      </c>
      <c r="R110" s="32" t="s">
        <v>755</v>
      </c>
      <c r="S110" s="33">
        <f>479.45</f>
        <v>479.45</v>
      </c>
      <c r="T110" s="39">
        <f>573360</f>
        <v>573360</v>
      </c>
      <c r="U110" s="30">
        <f>30000</f>
        <v>30000</v>
      </c>
      <c r="V110" s="30">
        <f>273787204</f>
        <v>273787204</v>
      </c>
      <c r="W110" s="30">
        <f>15189000</f>
        <v>15189000</v>
      </c>
      <c r="X110" s="34">
        <f>21</f>
        <v>21</v>
      </c>
    </row>
    <row r="111" spans="1:24">
      <c r="A111" s="25" t="s">
        <v>1238</v>
      </c>
      <c r="B111" s="25" t="s">
        <v>301</v>
      </c>
      <c r="C111" s="25" t="s">
        <v>302</v>
      </c>
      <c r="D111" s="25" t="s">
        <v>303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100</v>
      </c>
      <c r="K111" s="31">
        <f>420</f>
        <v>420</v>
      </c>
      <c r="L111" s="32" t="s">
        <v>1239</v>
      </c>
      <c r="M111" s="31">
        <f>420.8</f>
        <v>420.8</v>
      </c>
      <c r="N111" s="32" t="s">
        <v>1239</v>
      </c>
      <c r="O111" s="31">
        <f>278.6</f>
        <v>278.60000000000002</v>
      </c>
      <c r="P111" s="32" t="s">
        <v>1079</v>
      </c>
      <c r="Q111" s="31">
        <f>377</f>
        <v>377</v>
      </c>
      <c r="R111" s="32" t="s">
        <v>755</v>
      </c>
      <c r="S111" s="33">
        <f>356.44</f>
        <v>356.44</v>
      </c>
      <c r="T111" s="39">
        <f>233646500</f>
        <v>233646500</v>
      </c>
      <c r="U111" s="30">
        <f>43390000</f>
        <v>43390000</v>
      </c>
      <c r="V111" s="30">
        <f>83676767289</f>
        <v>83676767289</v>
      </c>
      <c r="W111" s="30">
        <f>15450280749</f>
        <v>15450280749</v>
      </c>
      <c r="X111" s="34">
        <f>21</f>
        <v>21</v>
      </c>
    </row>
    <row r="112" spans="1:24">
      <c r="A112" s="25" t="s">
        <v>1238</v>
      </c>
      <c r="B112" s="25" t="s">
        <v>304</v>
      </c>
      <c r="C112" s="25" t="s">
        <v>305</v>
      </c>
      <c r="D112" s="25" t="s">
        <v>306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37350</f>
        <v>37350</v>
      </c>
      <c r="L112" s="32" t="s">
        <v>1239</v>
      </c>
      <c r="M112" s="31">
        <f>40700</f>
        <v>40700</v>
      </c>
      <c r="N112" s="32" t="s">
        <v>756</v>
      </c>
      <c r="O112" s="31">
        <f>34580</f>
        <v>34580</v>
      </c>
      <c r="P112" s="32" t="s">
        <v>1079</v>
      </c>
      <c r="Q112" s="31">
        <f>38450</f>
        <v>38450</v>
      </c>
      <c r="R112" s="32" t="s">
        <v>755</v>
      </c>
      <c r="S112" s="33">
        <f>37500</f>
        <v>37500</v>
      </c>
      <c r="T112" s="39">
        <f>8096</f>
        <v>8096</v>
      </c>
      <c r="U112" s="30">
        <f>31</f>
        <v>31</v>
      </c>
      <c r="V112" s="30">
        <f>304645460</f>
        <v>304645460</v>
      </c>
      <c r="W112" s="30">
        <f>1144050</f>
        <v>1144050</v>
      </c>
      <c r="X112" s="34">
        <f>21</f>
        <v>21</v>
      </c>
    </row>
    <row r="113" spans="1:24">
      <c r="A113" s="25" t="s">
        <v>1238</v>
      </c>
      <c r="B113" s="25" t="s">
        <v>307</v>
      </c>
      <c r="C113" s="25" t="s">
        <v>308</v>
      </c>
      <c r="D113" s="25" t="s">
        <v>309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21865</f>
        <v>21865</v>
      </c>
      <c r="L113" s="32" t="s">
        <v>1239</v>
      </c>
      <c r="M113" s="31">
        <f>22180</f>
        <v>22180</v>
      </c>
      <c r="N113" s="32" t="s">
        <v>1239</v>
      </c>
      <c r="O113" s="31">
        <f>16900</f>
        <v>16900</v>
      </c>
      <c r="P113" s="32" t="s">
        <v>1079</v>
      </c>
      <c r="Q113" s="31">
        <f>19080</f>
        <v>19080</v>
      </c>
      <c r="R113" s="32" t="s">
        <v>755</v>
      </c>
      <c r="S113" s="33">
        <f>19034.05</f>
        <v>19034.05</v>
      </c>
      <c r="T113" s="39">
        <f>6795</f>
        <v>6795</v>
      </c>
      <c r="U113" s="30">
        <f>41</f>
        <v>41</v>
      </c>
      <c r="V113" s="30">
        <f>127746985</f>
        <v>127746985</v>
      </c>
      <c r="W113" s="30">
        <f>758070</f>
        <v>758070</v>
      </c>
      <c r="X113" s="34">
        <f>21</f>
        <v>21</v>
      </c>
    </row>
    <row r="114" spans="1:24">
      <c r="A114" s="25" t="s">
        <v>1238</v>
      </c>
      <c r="B114" s="25" t="s">
        <v>310</v>
      </c>
      <c r="C114" s="25" t="s">
        <v>311</v>
      </c>
      <c r="D114" s="25" t="s">
        <v>312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31400</f>
        <v>31400</v>
      </c>
      <c r="L114" s="32" t="s">
        <v>1239</v>
      </c>
      <c r="M114" s="31">
        <f>32090</f>
        <v>32090</v>
      </c>
      <c r="N114" s="32" t="s">
        <v>755</v>
      </c>
      <c r="O114" s="31">
        <f>27000</f>
        <v>27000</v>
      </c>
      <c r="P114" s="32" t="s">
        <v>1079</v>
      </c>
      <c r="Q114" s="31">
        <f>32090</f>
        <v>32090</v>
      </c>
      <c r="R114" s="32" t="s">
        <v>755</v>
      </c>
      <c r="S114" s="33">
        <f>30359.29</f>
        <v>30359.29</v>
      </c>
      <c r="T114" s="39">
        <f>41378</f>
        <v>41378</v>
      </c>
      <c r="U114" s="30">
        <f>34047</f>
        <v>34047</v>
      </c>
      <c r="V114" s="30">
        <f>1282631912</f>
        <v>1282631912</v>
      </c>
      <c r="W114" s="30">
        <f>1061459772</f>
        <v>1061459772</v>
      </c>
      <c r="X114" s="34">
        <f>21</f>
        <v>21</v>
      </c>
    </row>
    <row r="115" spans="1:24">
      <c r="A115" s="25" t="s">
        <v>1238</v>
      </c>
      <c r="B115" s="25" t="s">
        <v>313</v>
      </c>
      <c r="C115" s="25" t="s">
        <v>314</v>
      </c>
      <c r="D115" s="25" t="s">
        <v>315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27810</f>
        <v>27810</v>
      </c>
      <c r="L115" s="32" t="s">
        <v>1239</v>
      </c>
      <c r="M115" s="31">
        <f>27815</f>
        <v>27815</v>
      </c>
      <c r="N115" s="32" t="s">
        <v>1239</v>
      </c>
      <c r="O115" s="31">
        <f>23015</f>
        <v>23015</v>
      </c>
      <c r="P115" s="32" t="s">
        <v>1079</v>
      </c>
      <c r="Q115" s="31">
        <f>26860</f>
        <v>26860</v>
      </c>
      <c r="R115" s="32" t="s">
        <v>755</v>
      </c>
      <c r="S115" s="33">
        <f>25846.43</f>
        <v>25846.43</v>
      </c>
      <c r="T115" s="39">
        <f>4439</f>
        <v>4439</v>
      </c>
      <c r="U115" s="30" t="str">
        <f>"－"</f>
        <v>－</v>
      </c>
      <c r="V115" s="30">
        <f>114583250</f>
        <v>114583250</v>
      </c>
      <c r="W115" s="30" t="str">
        <f>"－"</f>
        <v>－</v>
      </c>
      <c r="X115" s="34">
        <f>21</f>
        <v>21</v>
      </c>
    </row>
    <row r="116" spans="1:24">
      <c r="A116" s="25" t="s">
        <v>1238</v>
      </c>
      <c r="B116" s="25" t="s">
        <v>316</v>
      </c>
      <c r="C116" s="25" t="s">
        <v>317</v>
      </c>
      <c r="D116" s="25" t="s">
        <v>318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26295</f>
        <v>26295</v>
      </c>
      <c r="L116" s="32" t="s">
        <v>1239</v>
      </c>
      <c r="M116" s="31">
        <f>26725</f>
        <v>26725</v>
      </c>
      <c r="N116" s="32" t="s">
        <v>1240</v>
      </c>
      <c r="O116" s="31">
        <f>23335</f>
        <v>23335</v>
      </c>
      <c r="P116" s="32" t="s">
        <v>1220</v>
      </c>
      <c r="Q116" s="31">
        <f>26640</f>
        <v>26640</v>
      </c>
      <c r="R116" s="32" t="s">
        <v>755</v>
      </c>
      <c r="S116" s="33">
        <f>25303.81</f>
        <v>25303.81</v>
      </c>
      <c r="T116" s="39">
        <f>19110</f>
        <v>19110</v>
      </c>
      <c r="U116" s="30">
        <f>5</f>
        <v>5</v>
      </c>
      <c r="V116" s="30">
        <f>476567660</f>
        <v>476567660</v>
      </c>
      <c r="W116" s="30">
        <f>128855</f>
        <v>128855</v>
      </c>
      <c r="X116" s="34">
        <f>21</f>
        <v>21</v>
      </c>
    </row>
    <row r="117" spans="1:24">
      <c r="A117" s="25" t="s">
        <v>1238</v>
      </c>
      <c r="B117" s="25" t="s">
        <v>319</v>
      </c>
      <c r="C117" s="25" t="s">
        <v>320</v>
      </c>
      <c r="D117" s="25" t="s">
        <v>321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30080</f>
        <v>30080</v>
      </c>
      <c r="L117" s="32" t="s">
        <v>1239</v>
      </c>
      <c r="M117" s="31">
        <f>31150</f>
        <v>31150</v>
      </c>
      <c r="N117" s="32" t="s">
        <v>1078</v>
      </c>
      <c r="O117" s="31">
        <f>24040</f>
        <v>24040</v>
      </c>
      <c r="P117" s="32" t="s">
        <v>1079</v>
      </c>
      <c r="Q117" s="31">
        <f>30350</f>
        <v>30350</v>
      </c>
      <c r="R117" s="32" t="s">
        <v>755</v>
      </c>
      <c r="S117" s="33">
        <f>28288.57</f>
        <v>28288.57</v>
      </c>
      <c r="T117" s="39">
        <f>30697</f>
        <v>30697</v>
      </c>
      <c r="U117" s="30">
        <f>3</f>
        <v>3</v>
      </c>
      <c r="V117" s="30">
        <f>872234371</f>
        <v>872234371</v>
      </c>
      <c r="W117" s="30">
        <f>87411</f>
        <v>87411</v>
      </c>
      <c r="X117" s="34">
        <f>21</f>
        <v>21</v>
      </c>
    </row>
    <row r="118" spans="1:24">
      <c r="A118" s="25" t="s">
        <v>1238</v>
      </c>
      <c r="B118" s="25" t="s">
        <v>322</v>
      </c>
      <c r="C118" s="25" t="s">
        <v>323</v>
      </c>
      <c r="D118" s="25" t="s">
        <v>324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26745</f>
        <v>26745</v>
      </c>
      <c r="L118" s="32" t="s">
        <v>1239</v>
      </c>
      <c r="M118" s="31">
        <f>26875</f>
        <v>26875</v>
      </c>
      <c r="N118" s="32" t="s">
        <v>1239</v>
      </c>
      <c r="O118" s="31">
        <f>19615</f>
        <v>19615</v>
      </c>
      <c r="P118" s="32" t="s">
        <v>1079</v>
      </c>
      <c r="Q118" s="31">
        <f>25375</f>
        <v>25375</v>
      </c>
      <c r="R118" s="32" t="s">
        <v>755</v>
      </c>
      <c r="S118" s="33">
        <f>24319.52</f>
        <v>24319.52</v>
      </c>
      <c r="T118" s="39">
        <f>6455</f>
        <v>6455</v>
      </c>
      <c r="U118" s="30">
        <f>3</f>
        <v>3</v>
      </c>
      <c r="V118" s="30">
        <f>152834240</f>
        <v>152834240</v>
      </c>
      <c r="W118" s="30">
        <f>67155</f>
        <v>67155</v>
      </c>
      <c r="X118" s="34">
        <f>21</f>
        <v>21</v>
      </c>
    </row>
    <row r="119" spans="1:24">
      <c r="A119" s="25" t="s">
        <v>1238</v>
      </c>
      <c r="B119" s="25" t="s">
        <v>325</v>
      </c>
      <c r="C119" s="25" t="s">
        <v>326</v>
      </c>
      <c r="D119" s="25" t="s">
        <v>327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56800</f>
        <v>56800</v>
      </c>
      <c r="L119" s="32" t="s">
        <v>1239</v>
      </c>
      <c r="M119" s="31">
        <f>57070</f>
        <v>57070</v>
      </c>
      <c r="N119" s="32" t="s">
        <v>1240</v>
      </c>
      <c r="O119" s="31">
        <f>47250</f>
        <v>47250</v>
      </c>
      <c r="P119" s="32" t="s">
        <v>1079</v>
      </c>
      <c r="Q119" s="31">
        <f>55710</f>
        <v>55710</v>
      </c>
      <c r="R119" s="32" t="s">
        <v>755</v>
      </c>
      <c r="S119" s="33">
        <f>53654.29</f>
        <v>53654.29</v>
      </c>
      <c r="T119" s="39">
        <f>7768</f>
        <v>7768</v>
      </c>
      <c r="U119" s="30">
        <f>33</f>
        <v>33</v>
      </c>
      <c r="V119" s="30">
        <f>399341010</f>
        <v>399341010</v>
      </c>
      <c r="W119" s="30">
        <f>1786270</f>
        <v>1786270</v>
      </c>
      <c r="X119" s="34">
        <f>21</f>
        <v>21</v>
      </c>
    </row>
    <row r="120" spans="1:24">
      <c r="A120" s="25" t="s">
        <v>1238</v>
      </c>
      <c r="B120" s="25" t="s">
        <v>328</v>
      </c>
      <c r="C120" s="25" t="s">
        <v>329</v>
      </c>
      <c r="D120" s="25" t="s">
        <v>330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37030</f>
        <v>37030</v>
      </c>
      <c r="L120" s="32" t="s">
        <v>1239</v>
      </c>
      <c r="M120" s="31">
        <f>37030</f>
        <v>37030</v>
      </c>
      <c r="N120" s="32" t="s">
        <v>1239</v>
      </c>
      <c r="O120" s="31">
        <f>29505</f>
        <v>29505</v>
      </c>
      <c r="P120" s="32" t="s">
        <v>1079</v>
      </c>
      <c r="Q120" s="31">
        <f>36200</f>
        <v>36200</v>
      </c>
      <c r="R120" s="32" t="s">
        <v>755</v>
      </c>
      <c r="S120" s="33">
        <f>34160.95</f>
        <v>34160.949999999997</v>
      </c>
      <c r="T120" s="39">
        <f>15424</f>
        <v>15424</v>
      </c>
      <c r="U120" s="30">
        <f>28</f>
        <v>28</v>
      </c>
      <c r="V120" s="30">
        <f>516957710</f>
        <v>516957710</v>
      </c>
      <c r="W120" s="30">
        <f>941260</f>
        <v>941260</v>
      </c>
      <c r="X120" s="34">
        <f>21</f>
        <v>21</v>
      </c>
    </row>
    <row r="121" spans="1:24">
      <c r="A121" s="25" t="s">
        <v>1238</v>
      </c>
      <c r="B121" s="25" t="s">
        <v>331</v>
      </c>
      <c r="C121" s="25" t="s">
        <v>332</v>
      </c>
      <c r="D121" s="25" t="s">
        <v>333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36350</f>
        <v>36350</v>
      </c>
      <c r="L121" s="32" t="s">
        <v>1239</v>
      </c>
      <c r="M121" s="31">
        <f>37520</f>
        <v>37520</v>
      </c>
      <c r="N121" s="32" t="s">
        <v>755</v>
      </c>
      <c r="O121" s="31">
        <f>30330</f>
        <v>30330</v>
      </c>
      <c r="P121" s="32" t="s">
        <v>1079</v>
      </c>
      <c r="Q121" s="31">
        <f>37520</f>
        <v>37520</v>
      </c>
      <c r="R121" s="32" t="s">
        <v>755</v>
      </c>
      <c r="S121" s="33">
        <f>35755.24</f>
        <v>35755.24</v>
      </c>
      <c r="T121" s="39">
        <f>5320</f>
        <v>5320</v>
      </c>
      <c r="U121" s="30">
        <f>47</f>
        <v>47</v>
      </c>
      <c r="V121" s="30">
        <f>185753390</f>
        <v>185753390</v>
      </c>
      <c r="W121" s="30">
        <f>1649660</f>
        <v>1649660</v>
      </c>
      <c r="X121" s="34">
        <f>21</f>
        <v>21</v>
      </c>
    </row>
    <row r="122" spans="1:24">
      <c r="A122" s="25" t="s">
        <v>1238</v>
      </c>
      <c r="B122" s="25" t="s">
        <v>334</v>
      </c>
      <c r="C122" s="25" t="s">
        <v>335</v>
      </c>
      <c r="D122" s="25" t="s">
        <v>336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8546</f>
        <v>8546</v>
      </c>
      <c r="L122" s="32" t="s">
        <v>1239</v>
      </c>
      <c r="M122" s="31">
        <f>8605</f>
        <v>8605</v>
      </c>
      <c r="N122" s="32" t="s">
        <v>1078</v>
      </c>
      <c r="O122" s="31">
        <f>7480</f>
        <v>7480</v>
      </c>
      <c r="P122" s="32" t="s">
        <v>1079</v>
      </c>
      <c r="Q122" s="31">
        <f>8513</f>
        <v>8513</v>
      </c>
      <c r="R122" s="32" t="s">
        <v>755</v>
      </c>
      <c r="S122" s="33">
        <f>8171.48</f>
        <v>8171.48</v>
      </c>
      <c r="T122" s="39">
        <f>28158</f>
        <v>28158</v>
      </c>
      <c r="U122" s="30" t="str">
        <f>"－"</f>
        <v>－</v>
      </c>
      <c r="V122" s="30">
        <f>229277069</f>
        <v>229277069</v>
      </c>
      <c r="W122" s="30" t="str">
        <f>"－"</f>
        <v>－</v>
      </c>
      <c r="X122" s="34">
        <f>21</f>
        <v>21</v>
      </c>
    </row>
    <row r="123" spans="1:24">
      <c r="A123" s="25" t="s">
        <v>1238</v>
      </c>
      <c r="B123" s="25" t="s">
        <v>337</v>
      </c>
      <c r="C123" s="25" t="s">
        <v>338</v>
      </c>
      <c r="D123" s="25" t="s">
        <v>339</v>
      </c>
      <c r="E123" s="26" t="s">
        <v>43</v>
      </c>
      <c r="F123" s="27" t="s">
        <v>43</v>
      </c>
      <c r="G123" s="28" t="s">
        <v>43</v>
      </c>
      <c r="H123" s="29"/>
      <c r="I123" s="29" t="s">
        <v>44</v>
      </c>
      <c r="J123" s="30">
        <v>1</v>
      </c>
      <c r="K123" s="31">
        <f>18680</f>
        <v>18680</v>
      </c>
      <c r="L123" s="32" t="s">
        <v>1239</v>
      </c>
      <c r="M123" s="31">
        <f>19250</f>
        <v>19250</v>
      </c>
      <c r="N123" s="32" t="s">
        <v>663</v>
      </c>
      <c r="O123" s="31">
        <f>15525</f>
        <v>15525</v>
      </c>
      <c r="P123" s="32" t="s">
        <v>1079</v>
      </c>
      <c r="Q123" s="31">
        <f>18610</f>
        <v>18610</v>
      </c>
      <c r="R123" s="32" t="s">
        <v>755</v>
      </c>
      <c r="S123" s="33">
        <f>18495.71</f>
        <v>18495.71</v>
      </c>
      <c r="T123" s="39">
        <f>5839</f>
        <v>5839</v>
      </c>
      <c r="U123" s="30">
        <f>5</f>
        <v>5</v>
      </c>
      <c r="V123" s="30">
        <f>106818418</f>
        <v>106818418</v>
      </c>
      <c r="W123" s="30">
        <f>92208</f>
        <v>92208</v>
      </c>
      <c r="X123" s="34">
        <f>21</f>
        <v>21</v>
      </c>
    </row>
    <row r="124" spans="1:24">
      <c r="A124" s="25" t="s">
        <v>1238</v>
      </c>
      <c r="B124" s="25" t="s">
        <v>340</v>
      </c>
      <c r="C124" s="25" t="s">
        <v>341</v>
      </c>
      <c r="D124" s="25" t="s">
        <v>342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81100</f>
        <v>81100</v>
      </c>
      <c r="L124" s="32" t="s">
        <v>1239</v>
      </c>
      <c r="M124" s="31">
        <f>82960</f>
        <v>82960</v>
      </c>
      <c r="N124" s="32" t="s">
        <v>755</v>
      </c>
      <c r="O124" s="31">
        <f>67340</f>
        <v>67340</v>
      </c>
      <c r="P124" s="32" t="s">
        <v>1079</v>
      </c>
      <c r="Q124" s="31">
        <f>82900</f>
        <v>82900</v>
      </c>
      <c r="R124" s="32" t="s">
        <v>755</v>
      </c>
      <c r="S124" s="33">
        <f>77495.71</f>
        <v>77495.710000000006</v>
      </c>
      <c r="T124" s="39">
        <f>26409</f>
        <v>26409</v>
      </c>
      <c r="U124" s="30">
        <f>2031</f>
        <v>2031</v>
      </c>
      <c r="V124" s="30">
        <f>2017178526</f>
        <v>2017178526</v>
      </c>
      <c r="W124" s="30">
        <f>153879256</f>
        <v>153879256</v>
      </c>
      <c r="X124" s="34">
        <f>21</f>
        <v>21</v>
      </c>
    </row>
    <row r="125" spans="1:24">
      <c r="A125" s="25" t="s">
        <v>1238</v>
      </c>
      <c r="B125" s="25" t="s">
        <v>1094</v>
      </c>
      <c r="C125" s="25" t="s">
        <v>1093</v>
      </c>
      <c r="D125" s="25" t="s">
        <v>1092</v>
      </c>
      <c r="E125" s="26" t="s">
        <v>43</v>
      </c>
      <c r="F125" s="27" t="s">
        <v>43</v>
      </c>
      <c r="G125" s="28" t="s">
        <v>43</v>
      </c>
      <c r="H125" s="29"/>
      <c r="I125" s="29" t="s">
        <v>452</v>
      </c>
      <c r="J125" s="30">
        <v>1</v>
      </c>
      <c r="K125" s="31">
        <f>9641</f>
        <v>9641</v>
      </c>
      <c r="L125" s="32" t="s">
        <v>1239</v>
      </c>
      <c r="M125" s="31">
        <f>9678</f>
        <v>9678</v>
      </c>
      <c r="N125" s="32" t="s">
        <v>1239</v>
      </c>
      <c r="O125" s="31">
        <f>8138</f>
        <v>8138</v>
      </c>
      <c r="P125" s="32" t="s">
        <v>1079</v>
      </c>
      <c r="Q125" s="31">
        <f>9536</f>
        <v>9536</v>
      </c>
      <c r="R125" s="32" t="s">
        <v>755</v>
      </c>
      <c r="S125" s="33">
        <f>9035.33</f>
        <v>9035.33</v>
      </c>
      <c r="T125" s="39">
        <f>4328</f>
        <v>4328</v>
      </c>
      <c r="U125" s="30" t="str">
        <f>"－"</f>
        <v>－</v>
      </c>
      <c r="V125" s="30">
        <f>40849378</f>
        <v>40849378</v>
      </c>
      <c r="W125" s="30" t="str">
        <f>"－"</f>
        <v>－</v>
      </c>
      <c r="X125" s="34">
        <f>21</f>
        <v>21</v>
      </c>
    </row>
    <row r="126" spans="1:24">
      <c r="A126" s="25" t="s">
        <v>1238</v>
      </c>
      <c r="B126" s="25" t="s">
        <v>343</v>
      </c>
      <c r="C126" s="25" t="s">
        <v>344</v>
      </c>
      <c r="D126" s="25" t="s">
        <v>345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30980</f>
        <v>30980</v>
      </c>
      <c r="L126" s="32" t="s">
        <v>1239</v>
      </c>
      <c r="M126" s="31">
        <f>32780</f>
        <v>32780</v>
      </c>
      <c r="N126" s="32" t="s">
        <v>756</v>
      </c>
      <c r="O126" s="31">
        <f>26830</f>
        <v>26830</v>
      </c>
      <c r="P126" s="32" t="s">
        <v>1079</v>
      </c>
      <c r="Q126" s="31">
        <f>32680</f>
        <v>32680</v>
      </c>
      <c r="R126" s="32" t="s">
        <v>755</v>
      </c>
      <c r="S126" s="33">
        <f>31273.33</f>
        <v>31273.33</v>
      </c>
      <c r="T126" s="39">
        <f>12914</f>
        <v>12914</v>
      </c>
      <c r="U126" s="30">
        <f>70</f>
        <v>70</v>
      </c>
      <c r="V126" s="30">
        <f>400583055</f>
        <v>400583055</v>
      </c>
      <c r="W126" s="30">
        <f>2222975</f>
        <v>2222975</v>
      </c>
      <c r="X126" s="34">
        <f>21</f>
        <v>21</v>
      </c>
    </row>
    <row r="127" spans="1:24">
      <c r="A127" s="25" t="s">
        <v>1238</v>
      </c>
      <c r="B127" s="25" t="s">
        <v>346</v>
      </c>
      <c r="C127" s="25" t="s">
        <v>347</v>
      </c>
      <c r="D127" s="25" t="s">
        <v>348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22320</f>
        <v>22320</v>
      </c>
      <c r="L127" s="32" t="s">
        <v>1239</v>
      </c>
      <c r="M127" s="31">
        <f>22430</f>
        <v>22430</v>
      </c>
      <c r="N127" s="32" t="s">
        <v>1239</v>
      </c>
      <c r="O127" s="31">
        <f>14770</f>
        <v>14770</v>
      </c>
      <c r="P127" s="32" t="s">
        <v>1079</v>
      </c>
      <c r="Q127" s="31">
        <f>19970</f>
        <v>19970</v>
      </c>
      <c r="R127" s="32" t="s">
        <v>755</v>
      </c>
      <c r="S127" s="33">
        <f>18943.33</f>
        <v>18943.330000000002</v>
      </c>
      <c r="T127" s="39">
        <f>149763</f>
        <v>149763</v>
      </c>
      <c r="U127" s="30">
        <f>2088</f>
        <v>2088</v>
      </c>
      <c r="V127" s="30">
        <f>2823823410</f>
        <v>2823823410</v>
      </c>
      <c r="W127" s="30">
        <f>37632885</f>
        <v>37632885</v>
      </c>
      <c r="X127" s="34">
        <f>21</f>
        <v>21</v>
      </c>
    </row>
    <row r="128" spans="1:24">
      <c r="A128" s="25" t="s">
        <v>1238</v>
      </c>
      <c r="B128" s="25" t="s">
        <v>349</v>
      </c>
      <c r="C128" s="25" t="s">
        <v>350</v>
      </c>
      <c r="D128" s="25" t="s">
        <v>351</v>
      </c>
      <c r="E128" s="26" t="s">
        <v>43</v>
      </c>
      <c r="F128" s="27" t="s">
        <v>43</v>
      </c>
      <c r="G128" s="28" t="s">
        <v>43</v>
      </c>
      <c r="H128" s="29"/>
      <c r="I128" s="29" t="s">
        <v>44</v>
      </c>
      <c r="J128" s="30">
        <v>1</v>
      </c>
      <c r="K128" s="31">
        <f>29300</f>
        <v>29300</v>
      </c>
      <c r="L128" s="32" t="s">
        <v>1239</v>
      </c>
      <c r="M128" s="31">
        <f>29300</f>
        <v>29300</v>
      </c>
      <c r="N128" s="32" t="s">
        <v>1239</v>
      </c>
      <c r="O128" s="31">
        <f>21280</f>
        <v>21280</v>
      </c>
      <c r="P128" s="32" t="s">
        <v>1079</v>
      </c>
      <c r="Q128" s="31">
        <f>28470</f>
        <v>28470</v>
      </c>
      <c r="R128" s="32" t="s">
        <v>755</v>
      </c>
      <c r="S128" s="33">
        <f>26458.33</f>
        <v>26458.33</v>
      </c>
      <c r="T128" s="39">
        <f>36377</f>
        <v>36377</v>
      </c>
      <c r="U128" s="30">
        <f>2</f>
        <v>2</v>
      </c>
      <c r="V128" s="30">
        <f>942920297</f>
        <v>942920297</v>
      </c>
      <c r="W128" s="30">
        <f>53132</f>
        <v>53132</v>
      </c>
      <c r="X128" s="34">
        <f>21</f>
        <v>21</v>
      </c>
    </row>
    <row r="129" spans="1:24">
      <c r="A129" s="25" t="s">
        <v>1238</v>
      </c>
      <c r="B129" s="25" t="s">
        <v>352</v>
      </c>
      <c r="C129" s="25" t="s">
        <v>353</v>
      </c>
      <c r="D129" s="25" t="s">
        <v>354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40980</f>
        <v>40980</v>
      </c>
      <c r="L129" s="32" t="s">
        <v>1239</v>
      </c>
      <c r="M129" s="31">
        <f>42190</f>
        <v>42190</v>
      </c>
      <c r="N129" s="32" t="s">
        <v>756</v>
      </c>
      <c r="O129" s="31">
        <f>36990</f>
        <v>36990</v>
      </c>
      <c r="P129" s="32" t="s">
        <v>1079</v>
      </c>
      <c r="Q129" s="31">
        <f>41180</f>
        <v>41180</v>
      </c>
      <c r="R129" s="32" t="s">
        <v>755</v>
      </c>
      <c r="S129" s="33">
        <f>40408.57</f>
        <v>40408.57</v>
      </c>
      <c r="T129" s="39">
        <f>58440</f>
        <v>58440</v>
      </c>
      <c r="U129" s="30">
        <f>50791</f>
        <v>50791</v>
      </c>
      <c r="V129" s="30">
        <f>2376539296</f>
        <v>2376539296</v>
      </c>
      <c r="W129" s="30">
        <f>2072769156</f>
        <v>2072769156</v>
      </c>
      <c r="X129" s="34">
        <f>21</f>
        <v>21</v>
      </c>
    </row>
    <row r="130" spans="1:24">
      <c r="A130" s="25" t="s">
        <v>1238</v>
      </c>
      <c r="B130" s="25" t="s">
        <v>1091</v>
      </c>
      <c r="C130" s="25" t="s">
        <v>1090</v>
      </c>
      <c r="D130" s="25" t="s">
        <v>1089</v>
      </c>
      <c r="E130" s="26" t="s">
        <v>43</v>
      </c>
      <c r="F130" s="27" t="s">
        <v>43</v>
      </c>
      <c r="G130" s="28" t="s">
        <v>43</v>
      </c>
      <c r="H130" s="29"/>
      <c r="I130" s="29" t="s">
        <v>452</v>
      </c>
      <c r="J130" s="30">
        <v>1</v>
      </c>
      <c r="K130" s="31">
        <f>7503</f>
        <v>7503</v>
      </c>
      <c r="L130" s="32" t="s">
        <v>1239</v>
      </c>
      <c r="M130" s="31">
        <f>7527</f>
        <v>7527</v>
      </c>
      <c r="N130" s="32" t="s">
        <v>1239</v>
      </c>
      <c r="O130" s="31">
        <f>5845</f>
        <v>5845</v>
      </c>
      <c r="P130" s="32" t="s">
        <v>1079</v>
      </c>
      <c r="Q130" s="31">
        <f>7257</f>
        <v>7257</v>
      </c>
      <c r="R130" s="32" t="s">
        <v>755</v>
      </c>
      <c r="S130" s="33">
        <f>6858.38</f>
        <v>6858.38</v>
      </c>
      <c r="T130" s="39">
        <f>49993</f>
        <v>49993</v>
      </c>
      <c r="U130" s="30">
        <f>2</f>
        <v>2</v>
      </c>
      <c r="V130" s="30">
        <f>338852232</f>
        <v>338852232</v>
      </c>
      <c r="W130" s="30">
        <f>13070</f>
        <v>13070</v>
      </c>
      <c r="X130" s="34">
        <f>21</f>
        <v>21</v>
      </c>
    </row>
    <row r="131" spans="1:24">
      <c r="A131" s="25" t="s">
        <v>1238</v>
      </c>
      <c r="B131" s="25" t="s">
        <v>355</v>
      </c>
      <c r="C131" s="25" t="s">
        <v>898</v>
      </c>
      <c r="D131" s="25" t="s">
        <v>899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</v>
      </c>
      <c r="K131" s="31">
        <f>2104</f>
        <v>2104</v>
      </c>
      <c r="L131" s="32" t="s">
        <v>1239</v>
      </c>
      <c r="M131" s="31">
        <f>2104</f>
        <v>2104</v>
      </c>
      <c r="N131" s="32" t="s">
        <v>1239</v>
      </c>
      <c r="O131" s="31">
        <f>1691</f>
        <v>1691</v>
      </c>
      <c r="P131" s="32" t="s">
        <v>1079</v>
      </c>
      <c r="Q131" s="31">
        <f>2049</f>
        <v>2049</v>
      </c>
      <c r="R131" s="32" t="s">
        <v>755</v>
      </c>
      <c r="S131" s="33">
        <f>1952.95</f>
        <v>1952.95</v>
      </c>
      <c r="T131" s="39">
        <f>1492059</f>
        <v>1492059</v>
      </c>
      <c r="U131" s="30">
        <f>619600</f>
        <v>619600</v>
      </c>
      <c r="V131" s="30">
        <f>2881202350</f>
        <v>2881202350</v>
      </c>
      <c r="W131" s="30">
        <f>1202153234</f>
        <v>1202153234</v>
      </c>
      <c r="X131" s="34">
        <f>21</f>
        <v>21</v>
      </c>
    </row>
    <row r="132" spans="1:24">
      <c r="A132" s="25" t="s">
        <v>1238</v>
      </c>
      <c r="B132" s="25" t="s">
        <v>356</v>
      </c>
      <c r="C132" s="25" t="s">
        <v>900</v>
      </c>
      <c r="D132" s="25" t="s">
        <v>901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3067</f>
        <v>3067</v>
      </c>
      <c r="L132" s="32" t="s">
        <v>1204</v>
      </c>
      <c r="M132" s="31">
        <f>3118</f>
        <v>3118</v>
      </c>
      <c r="N132" s="32" t="s">
        <v>755</v>
      </c>
      <c r="O132" s="31">
        <f>2759.5</f>
        <v>2759.5</v>
      </c>
      <c r="P132" s="32" t="s">
        <v>1079</v>
      </c>
      <c r="Q132" s="31">
        <f>3118</f>
        <v>3118</v>
      </c>
      <c r="R132" s="32" t="s">
        <v>755</v>
      </c>
      <c r="S132" s="33">
        <f>2952.92</f>
        <v>2952.92</v>
      </c>
      <c r="T132" s="39">
        <f>169790</f>
        <v>169790</v>
      </c>
      <c r="U132" s="30">
        <f>35000</f>
        <v>35000</v>
      </c>
      <c r="V132" s="30">
        <f>497497040</f>
        <v>497497040</v>
      </c>
      <c r="W132" s="30">
        <f>100751000</f>
        <v>100751000</v>
      </c>
      <c r="X132" s="34">
        <f>12</f>
        <v>12</v>
      </c>
    </row>
    <row r="133" spans="1:24">
      <c r="A133" s="25" t="s">
        <v>1238</v>
      </c>
      <c r="B133" s="25" t="s">
        <v>357</v>
      </c>
      <c r="C133" s="25" t="s">
        <v>902</v>
      </c>
      <c r="D133" s="25" t="s">
        <v>903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3476</f>
        <v>3476</v>
      </c>
      <c r="L133" s="32" t="s">
        <v>1239</v>
      </c>
      <c r="M133" s="31">
        <f>3476</f>
        <v>3476</v>
      </c>
      <c r="N133" s="32" t="s">
        <v>1239</v>
      </c>
      <c r="O133" s="31">
        <f>2888</f>
        <v>2888</v>
      </c>
      <c r="P133" s="32" t="s">
        <v>1079</v>
      </c>
      <c r="Q133" s="31">
        <f>3437</f>
        <v>3437</v>
      </c>
      <c r="R133" s="32" t="s">
        <v>755</v>
      </c>
      <c r="S133" s="33">
        <f>3272.75</f>
        <v>3272.75</v>
      </c>
      <c r="T133" s="39">
        <f>247410</f>
        <v>247410</v>
      </c>
      <c r="U133" s="30">
        <f>137140</f>
        <v>137140</v>
      </c>
      <c r="V133" s="30">
        <f>765934580</f>
        <v>765934580</v>
      </c>
      <c r="W133" s="30">
        <f>410890280</f>
        <v>410890280</v>
      </c>
      <c r="X133" s="34">
        <f>20</f>
        <v>20</v>
      </c>
    </row>
    <row r="134" spans="1:24">
      <c r="A134" s="25" t="s">
        <v>1238</v>
      </c>
      <c r="B134" s="25" t="s">
        <v>358</v>
      </c>
      <c r="C134" s="25" t="s">
        <v>904</v>
      </c>
      <c r="D134" s="25" t="s">
        <v>905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1867.5</f>
        <v>1867.5</v>
      </c>
      <c r="L134" s="32" t="s">
        <v>1079</v>
      </c>
      <c r="M134" s="31">
        <f>2023</f>
        <v>2023</v>
      </c>
      <c r="N134" s="32" t="s">
        <v>662</v>
      </c>
      <c r="O134" s="31">
        <f>1867.5</f>
        <v>1867.5</v>
      </c>
      <c r="P134" s="32" t="s">
        <v>1079</v>
      </c>
      <c r="Q134" s="31">
        <f>2023</f>
        <v>2023</v>
      </c>
      <c r="R134" s="32" t="s">
        <v>662</v>
      </c>
      <c r="S134" s="33">
        <f>1945.25</f>
        <v>1945.25</v>
      </c>
      <c r="T134" s="39">
        <f>50</f>
        <v>50</v>
      </c>
      <c r="U134" s="30" t="str">
        <f>"－"</f>
        <v>－</v>
      </c>
      <c r="V134" s="30">
        <f>99465</f>
        <v>99465</v>
      </c>
      <c r="W134" s="30" t="str">
        <f>"－"</f>
        <v>－</v>
      </c>
      <c r="X134" s="34">
        <f>2</f>
        <v>2</v>
      </c>
    </row>
    <row r="135" spans="1:24">
      <c r="A135" s="25" t="s">
        <v>1238</v>
      </c>
      <c r="B135" s="25" t="s">
        <v>359</v>
      </c>
      <c r="C135" s="25" t="s">
        <v>360</v>
      </c>
      <c r="D135" s="25" t="s">
        <v>361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10</v>
      </c>
      <c r="K135" s="31">
        <f>603.5</f>
        <v>603.5</v>
      </c>
      <c r="L135" s="32" t="s">
        <v>1239</v>
      </c>
      <c r="M135" s="31">
        <f>608.4</f>
        <v>608.4</v>
      </c>
      <c r="N135" s="32" t="s">
        <v>1240</v>
      </c>
      <c r="O135" s="31">
        <f>505.4</f>
        <v>505.4</v>
      </c>
      <c r="P135" s="32" t="s">
        <v>852</v>
      </c>
      <c r="Q135" s="31">
        <f>570</f>
        <v>570</v>
      </c>
      <c r="R135" s="32" t="s">
        <v>755</v>
      </c>
      <c r="S135" s="33">
        <f>556.3</f>
        <v>556.29999999999995</v>
      </c>
      <c r="T135" s="39">
        <f>115346070</f>
        <v>115346070</v>
      </c>
      <c r="U135" s="30">
        <f>3184820</f>
        <v>3184820</v>
      </c>
      <c r="V135" s="30">
        <f>63042076385</f>
        <v>63042076385</v>
      </c>
      <c r="W135" s="30">
        <f>1749315827</f>
        <v>1749315827</v>
      </c>
      <c r="X135" s="34">
        <f>21</f>
        <v>21</v>
      </c>
    </row>
    <row r="136" spans="1:24">
      <c r="A136" s="25" t="s">
        <v>1238</v>
      </c>
      <c r="B136" s="25" t="s">
        <v>362</v>
      </c>
      <c r="C136" s="25" t="s">
        <v>363</v>
      </c>
      <c r="D136" s="25" t="s">
        <v>364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10</v>
      </c>
      <c r="K136" s="31">
        <f>299.2</f>
        <v>299.2</v>
      </c>
      <c r="L136" s="32" t="s">
        <v>1239</v>
      </c>
      <c r="M136" s="31">
        <f>302.3</f>
        <v>302.3</v>
      </c>
      <c r="N136" s="32" t="s">
        <v>1079</v>
      </c>
      <c r="O136" s="31">
        <f>274.2</f>
        <v>274.2</v>
      </c>
      <c r="P136" s="32" t="s">
        <v>850</v>
      </c>
      <c r="Q136" s="31">
        <f>285.1</f>
        <v>285.10000000000002</v>
      </c>
      <c r="R136" s="32" t="s">
        <v>755</v>
      </c>
      <c r="S136" s="33">
        <f>286.88</f>
        <v>286.88</v>
      </c>
      <c r="T136" s="39">
        <f>16876780</f>
        <v>16876780</v>
      </c>
      <c r="U136" s="30">
        <f>12960520</f>
        <v>12960520</v>
      </c>
      <c r="V136" s="30">
        <f>4953873335</f>
        <v>4953873335</v>
      </c>
      <c r="W136" s="30">
        <f>3829714171</f>
        <v>3829714171</v>
      </c>
      <c r="X136" s="34">
        <f>21</f>
        <v>21</v>
      </c>
    </row>
    <row r="137" spans="1:24">
      <c r="A137" s="25" t="s">
        <v>1238</v>
      </c>
      <c r="B137" s="25" t="s">
        <v>365</v>
      </c>
      <c r="C137" s="25" t="s">
        <v>945</v>
      </c>
      <c r="D137" s="25" t="s">
        <v>366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5050</f>
        <v>5050</v>
      </c>
      <c r="L137" s="32" t="s">
        <v>1239</v>
      </c>
      <c r="M137" s="31">
        <f>5100</f>
        <v>5100</v>
      </c>
      <c r="N137" s="32" t="s">
        <v>1240</v>
      </c>
      <c r="O137" s="31">
        <f>4300</f>
        <v>4300</v>
      </c>
      <c r="P137" s="32" t="s">
        <v>852</v>
      </c>
      <c r="Q137" s="31">
        <f>4845</f>
        <v>4845</v>
      </c>
      <c r="R137" s="32" t="s">
        <v>755</v>
      </c>
      <c r="S137" s="33">
        <f>4701.43</f>
        <v>4701.43</v>
      </c>
      <c r="T137" s="39">
        <f>103789</f>
        <v>103789</v>
      </c>
      <c r="U137" s="30">
        <f>1361</f>
        <v>1361</v>
      </c>
      <c r="V137" s="30">
        <f>478057932</f>
        <v>478057932</v>
      </c>
      <c r="W137" s="30">
        <f>5939942</f>
        <v>5939942</v>
      </c>
      <c r="X137" s="34">
        <f>21</f>
        <v>21</v>
      </c>
    </row>
    <row r="138" spans="1:24">
      <c r="A138" s="25" t="s">
        <v>1238</v>
      </c>
      <c r="B138" s="25" t="s">
        <v>367</v>
      </c>
      <c r="C138" s="25" t="s">
        <v>368</v>
      </c>
      <c r="D138" s="25" t="s">
        <v>369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2715</f>
        <v>2715</v>
      </c>
      <c r="L138" s="32" t="s">
        <v>1239</v>
      </c>
      <c r="M138" s="31">
        <f>2745</f>
        <v>2745</v>
      </c>
      <c r="N138" s="32" t="s">
        <v>1239</v>
      </c>
      <c r="O138" s="31">
        <f>2338</f>
        <v>2338</v>
      </c>
      <c r="P138" s="32" t="s">
        <v>852</v>
      </c>
      <c r="Q138" s="31">
        <f>2590</f>
        <v>2590</v>
      </c>
      <c r="R138" s="32" t="s">
        <v>755</v>
      </c>
      <c r="S138" s="33">
        <f>2552.95</f>
        <v>2552.9499999999998</v>
      </c>
      <c r="T138" s="39">
        <f>231660</f>
        <v>231660</v>
      </c>
      <c r="U138" s="30">
        <f>83926</f>
        <v>83926</v>
      </c>
      <c r="V138" s="30">
        <f>591575579</f>
        <v>591575579</v>
      </c>
      <c r="W138" s="30">
        <f>214905902</f>
        <v>214905902</v>
      </c>
      <c r="X138" s="34">
        <f>21</f>
        <v>21</v>
      </c>
    </row>
    <row r="139" spans="1:24">
      <c r="A139" s="25" t="s">
        <v>1238</v>
      </c>
      <c r="B139" s="25" t="s">
        <v>370</v>
      </c>
      <c r="C139" s="25" t="s">
        <v>371</v>
      </c>
      <c r="D139" s="25" t="s">
        <v>372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3185</f>
        <v>3185</v>
      </c>
      <c r="L139" s="32" t="s">
        <v>1239</v>
      </c>
      <c r="M139" s="31">
        <f>3210</f>
        <v>3210</v>
      </c>
      <c r="N139" s="32" t="s">
        <v>1240</v>
      </c>
      <c r="O139" s="31">
        <f>2652</f>
        <v>2652</v>
      </c>
      <c r="P139" s="32" t="s">
        <v>852</v>
      </c>
      <c r="Q139" s="31">
        <f>2949</f>
        <v>2949</v>
      </c>
      <c r="R139" s="32" t="s">
        <v>755</v>
      </c>
      <c r="S139" s="33">
        <f>2916.62</f>
        <v>2916.62</v>
      </c>
      <c r="T139" s="39">
        <f>425912</f>
        <v>425912</v>
      </c>
      <c r="U139" s="30" t="str">
        <f>"－"</f>
        <v>－</v>
      </c>
      <c r="V139" s="30">
        <f>1239319925</f>
        <v>1239319925</v>
      </c>
      <c r="W139" s="30" t="str">
        <f>"－"</f>
        <v>－</v>
      </c>
      <c r="X139" s="34">
        <f>21</f>
        <v>21</v>
      </c>
    </row>
    <row r="140" spans="1:24">
      <c r="A140" s="25" t="s">
        <v>1238</v>
      </c>
      <c r="B140" s="25" t="s">
        <v>373</v>
      </c>
      <c r="C140" s="25" t="s">
        <v>374</v>
      </c>
      <c r="D140" s="25" t="s">
        <v>375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9977</f>
        <v>9977</v>
      </c>
      <c r="L140" s="32" t="s">
        <v>1239</v>
      </c>
      <c r="M140" s="31">
        <f>10030</f>
        <v>10030</v>
      </c>
      <c r="N140" s="32" t="s">
        <v>1239</v>
      </c>
      <c r="O140" s="31">
        <f>9401</f>
        <v>9401</v>
      </c>
      <c r="P140" s="32" t="s">
        <v>1079</v>
      </c>
      <c r="Q140" s="31">
        <f>9815</f>
        <v>9815</v>
      </c>
      <c r="R140" s="32" t="s">
        <v>755</v>
      </c>
      <c r="S140" s="33">
        <f>9788.76</f>
        <v>9788.76</v>
      </c>
      <c r="T140" s="39">
        <f>127897</f>
        <v>127897</v>
      </c>
      <c r="U140" s="30">
        <f>46190</f>
        <v>46190</v>
      </c>
      <c r="V140" s="30">
        <f>1252315669</f>
        <v>1252315669</v>
      </c>
      <c r="W140" s="30">
        <f>457431819</f>
        <v>457431819</v>
      </c>
      <c r="X140" s="34">
        <f>21</f>
        <v>21</v>
      </c>
    </row>
    <row r="141" spans="1:24">
      <c r="A141" s="25" t="s">
        <v>1238</v>
      </c>
      <c r="B141" s="25" t="s">
        <v>376</v>
      </c>
      <c r="C141" s="25" t="s">
        <v>377</v>
      </c>
      <c r="D141" s="25" t="s">
        <v>378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</v>
      </c>
      <c r="K141" s="31">
        <f>3165</f>
        <v>3165</v>
      </c>
      <c r="L141" s="32" t="s">
        <v>1239</v>
      </c>
      <c r="M141" s="31">
        <f>3185</f>
        <v>3185</v>
      </c>
      <c r="N141" s="32" t="s">
        <v>1239</v>
      </c>
      <c r="O141" s="31">
        <f>2443</f>
        <v>2443</v>
      </c>
      <c r="P141" s="32" t="s">
        <v>852</v>
      </c>
      <c r="Q141" s="31">
        <f>2568</f>
        <v>2568</v>
      </c>
      <c r="R141" s="32" t="s">
        <v>755</v>
      </c>
      <c r="S141" s="33">
        <f>2725.24</f>
        <v>2725.24</v>
      </c>
      <c r="T141" s="39">
        <f>3465393</f>
        <v>3465393</v>
      </c>
      <c r="U141" s="30">
        <f>324</f>
        <v>324</v>
      </c>
      <c r="V141" s="30">
        <f>9281619440</f>
        <v>9281619440</v>
      </c>
      <c r="W141" s="30">
        <f>916720</f>
        <v>916720</v>
      </c>
      <c r="X141" s="34">
        <f>21</f>
        <v>21</v>
      </c>
    </row>
    <row r="142" spans="1:24">
      <c r="A142" s="25" t="s">
        <v>1238</v>
      </c>
      <c r="B142" s="25" t="s">
        <v>379</v>
      </c>
      <c r="C142" s="25" t="s">
        <v>380</v>
      </c>
      <c r="D142" s="25" t="s">
        <v>381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43700</f>
        <v>43700</v>
      </c>
      <c r="L142" s="32" t="s">
        <v>1239</v>
      </c>
      <c r="M142" s="31">
        <f>45850</f>
        <v>45850</v>
      </c>
      <c r="N142" s="32" t="s">
        <v>850</v>
      </c>
      <c r="O142" s="31">
        <f>40130</f>
        <v>40130</v>
      </c>
      <c r="P142" s="32" t="s">
        <v>1079</v>
      </c>
      <c r="Q142" s="31">
        <f>43930</f>
        <v>43930</v>
      </c>
      <c r="R142" s="32" t="s">
        <v>755</v>
      </c>
      <c r="S142" s="33">
        <f>43338.57</f>
        <v>43338.57</v>
      </c>
      <c r="T142" s="39">
        <f>30763</f>
        <v>30763</v>
      </c>
      <c r="U142" s="30" t="str">
        <f>"－"</f>
        <v>－</v>
      </c>
      <c r="V142" s="30">
        <f>1329556900</f>
        <v>1329556900</v>
      </c>
      <c r="W142" s="30" t="str">
        <f>"－"</f>
        <v>－</v>
      </c>
      <c r="X142" s="34">
        <f>21</f>
        <v>21</v>
      </c>
    </row>
    <row r="143" spans="1:24">
      <c r="A143" s="25" t="s">
        <v>1238</v>
      </c>
      <c r="B143" s="25" t="s">
        <v>382</v>
      </c>
      <c r="C143" s="25" t="s">
        <v>383</v>
      </c>
      <c r="D143" s="25" t="s">
        <v>384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10</v>
      </c>
      <c r="K143" s="31">
        <f>4680</f>
        <v>4680</v>
      </c>
      <c r="L143" s="32" t="s">
        <v>1239</v>
      </c>
      <c r="M143" s="31">
        <f>4720</f>
        <v>4720</v>
      </c>
      <c r="N143" s="32" t="s">
        <v>1239</v>
      </c>
      <c r="O143" s="31">
        <f>3696</f>
        <v>3696</v>
      </c>
      <c r="P143" s="32" t="s">
        <v>1079</v>
      </c>
      <c r="Q143" s="31">
        <f>4293</f>
        <v>4293</v>
      </c>
      <c r="R143" s="32" t="s">
        <v>755</v>
      </c>
      <c r="S143" s="33">
        <f>4265.76</f>
        <v>4265.76</v>
      </c>
      <c r="T143" s="39">
        <f>121370</f>
        <v>121370</v>
      </c>
      <c r="U143" s="30" t="str">
        <f>"－"</f>
        <v>－</v>
      </c>
      <c r="V143" s="30">
        <f>515027190</f>
        <v>515027190</v>
      </c>
      <c r="W143" s="30" t="str">
        <f>"－"</f>
        <v>－</v>
      </c>
      <c r="X143" s="34">
        <f>21</f>
        <v>21</v>
      </c>
    </row>
    <row r="144" spans="1:24">
      <c r="A144" s="25" t="s">
        <v>1238</v>
      </c>
      <c r="B144" s="25" t="s">
        <v>385</v>
      </c>
      <c r="C144" s="25" t="s">
        <v>386</v>
      </c>
      <c r="D144" s="25" t="s">
        <v>387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13800</f>
        <v>13800</v>
      </c>
      <c r="L144" s="32" t="s">
        <v>1239</v>
      </c>
      <c r="M144" s="31">
        <f>13800</f>
        <v>13800</v>
      </c>
      <c r="N144" s="32" t="s">
        <v>1239</v>
      </c>
      <c r="O144" s="31">
        <f>12015</f>
        <v>12015</v>
      </c>
      <c r="P144" s="32" t="s">
        <v>1079</v>
      </c>
      <c r="Q144" s="31">
        <f>12850</f>
        <v>12850</v>
      </c>
      <c r="R144" s="32" t="s">
        <v>755</v>
      </c>
      <c r="S144" s="33">
        <f>12707.86</f>
        <v>12707.86</v>
      </c>
      <c r="T144" s="39">
        <f>10532</f>
        <v>10532</v>
      </c>
      <c r="U144" s="30" t="str">
        <f>"－"</f>
        <v>－</v>
      </c>
      <c r="V144" s="30">
        <f>134776830</f>
        <v>134776830</v>
      </c>
      <c r="W144" s="30" t="str">
        <f>"－"</f>
        <v>－</v>
      </c>
      <c r="X144" s="34">
        <f>21</f>
        <v>21</v>
      </c>
    </row>
    <row r="145" spans="1:24">
      <c r="A145" s="25" t="s">
        <v>1238</v>
      </c>
      <c r="B145" s="25" t="s">
        <v>388</v>
      </c>
      <c r="C145" s="25" t="s">
        <v>389</v>
      </c>
      <c r="D145" s="25" t="s">
        <v>390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</v>
      </c>
      <c r="K145" s="31">
        <f>13775</f>
        <v>13775</v>
      </c>
      <c r="L145" s="32" t="s">
        <v>1239</v>
      </c>
      <c r="M145" s="31">
        <f>13775</f>
        <v>13775</v>
      </c>
      <c r="N145" s="32" t="s">
        <v>1239</v>
      </c>
      <c r="O145" s="31">
        <f>12000</f>
        <v>12000</v>
      </c>
      <c r="P145" s="32" t="s">
        <v>850</v>
      </c>
      <c r="Q145" s="31">
        <f>12260</f>
        <v>12260</v>
      </c>
      <c r="R145" s="32" t="s">
        <v>755</v>
      </c>
      <c r="S145" s="33">
        <f>12544.52</f>
        <v>12544.52</v>
      </c>
      <c r="T145" s="39">
        <f>20542</f>
        <v>20542</v>
      </c>
      <c r="U145" s="30" t="str">
        <f>"－"</f>
        <v>－</v>
      </c>
      <c r="V145" s="30">
        <f>256838825</f>
        <v>256838825</v>
      </c>
      <c r="W145" s="30" t="str">
        <f>"－"</f>
        <v>－</v>
      </c>
      <c r="X145" s="34">
        <f>21</f>
        <v>21</v>
      </c>
    </row>
    <row r="146" spans="1:24">
      <c r="A146" s="25" t="s">
        <v>1238</v>
      </c>
      <c r="B146" s="25" t="s">
        <v>391</v>
      </c>
      <c r="C146" s="25" t="s">
        <v>392</v>
      </c>
      <c r="D146" s="25" t="s">
        <v>393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</v>
      </c>
      <c r="K146" s="31">
        <f>28100</f>
        <v>28100</v>
      </c>
      <c r="L146" s="32" t="s">
        <v>1239</v>
      </c>
      <c r="M146" s="31">
        <f>28100</f>
        <v>28100</v>
      </c>
      <c r="N146" s="32" t="s">
        <v>1239</v>
      </c>
      <c r="O146" s="31">
        <f>24005</f>
        <v>24005</v>
      </c>
      <c r="P146" s="32" t="s">
        <v>1079</v>
      </c>
      <c r="Q146" s="31">
        <f>27785</f>
        <v>27785</v>
      </c>
      <c r="R146" s="32" t="s">
        <v>755</v>
      </c>
      <c r="S146" s="33">
        <f>26864</f>
        <v>26864</v>
      </c>
      <c r="T146" s="39">
        <f>959</f>
        <v>959</v>
      </c>
      <c r="U146" s="30" t="str">
        <f>"－"</f>
        <v>－</v>
      </c>
      <c r="V146" s="30">
        <f>25560905</f>
        <v>25560905</v>
      </c>
      <c r="W146" s="30" t="str">
        <f>"－"</f>
        <v>－</v>
      </c>
      <c r="X146" s="34">
        <f>20</f>
        <v>20</v>
      </c>
    </row>
    <row r="147" spans="1:24">
      <c r="A147" s="25" t="s">
        <v>1238</v>
      </c>
      <c r="B147" s="25" t="s">
        <v>394</v>
      </c>
      <c r="C147" s="25" t="s">
        <v>395</v>
      </c>
      <c r="D147" s="25" t="s">
        <v>396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55360</f>
        <v>55360</v>
      </c>
      <c r="L147" s="32" t="s">
        <v>1239</v>
      </c>
      <c r="M147" s="31">
        <f>55360</f>
        <v>55360</v>
      </c>
      <c r="N147" s="32" t="s">
        <v>1239</v>
      </c>
      <c r="O147" s="31">
        <f>52840</f>
        <v>52840</v>
      </c>
      <c r="P147" s="32" t="s">
        <v>850</v>
      </c>
      <c r="Q147" s="31">
        <f>53980</f>
        <v>53980</v>
      </c>
      <c r="R147" s="32" t="s">
        <v>755</v>
      </c>
      <c r="S147" s="33">
        <f>54054</f>
        <v>54054</v>
      </c>
      <c r="T147" s="39">
        <f>6870</f>
        <v>6870</v>
      </c>
      <c r="U147" s="30">
        <f>3780</f>
        <v>3780</v>
      </c>
      <c r="V147" s="30">
        <f>369467934</f>
        <v>369467934</v>
      </c>
      <c r="W147" s="30">
        <f>201942534</f>
        <v>201942534</v>
      </c>
      <c r="X147" s="34">
        <f>20</f>
        <v>20</v>
      </c>
    </row>
    <row r="148" spans="1:24">
      <c r="A148" s="25" t="s">
        <v>1238</v>
      </c>
      <c r="B148" s="25" t="s">
        <v>397</v>
      </c>
      <c r="C148" s="25" t="s">
        <v>946</v>
      </c>
      <c r="D148" s="25" t="s">
        <v>398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10</v>
      </c>
      <c r="K148" s="31">
        <f>340.6</f>
        <v>340.6</v>
      </c>
      <c r="L148" s="32" t="s">
        <v>1239</v>
      </c>
      <c r="M148" s="31">
        <f>341.7</f>
        <v>341.7</v>
      </c>
      <c r="N148" s="32" t="s">
        <v>1239</v>
      </c>
      <c r="O148" s="31">
        <f>297</f>
        <v>297</v>
      </c>
      <c r="P148" s="32" t="s">
        <v>1079</v>
      </c>
      <c r="Q148" s="31">
        <f>337.9</f>
        <v>337.9</v>
      </c>
      <c r="R148" s="32" t="s">
        <v>755</v>
      </c>
      <c r="S148" s="33">
        <f>327.69</f>
        <v>327.69</v>
      </c>
      <c r="T148" s="39">
        <f>46570360</f>
        <v>46570360</v>
      </c>
      <c r="U148" s="30">
        <f>150430</f>
        <v>150430</v>
      </c>
      <c r="V148" s="30">
        <f>15153051777</f>
        <v>15153051777</v>
      </c>
      <c r="W148" s="30">
        <f>49733854</f>
        <v>49733854</v>
      </c>
      <c r="X148" s="34">
        <f>21</f>
        <v>21</v>
      </c>
    </row>
    <row r="149" spans="1:24">
      <c r="A149" s="25" t="s">
        <v>1238</v>
      </c>
      <c r="B149" s="25" t="s">
        <v>399</v>
      </c>
      <c r="C149" s="25" t="s">
        <v>947</v>
      </c>
      <c r="D149" s="25" t="s">
        <v>400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10</v>
      </c>
      <c r="K149" s="31">
        <f>51500</f>
        <v>51500</v>
      </c>
      <c r="L149" s="32" t="s">
        <v>1239</v>
      </c>
      <c r="M149" s="31">
        <f>51500</f>
        <v>51500</v>
      </c>
      <c r="N149" s="32" t="s">
        <v>1239</v>
      </c>
      <c r="O149" s="31">
        <f>43850</f>
        <v>43850</v>
      </c>
      <c r="P149" s="32" t="s">
        <v>852</v>
      </c>
      <c r="Q149" s="31">
        <f>47360</f>
        <v>47360</v>
      </c>
      <c r="R149" s="32" t="s">
        <v>755</v>
      </c>
      <c r="S149" s="33">
        <f>47012.5</f>
        <v>47012.5</v>
      </c>
      <c r="T149" s="39">
        <f>2930</f>
        <v>2930</v>
      </c>
      <c r="U149" s="30">
        <f>10</f>
        <v>10</v>
      </c>
      <c r="V149" s="30">
        <f>136247400</f>
        <v>136247400</v>
      </c>
      <c r="W149" s="30">
        <f>467700</f>
        <v>467700</v>
      </c>
      <c r="X149" s="34">
        <f>20</f>
        <v>20</v>
      </c>
    </row>
    <row r="150" spans="1:24">
      <c r="A150" s="25" t="s">
        <v>1238</v>
      </c>
      <c r="B150" s="25" t="s">
        <v>401</v>
      </c>
      <c r="C150" s="25" t="s">
        <v>402</v>
      </c>
      <c r="D150" s="25" t="s">
        <v>948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</v>
      </c>
      <c r="K150" s="31">
        <f>5777</f>
        <v>5777</v>
      </c>
      <c r="L150" s="32" t="s">
        <v>1239</v>
      </c>
      <c r="M150" s="31">
        <f>5826</f>
        <v>5826</v>
      </c>
      <c r="N150" s="32" t="s">
        <v>1240</v>
      </c>
      <c r="O150" s="31">
        <f>4828</f>
        <v>4828</v>
      </c>
      <c r="P150" s="32" t="s">
        <v>1079</v>
      </c>
      <c r="Q150" s="31">
        <f>5500</f>
        <v>5500</v>
      </c>
      <c r="R150" s="32" t="s">
        <v>755</v>
      </c>
      <c r="S150" s="33">
        <f>5351.19</f>
        <v>5351.19</v>
      </c>
      <c r="T150" s="39">
        <f>103106</f>
        <v>103106</v>
      </c>
      <c r="U150" s="30">
        <f>10</f>
        <v>10</v>
      </c>
      <c r="V150" s="30">
        <f>542972051</f>
        <v>542972051</v>
      </c>
      <c r="W150" s="30">
        <f>57680</f>
        <v>57680</v>
      </c>
      <c r="X150" s="34">
        <f>21</f>
        <v>21</v>
      </c>
    </row>
    <row r="151" spans="1:24">
      <c r="A151" s="25" t="s">
        <v>1238</v>
      </c>
      <c r="B151" s="25" t="s">
        <v>403</v>
      </c>
      <c r="C151" s="25" t="s">
        <v>949</v>
      </c>
      <c r="D151" s="25" t="s">
        <v>950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</v>
      </c>
      <c r="K151" s="31">
        <f>2058</f>
        <v>2058</v>
      </c>
      <c r="L151" s="32" t="s">
        <v>1239</v>
      </c>
      <c r="M151" s="31">
        <f>2090</f>
        <v>2090</v>
      </c>
      <c r="N151" s="32" t="s">
        <v>1240</v>
      </c>
      <c r="O151" s="31">
        <f>1717</f>
        <v>1717</v>
      </c>
      <c r="P151" s="32" t="s">
        <v>852</v>
      </c>
      <c r="Q151" s="31">
        <f>1960</f>
        <v>1960</v>
      </c>
      <c r="R151" s="32" t="s">
        <v>755</v>
      </c>
      <c r="S151" s="33">
        <f>1915.1</f>
        <v>1915.1</v>
      </c>
      <c r="T151" s="39">
        <f>110543</f>
        <v>110543</v>
      </c>
      <c r="U151" s="30">
        <f>8860</f>
        <v>8860</v>
      </c>
      <c r="V151" s="30">
        <f>211780816</f>
        <v>211780816</v>
      </c>
      <c r="W151" s="30">
        <f>17414880</f>
        <v>17414880</v>
      </c>
      <c r="X151" s="34">
        <f>21</f>
        <v>21</v>
      </c>
    </row>
    <row r="152" spans="1:24">
      <c r="A152" s="25" t="s">
        <v>1238</v>
      </c>
      <c r="B152" s="25" t="s">
        <v>404</v>
      </c>
      <c r="C152" s="25" t="s">
        <v>405</v>
      </c>
      <c r="D152" s="25" t="s">
        <v>406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1765</f>
        <v>1765</v>
      </c>
      <c r="L152" s="32" t="s">
        <v>1239</v>
      </c>
      <c r="M152" s="31">
        <f>2178</f>
        <v>2178</v>
      </c>
      <c r="N152" s="32" t="s">
        <v>852</v>
      </c>
      <c r="O152" s="31">
        <f>1553</f>
        <v>1553</v>
      </c>
      <c r="P152" s="32" t="s">
        <v>852</v>
      </c>
      <c r="Q152" s="31">
        <f>1699.5</f>
        <v>1699.5</v>
      </c>
      <c r="R152" s="32" t="s">
        <v>1078</v>
      </c>
      <c r="S152" s="33">
        <f>1674.15</f>
        <v>1674.15</v>
      </c>
      <c r="T152" s="39">
        <f>3740</f>
        <v>3740</v>
      </c>
      <c r="U152" s="30" t="str">
        <f t="shared" ref="U152:U165" si="0">"－"</f>
        <v>－</v>
      </c>
      <c r="V152" s="30">
        <f>6296395</f>
        <v>6296395</v>
      </c>
      <c r="W152" s="30" t="str">
        <f t="shared" ref="W152:W165" si="1">"－"</f>
        <v>－</v>
      </c>
      <c r="X152" s="34">
        <f>20</f>
        <v>20</v>
      </c>
    </row>
    <row r="153" spans="1:24">
      <c r="A153" s="25" t="s">
        <v>1238</v>
      </c>
      <c r="B153" s="25" t="s">
        <v>407</v>
      </c>
      <c r="C153" s="25" t="s">
        <v>408</v>
      </c>
      <c r="D153" s="25" t="s">
        <v>409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579</f>
        <v>579</v>
      </c>
      <c r="L153" s="32" t="s">
        <v>1239</v>
      </c>
      <c r="M153" s="31">
        <f>599.8</f>
        <v>599.79999999999995</v>
      </c>
      <c r="N153" s="32" t="s">
        <v>1204</v>
      </c>
      <c r="O153" s="31">
        <f>469</f>
        <v>469</v>
      </c>
      <c r="P153" s="32" t="s">
        <v>852</v>
      </c>
      <c r="Q153" s="31">
        <f>474.1</f>
        <v>474.1</v>
      </c>
      <c r="R153" s="32" t="s">
        <v>755</v>
      </c>
      <c r="S153" s="33">
        <f>502.55</f>
        <v>502.55</v>
      </c>
      <c r="T153" s="39">
        <f>29230</f>
        <v>29230</v>
      </c>
      <c r="U153" s="30" t="str">
        <f t="shared" si="0"/>
        <v>－</v>
      </c>
      <c r="V153" s="30">
        <f>14365517</f>
        <v>14365517</v>
      </c>
      <c r="W153" s="30" t="str">
        <f t="shared" si="1"/>
        <v>－</v>
      </c>
      <c r="X153" s="34">
        <f>20</f>
        <v>20</v>
      </c>
    </row>
    <row r="154" spans="1:24">
      <c r="A154" s="25" t="s">
        <v>1238</v>
      </c>
      <c r="B154" s="25" t="s">
        <v>410</v>
      </c>
      <c r="C154" s="25" t="s">
        <v>411</v>
      </c>
      <c r="D154" s="25" t="s">
        <v>412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2403.5</f>
        <v>2403.5</v>
      </c>
      <c r="L154" s="32" t="s">
        <v>1239</v>
      </c>
      <c r="M154" s="31">
        <f>2403.5</f>
        <v>2403.5</v>
      </c>
      <c r="N154" s="32" t="s">
        <v>1239</v>
      </c>
      <c r="O154" s="31">
        <f>2039</f>
        <v>2039</v>
      </c>
      <c r="P154" s="32" t="s">
        <v>852</v>
      </c>
      <c r="Q154" s="31">
        <f>2179</f>
        <v>2179</v>
      </c>
      <c r="R154" s="32" t="s">
        <v>755</v>
      </c>
      <c r="S154" s="33">
        <f>2205.56</f>
        <v>2205.56</v>
      </c>
      <c r="T154" s="39">
        <f>2310</f>
        <v>2310</v>
      </c>
      <c r="U154" s="30" t="str">
        <f t="shared" si="0"/>
        <v>－</v>
      </c>
      <c r="V154" s="30">
        <f>5069305</f>
        <v>5069305</v>
      </c>
      <c r="W154" s="30" t="str">
        <f t="shared" si="1"/>
        <v>－</v>
      </c>
      <c r="X154" s="34">
        <f>17</f>
        <v>17</v>
      </c>
    </row>
    <row r="155" spans="1:24">
      <c r="A155" s="25" t="s">
        <v>1238</v>
      </c>
      <c r="B155" s="25" t="s">
        <v>413</v>
      </c>
      <c r="C155" s="25" t="s">
        <v>414</v>
      </c>
      <c r="D155" s="25" t="s">
        <v>415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10</v>
      </c>
      <c r="K155" s="31">
        <f>924.8</f>
        <v>924.8</v>
      </c>
      <c r="L155" s="32" t="s">
        <v>1239</v>
      </c>
      <c r="M155" s="31">
        <f>942.5</f>
        <v>942.5</v>
      </c>
      <c r="N155" s="32" t="s">
        <v>1240</v>
      </c>
      <c r="O155" s="31">
        <f>865</f>
        <v>865</v>
      </c>
      <c r="P155" s="32" t="s">
        <v>1079</v>
      </c>
      <c r="Q155" s="31">
        <f>885.2</f>
        <v>885.2</v>
      </c>
      <c r="R155" s="32" t="s">
        <v>755</v>
      </c>
      <c r="S155" s="33">
        <f>898.93</f>
        <v>898.93</v>
      </c>
      <c r="T155" s="39">
        <f>33660</f>
        <v>33660</v>
      </c>
      <c r="U155" s="30" t="str">
        <f t="shared" si="0"/>
        <v>－</v>
      </c>
      <c r="V155" s="30">
        <f>30272806</f>
        <v>30272806</v>
      </c>
      <c r="W155" s="30" t="str">
        <f t="shared" si="1"/>
        <v>－</v>
      </c>
      <c r="X155" s="34">
        <f>21</f>
        <v>21</v>
      </c>
    </row>
    <row r="156" spans="1:24">
      <c r="A156" s="25" t="s">
        <v>1238</v>
      </c>
      <c r="B156" s="25" t="s">
        <v>416</v>
      </c>
      <c r="C156" s="25" t="s">
        <v>417</v>
      </c>
      <c r="D156" s="25" t="s">
        <v>418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519.9</f>
        <v>519.9</v>
      </c>
      <c r="L156" s="32" t="s">
        <v>1239</v>
      </c>
      <c r="M156" s="31">
        <f>526</f>
        <v>526</v>
      </c>
      <c r="N156" s="32" t="s">
        <v>1220</v>
      </c>
      <c r="O156" s="31">
        <f>486.2</f>
        <v>486.2</v>
      </c>
      <c r="P156" s="32" t="s">
        <v>1079</v>
      </c>
      <c r="Q156" s="31">
        <f>491.9</f>
        <v>491.9</v>
      </c>
      <c r="R156" s="32" t="s">
        <v>755</v>
      </c>
      <c r="S156" s="33">
        <f>507.57</f>
        <v>507.57</v>
      </c>
      <c r="T156" s="39">
        <f>249610</f>
        <v>249610</v>
      </c>
      <c r="U156" s="30" t="str">
        <f t="shared" si="0"/>
        <v>－</v>
      </c>
      <c r="V156" s="30">
        <f>127120841</f>
        <v>127120841</v>
      </c>
      <c r="W156" s="30" t="str">
        <f t="shared" si="1"/>
        <v>－</v>
      </c>
      <c r="X156" s="34">
        <f>21</f>
        <v>21</v>
      </c>
    </row>
    <row r="157" spans="1:24">
      <c r="A157" s="25" t="s">
        <v>1238</v>
      </c>
      <c r="B157" s="25" t="s">
        <v>419</v>
      </c>
      <c r="C157" s="25" t="s">
        <v>420</v>
      </c>
      <c r="D157" s="25" t="s">
        <v>421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1550</f>
        <v>1550</v>
      </c>
      <c r="L157" s="32" t="s">
        <v>1239</v>
      </c>
      <c r="M157" s="31">
        <f>1558</f>
        <v>1558</v>
      </c>
      <c r="N157" s="32" t="s">
        <v>1239</v>
      </c>
      <c r="O157" s="31">
        <f>1126</f>
        <v>1126</v>
      </c>
      <c r="P157" s="32" t="s">
        <v>850</v>
      </c>
      <c r="Q157" s="31">
        <f>1222</f>
        <v>1222</v>
      </c>
      <c r="R157" s="32" t="s">
        <v>755</v>
      </c>
      <c r="S157" s="33">
        <f>1281.52</f>
        <v>1281.52</v>
      </c>
      <c r="T157" s="39">
        <f>507866</f>
        <v>507866</v>
      </c>
      <c r="U157" s="30" t="str">
        <f t="shared" si="0"/>
        <v>－</v>
      </c>
      <c r="V157" s="30">
        <f>658333597</f>
        <v>658333597</v>
      </c>
      <c r="W157" s="30" t="str">
        <f t="shared" si="1"/>
        <v>－</v>
      </c>
      <c r="X157" s="34">
        <f>21</f>
        <v>21</v>
      </c>
    </row>
    <row r="158" spans="1:24">
      <c r="A158" s="25" t="s">
        <v>1238</v>
      </c>
      <c r="B158" s="25" t="s">
        <v>422</v>
      </c>
      <c r="C158" s="25" t="s">
        <v>423</v>
      </c>
      <c r="D158" s="25" t="s">
        <v>424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</v>
      </c>
      <c r="K158" s="31">
        <f>1525</f>
        <v>1525</v>
      </c>
      <c r="L158" s="32" t="s">
        <v>1239</v>
      </c>
      <c r="M158" s="31">
        <f>1525</f>
        <v>1525</v>
      </c>
      <c r="N158" s="32" t="s">
        <v>1239</v>
      </c>
      <c r="O158" s="31">
        <f>1172.5</f>
        <v>1172.5</v>
      </c>
      <c r="P158" s="32" t="s">
        <v>852</v>
      </c>
      <c r="Q158" s="31">
        <f>1218</f>
        <v>1218</v>
      </c>
      <c r="R158" s="32" t="s">
        <v>755</v>
      </c>
      <c r="S158" s="33">
        <f>1298.83</f>
        <v>1298.83</v>
      </c>
      <c r="T158" s="39">
        <f>74340</f>
        <v>74340</v>
      </c>
      <c r="U158" s="30" t="str">
        <f t="shared" si="0"/>
        <v>－</v>
      </c>
      <c r="V158" s="30">
        <f>94697575</f>
        <v>94697575</v>
      </c>
      <c r="W158" s="30" t="str">
        <f t="shared" si="1"/>
        <v>－</v>
      </c>
      <c r="X158" s="34">
        <f>21</f>
        <v>21</v>
      </c>
    </row>
    <row r="159" spans="1:24">
      <c r="A159" s="25" t="s">
        <v>1238</v>
      </c>
      <c r="B159" s="25" t="s">
        <v>425</v>
      </c>
      <c r="C159" s="25" t="s">
        <v>426</v>
      </c>
      <c r="D159" s="25" t="s">
        <v>427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</v>
      </c>
      <c r="K159" s="31">
        <f>8193</f>
        <v>8193</v>
      </c>
      <c r="L159" s="32" t="s">
        <v>1239</v>
      </c>
      <c r="M159" s="31">
        <f>8194</f>
        <v>8194</v>
      </c>
      <c r="N159" s="32" t="s">
        <v>1239</v>
      </c>
      <c r="O159" s="31">
        <f>6584</f>
        <v>6584</v>
      </c>
      <c r="P159" s="32" t="s">
        <v>852</v>
      </c>
      <c r="Q159" s="31">
        <f>6851</f>
        <v>6851</v>
      </c>
      <c r="R159" s="32" t="s">
        <v>755</v>
      </c>
      <c r="S159" s="33">
        <f>7118.81</f>
        <v>7118.81</v>
      </c>
      <c r="T159" s="39">
        <f>5899</f>
        <v>5899</v>
      </c>
      <c r="U159" s="30" t="str">
        <f t="shared" si="0"/>
        <v>－</v>
      </c>
      <c r="V159" s="30">
        <f>42024628</f>
        <v>42024628</v>
      </c>
      <c r="W159" s="30" t="str">
        <f t="shared" si="1"/>
        <v>－</v>
      </c>
      <c r="X159" s="34">
        <f>21</f>
        <v>21</v>
      </c>
    </row>
    <row r="160" spans="1:24">
      <c r="A160" s="25" t="s">
        <v>1238</v>
      </c>
      <c r="B160" s="25" t="s">
        <v>428</v>
      </c>
      <c r="C160" s="25" t="s">
        <v>429</v>
      </c>
      <c r="D160" s="25" t="s">
        <v>430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100</v>
      </c>
      <c r="K160" s="31">
        <f>514.8</f>
        <v>514.79999999999995</v>
      </c>
      <c r="L160" s="32" t="s">
        <v>1239</v>
      </c>
      <c r="M160" s="31">
        <f>514.8</f>
        <v>514.79999999999995</v>
      </c>
      <c r="N160" s="32" t="s">
        <v>1239</v>
      </c>
      <c r="O160" s="31">
        <f>427.6</f>
        <v>427.6</v>
      </c>
      <c r="P160" s="32" t="s">
        <v>1079</v>
      </c>
      <c r="Q160" s="31">
        <f>458</f>
        <v>458</v>
      </c>
      <c r="R160" s="32" t="s">
        <v>755</v>
      </c>
      <c r="S160" s="33">
        <f>453.9</f>
        <v>453.9</v>
      </c>
      <c r="T160" s="39">
        <f>51700</f>
        <v>51700</v>
      </c>
      <c r="U160" s="30" t="str">
        <f t="shared" si="0"/>
        <v>－</v>
      </c>
      <c r="V160" s="30">
        <f>23411310</f>
        <v>23411310</v>
      </c>
      <c r="W160" s="30" t="str">
        <f t="shared" si="1"/>
        <v>－</v>
      </c>
      <c r="X160" s="34">
        <f>20</f>
        <v>20</v>
      </c>
    </row>
    <row r="161" spans="1:24">
      <c r="A161" s="25" t="s">
        <v>1238</v>
      </c>
      <c r="B161" s="25" t="s">
        <v>431</v>
      </c>
      <c r="C161" s="25" t="s">
        <v>432</v>
      </c>
      <c r="D161" s="25" t="s">
        <v>433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10</v>
      </c>
      <c r="K161" s="31">
        <f>6789</f>
        <v>6789</v>
      </c>
      <c r="L161" s="32" t="s">
        <v>1239</v>
      </c>
      <c r="M161" s="31">
        <f>6831</f>
        <v>6831</v>
      </c>
      <c r="N161" s="32" t="s">
        <v>1239</v>
      </c>
      <c r="O161" s="31">
        <f>5313</f>
        <v>5313</v>
      </c>
      <c r="P161" s="32" t="s">
        <v>852</v>
      </c>
      <c r="Q161" s="31">
        <f>6062</f>
        <v>6062</v>
      </c>
      <c r="R161" s="32" t="s">
        <v>755</v>
      </c>
      <c r="S161" s="33">
        <f>6051.38</f>
        <v>6051.38</v>
      </c>
      <c r="T161" s="39">
        <f>153530</f>
        <v>153530</v>
      </c>
      <c r="U161" s="30" t="str">
        <f t="shared" si="0"/>
        <v>－</v>
      </c>
      <c r="V161" s="30">
        <f>905244130</f>
        <v>905244130</v>
      </c>
      <c r="W161" s="30" t="str">
        <f t="shared" si="1"/>
        <v>－</v>
      </c>
      <c r="X161" s="34">
        <f>21</f>
        <v>21</v>
      </c>
    </row>
    <row r="162" spans="1:24">
      <c r="A162" s="25" t="s">
        <v>1238</v>
      </c>
      <c r="B162" s="25" t="s">
        <v>434</v>
      </c>
      <c r="C162" s="25" t="s">
        <v>435</v>
      </c>
      <c r="D162" s="25" t="s">
        <v>436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10</v>
      </c>
      <c r="K162" s="31">
        <f>2133.5</f>
        <v>2133.5</v>
      </c>
      <c r="L162" s="32" t="s">
        <v>1239</v>
      </c>
      <c r="M162" s="31">
        <f>2165.5</f>
        <v>2165.5</v>
      </c>
      <c r="N162" s="32" t="s">
        <v>1240</v>
      </c>
      <c r="O162" s="31">
        <f>1780</f>
        <v>1780</v>
      </c>
      <c r="P162" s="32" t="s">
        <v>1079</v>
      </c>
      <c r="Q162" s="31">
        <f>1988</f>
        <v>1988</v>
      </c>
      <c r="R162" s="32" t="s">
        <v>755</v>
      </c>
      <c r="S162" s="33">
        <f>2001.45</f>
        <v>2001.45</v>
      </c>
      <c r="T162" s="39">
        <f>8000</f>
        <v>8000</v>
      </c>
      <c r="U162" s="30" t="str">
        <f t="shared" si="0"/>
        <v>－</v>
      </c>
      <c r="V162" s="30">
        <f>15650830</f>
        <v>15650830</v>
      </c>
      <c r="W162" s="30" t="str">
        <f t="shared" si="1"/>
        <v>－</v>
      </c>
      <c r="X162" s="34">
        <f>20</f>
        <v>20</v>
      </c>
    </row>
    <row r="163" spans="1:24">
      <c r="A163" s="25" t="s">
        <v>1238</v>
      </c>
      <c r="B163" s="25" t="s">
        <v>437</v>
      </c>
      <c r="C163" s="25" t="s">
        <v>438</v>
      </c>
      <c r="D163" s="25" t="s">
        <v>439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</v>
      </c>
      <c r="K163" s="31">
        <f>2976</f>
        <v>2976</v>
      </c>
      <c r="L163" s="32" t="s">
        <v>1239</v>
      </c>
      <c r="M163" s="31">
        <f>3020</f>
        <v>3020</v>
      </c>
      <c r="N163" s="32" t="s">
        <v>1240</v>
      </c>
      <c r="O163" s="31">
        <f>2706</f>
        <v>2706</v>
      </c>
      <c r="P163" s="32" t="s">
        <v>755</v>
      </c>
      <c r="Q163" s="31">
        <f>2707</f>
        <v>2707</v>
      </c>
      <c r="R163" s="32" t="s">
        <v>755</v>
      </c>
      <c r="S163" s="33">
        <f>2883.14</f>
        <v>2883.14</v>
      </c>
      <c r="T163" s="39">
        <f>370506</f>
        <v>370506</v>
      </c>
      <c r="U163" s="30" t="str">
        <f t="shared" si="0"/>
        <v>－</v>
      </c>
      <c r="V163" s="30">
        <f>1061725626</f>
        <v>1061725626</v>
      </c>
      <c r="W163" s="30" t="str">
        <f t="shared" si="1"/>
        <v>－</v>
      </c>
      <c r="X163" s="34">
        <f>21</f>
        <v>21</v>
      </c>
    </row>
    <row r="164" spans="1:24">
      <c r="A164" s="25" t="s">
        <v>1238</v>
      </c>
      <c r="B164" s="25" t="s">
        <v>440</v>
      </c>
      <c r="C164" s="25" t="s">
        <v>441</v>
      </c>
      <c r="D164" s="25" t="s">
        <v>442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</v>
      </c>
      <c r="K164" s="31">
        <f>3100</f>
        <v>3100</v>
      </c>
      <c r="L164" s="32" t="s">
        <v>1239</v>
      </c>
      <c r="M164" s="31">
        <f>3180</f>
        <v>3180</v>
      </c>
      <c r="N164" s="32" t="s">
        <v>1220</v>
      </c>
      <c r="O164" s="31">
        <f>2762</f>
        <v>2762</v>
      </c>
      <c r="P164" s="32" t="s">
        <v>1079</v>
      </c>
      <c r="Q164" s="31">
        <f>2996</f>
        <v>2996</v>
      </c>
      <c r="R164" s="32" t="s">
        <v>755</v>
      </c>
      <c r="S164" s="33">
        <f>3094.1</f>
        <v>3094.1</v>
      </c>
      <c r="T164" s="39">
        <f>15808</f>
        <v>15808</v>
      </c>
      <c r="U164" s="30" t="str">
        <f t="shared" si="0"/>
        <v>－</v>
      </c>
      <c r="V164" s="30">
        <f>48513549</f>
        <v>48513549</v>
      </c>
      <c r="W164" s="30" t="str">
        <f t="shared" si="1"/>
        <v>－</v>
      </c>
      <c r="X164" s="34">
        <f>21</f>
        <v>21</v>
      </c>
    </row>
    <row r="165" spans="1:24">
      <c r="A165" s="25" t="s">
        <v>1238</v>
      </c>
      <c r="B165" s="25" t="s">
        <v>443</v>
      </c>
      <c r="C165" s="25" t="s">
        <v>444</v>
      </c>
      <c r="D165" s="25" t="s">
        <v>445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3696</f>
        <v>3696</v>
      </c>
      <c r="L165" s="32" t="s">
        <v>1239</v>
      </c>
      <c r="M165" s="31">
        <f>3757</f>
        <v>3757</v>
      </c>
      <c r="N165" s="32" t="s">
        <v>1240</v>
      </c>
      <c r="O165" s="31">
        <f>3416</f>
        <v>3416</v>
      </c>
      <c r="P165" s="32" t="s">
        <v>1079</v>
      </c>
      <c r="Q165" s="31">
        <f>3592</f>
        <v>3592</v>
      </c>
      <c r="R165" s="32" t="s">
        <v>755</v>
      </c>
      <c r="S165" s="33">
        <f>3598.67</f>
        <v>3598.67</v>
      </c>
      <c r="T165" s="39">
        <f>12990</f>
        <v>12990</v>
      </c>
      <c r="U165" s="30" t="str">
        <f t="shared" si="0"/>
        <v>－</v>
      </c>
      <c r="V165" s="30">
        <f>46753510</f>
        <v>46753510</v>
      </c>
      <c r="W165" s="30" t="str">
        <f t="shared" si="1"/>
        <v>－</v>
      </c>
      <c r="X165" s="34">
        <f>21</f>
        <v>21</v>
      </c>
    </row>
    <row r="166" spans="1:24">
      <c r="A166" s="25" t="s">
        <v>1238</v>
      </c>
      <c r="B166" s="25" t="s">
        <v>446</v>
      </c>
      <c r="C166" s="25" t="s">
        <v>447</v>
      </c>
      <c r="D166" s="25" t="s">
        <v>951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3071</f>
        <v>3071</v>
      </c>
      <c r="L166" s="32" t="s">
        <v>1239</v>
      </c>
      <c r="M166" s="31">
        <f>3111</f>
        <v>3111</v>
      </c>
      <c r="N166" s="32" t="s">
        <v>1239</v>
      </c>
      <c r="O166" s="31">
        <f>2530</f>
        <v>2530</v>
      </c>
      <c r="P166" s="32" t="s">
        <v>1079</v>
      </c>
      <c r="Q166" s="31">
        <f>2960</f>
        <v>2960</v>
      </c>
      <c r="R166" s="32" t="s">
        <v>755</v>
      </c>
      <c r="S166" s="33">
        <f>2873.21</f>
        <v>2873.21</v>
      </c>
      <c r="T166" s="39">
        <f>780787</f>
        <v>780787</v>
      </c>
      <c r="U166" s="30">
        <f>12200</f>
        <v>12200</v>
      </c>
      <c r="V166" s="30">
        <f>2211399386</f>
        <v>2211399386</v>
      </c>
      <c r="W166" s="30">
        <f>35167076</f>
        <v>35167076</v>
      </c>
      <c r="X166" s="34">
        <f>21</f>
        <v>21</v>
      </c>
    </row>
    <row r="167" spans="1:24">
      <c r="A167" s="25" t="s">
        <v>1238</v>
      </c>
      <c r="B167" s="25" t="s">
        <v>448</v>
      </c>
      <c r="C167" s="25" t="s">
        <v>952</v>
      </c>
      <c r="D167" s="25" t="s">
        <v>953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10</v>
      </c>
      <c r="K167" s="31">
        <f>416.3</f>
        <v>416.3</v>
      </c>
      <c r="L167" s="32" t="s">
        <v>1239</v>
      </c>
      <c r="M167" s="31">
        <f>418.5</f>
        <v>418.5</v>
      </c>
      <c r="N167" s="32" t="s">
        <v>1239</v>
      </c>
      <c r="O167" s="31">
        <f>323.5</f>
        <v>323.5</v>
      </c>
      <c r="P167" s="32" t="s">
        <v>852</v>
      </c>
      <c r="Q167" s="31">
        <f>336.3</f>
        <v>336.3</v>
      </c>
      <c r="R167" s="32" t="s">
        <v>755</v>
      </c>
      <c r="S167" s="33">
        <f>358.48</f>
        <v>358.48</v>
      </c>
      <c r="T167" s="39">
        <f>12146810</f>
        <v>12146810</v>
      </c>
      <c r="U167" s="30">
        <f>183210</f>
        <v>183210</v>
      </c>
      <c r="V167" s="30">
        <f>4269233338</f>
        <v>4269233338</v>
      </c>
      <c r="W167" s="30">
        <f>64386061</f>
        <v>64386061</v>
      </c>
      <c r="X167" s="34">
        <f>21</f>
        <v>21</v>
      </c>
    </row>
    <row r="168" spans="1:24">
      <c r="A168" s="25" t="s">
        <v>1238</v>
      </c>
      <c r="B168" s="25" t="s">
        <v>1088</v>
      </c>
      <c r="C168" s="25" t="s">
        <v>1087</v>
      </c>
      <c r="D168" s="25" t="s">
        <v>1086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</v>
      </c>
      <c r="K168" s="31">
        <f>1999</f>
        <v>1999</v>
      </c>
      <c r="L168" s="32" t="s">
        <v>1239</v>
      </c>
      <c r="M168" s="31">
        <f>1999</f>
        <v>1999</v>
      </c>
      <c r="N168" s="32" t="s">
        <v>1239</v>
      </c>
      <c r="O168" s="31">
        <f>1664</f>
        <v>1664</v>
      </c>
      <c r="P168" s="32" t="s">
        <v>1079</v>
      </c>
      <c r="Q168" s="31">
        <f>1923</f>
        <v>1923</v>
      </c>
      <c r="R168" s="32" t="s">
        <v>755</v>
      </c>
      <c r="S168" s="33">
        <f>1853.1</f>
        <v>1853.1</v>
      </c>
      <c r="T168" s="39">
        <f>32647</f>
        <v>32647</v>
      </c>
      <c r="U168" s="30" t="str">
        <f>"－"</f>
        <v>－</v>
      </c>
      <c r="V168" s="30">
        <f>59247091</f>
        <v>59247091</v>
      </c>
      <c r="W168" s="30" t="str">
        <f>"－"</f>
        <v>－</v>
      </c>
      <c r="X168" s="34">
        <f>21</f>
        <v>21</v>
      </c>
    </row>
    <row r="169" spans="1:24">
      <c r="A169" s="25" t="s">
        <v>1238</v>
      </c>
      <c r="B169" s="25" t="s">
        <v>1098</v>
      </c>
      <c r="C169" s="25" t="s">
        <v>1099</v>
      </c>
      <c r="D169" s="25" t="s">
        <v>1100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</v>
      </c>
      <c r="K169" s="31">
        <f>1035</f>
        <v>1035</v>
      </c>
      <c r="L169" s="32" t="s">
        <v>1239</v>
      </c>
      <c r="M169" s="31">
        <f>1042</f>
        <v>1042</v>
      </c>
      <c r="N169" s="32" t="s">
        <v>1240</v>
      </c>
      <c r="O169" s="31">
        <f>845</f>
        <v>845</v>
      </c>
      <c r="P169" s="32" t="s">
        <v>1079</v>
      </c>
      <c r="Q169" s="31">
        <f>986</f>
        <v>986</v>
      </c>
      <c r="R169" s="32" t="s">
        <v>755</v>
      </c>
      <c r="S169" s="33">
        <f>950.1</f>
        <v>950.1</v>
      </c>
      <c r="T169" s="39">
        <f>1318560</f>
        <v>1318560</v>
      </c>
      <c r="U169" s="30">
        <f>110</f>
        <v>110</v>
      </c>
      <c r="V169" s="30">
        <f>1243697499</f>
        <v>1243697499</v>
      </c>
      <c r="W169" s="30">
        <f>104710</f>
        <v>104710</v>
      </c>
      <c r="X169" s="34">
        <f>21</f>
        <v>21</v>
      </c>
    </row>
    <row r="170" spans="1:24">
      <c r="A170" s="25" t="s">
        <v>1238</v>
      </c>
      <c r="B170" s="25" t="s">
        <v>1101</v>
      </c>
      <c r="C170" s="25" t="s">
        <v>1102</v>
      </c>
      <c r="D170" s="25" t="s">
        <v>1103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281.5</f>
        <v>281.5</v>
      </c>
      <c r="L170" s="32" t="s">
        <v>1239</v>
      </c>
      <c r="M170" s="31">
        <f>294.8</f>
        <v>294.8</v>
      </c>
      <c r="N170" s="32" t="s">
        <v>1079</v>
      </c>
      <c r="O170" s="31">
        <f>262.1</f>
        <v>262.10000000000002</v>
      </c>
      <c r="P170" s="32" t="s">
        <v>852</v>
      </c>
      <c r="Q170" s="31">
        <f>278.5</f>
        <v>278.5</v>
      </c>
      <c r="R170" s="32" t="s">
        <v>755</v>
      </c>
      <c r="S170" s="33">
        <f>275.93</f>
        <v>275.93</v>
      </c>
      <c r="T170" s="39">
        <f>8977790</f>
        <v>8977790</v>
      </c>
      <c r="U170" s="30" t="str">
        <f>"－"</f>
        <v>－</v>
      </c>
      <c r="V170" s="30">
        <f>2469946798</f>
        <v>2469946798</v>
      </c>
      <c r="W170" s="30" t="str">
        <f>"－"</f>
        <v>－</v>
      </c>
      <c r="X170" s="34">
        <f>21</f>
        <v>21</v>
      </c>
    </row>
    <row r="171" spans="1:24">
      <c r="A171" s="25" t="s">
        <v>1238</v>
      </c>
      <c r="B171" s="25" t="s">
        <v>1104</v>
      </c>
      <c r="C171" s="25" t="s">
        <v>1105</v>
      </c>
      <c r="D171" s="25" t="s">
        <v>1106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296</f>
        <v>296</v>
      </c>
      <c r="L171" s="32" t="s">
        <v>1239</v>
      </c>
      <c r="M171" s="31">
        <f>298.1</f>
        <v>298.10000000000002</v>
      </c>
      <c r="N171" s="32" t="s">
        <v>1204</v>
      </c>
      <c r="O171" s="31">
        <f>260.7</f>
        <v>260.7</v>
      </c>
      <c r="P171" s="32" t="s">
        <v>850</v>
      </c>
      <c r="Q171" s="31">
        <f>278.4</f>
        <v>278.39999999999998</v>
      </c>
      <c r="R171" s="32" t="s">
        <v>755</v>
      </c>
      <c r="S171" s="33">
        <f>278.22</f>
        <v>278.22000000000003</v>
      </c>
      <c r="T171" s="39">
        <f>2104980</f>
        <v>2104980</v>
      </c>
      <c r="U171" s="30" t="str">
        <f>"－"</f>
        <v>－</v>
      </c>
      <c r="V171" s="30">
        <f>579782921</f>
        <v>579782921</v>
      </c>
      <c r="W171" s="30" t="str">
        <f>"－"</f>
        <v>－</v>
      </c>
      <c r="X171" s="34">
        <f>21</f>
        <v>21</v>
      </c>
    </row>
    <row r="172" spans="1:24">
      <c r="A172" s="25" t="s">
        <v>1238</v>
      </c>
      <c r="B172" s="25" t="s">
        <v>1107</v>
      </c>
      <c r="C172" s="25" t="s">
        <v>1108</v>
      </c>
      <c r="D172" s="25" t="s">
        <v>1109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495.8</f>
        <v>495.8</v>
      </c>
      <c r="L172" s="32" t="s">
        <v>1239</v>
      </c>
      <c r="M172" s="31">
        <f>517</f>
        <v>517</v>
      </c>
      <c r="N172" s="32" t="s">
        <v>1079</v>
      </c>
      <c r="O172" s="31">
        <f>470.2</f>
        <v>470.2</v>
      </c>
      <c r="P172" s="32" t="s">
        <v>1205</v>
      </c>
      <c r="Q172" s="31">
        <f>486.7</f>
        <v>486.7</v>
      </c>
      <c r="R172" s="32" t="s">
        <v>755</v>
      </c>
      <c r="S172" s="33">
        <f>487.58</f>
        <v>487.58</v>
      </c>
      <c r="T172" s="39">
        <f>1769670</f>
        <v>1769670</v>
      </c>
      <c r="U172" s="30">
        <f>1750000</f>
        <v>1750000</v>
      </c>
      <c r="V172" s="30">
        <f>828849988</f>
        <v>828849988</v>
      </c>
      <c r="W172" s="30">
        <f>819175000</f>
        <v>819175000</v>
      </c>
      <c r="X172" s="34">
        <f>16</f>
        <v>16</v>
      </c>
    </row>
    <row r="173" spans="1:24">
      <c r="A173" s="25" t="s">
        <v>1238</v>
      </c>
      <c r="B173" s="25" t="s">
        <v>1110</v>
      </c>
      <c r="C173" s="25" t="s">
        <v>1111</v>
      </c>
      <c r="D173" s="25" t="s">
        <v>1112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10</v>
      </c>
      <c r="K173" s="31">
        <f>508</f>
        <v>508</v>
      </c>
      <c r="L173" s="32" t="s">
        <v>1239</v>
      </c>
      <c r="M173" s="31">
        <f>575</f>
        <v>575</v>
      </c>
      <c r="N173" s="32" t="s">
        <v>1079</v>
      </c>
      <c r="O173" s="31">
        <f>452</f>
        <v>452</v>
      </c>
      <c r="P173" s="32" t="s">
        <v>1220</v>
      </c>
      <c r="Q173" s="31">
        <f>472</f>
        <v>472</v>
      </c>
      <c r="R173" s="32" t="s">
        <v>755</v>
      </c>
      <c r="S173" s="33">
        <f>476.59</f>
        <v>476.59</v>
      </c>
      <c r="T173" s="39">
        <f>70970</f>
        <v>70970</v>
      </c>
      <c r="U173" s="30" t="str">
        <f>"－"</f>
        <v>－</v>
      </c>
      <c r="V173" s="30">
        <f>33958323</f>
        <v>33958323</v>
      </c>
      <c r="W173" s="30" t="str">
        <f>"－"</f>
        <v>－</v>
      </c>
      <c r="X173" s="34">
        <f>20</f>
        <v>20</v>
      </c>
    </row>
    <row r="174" spans="1:24">
      <c r="A174" s="25" t="s">
        <v>1238</v>
      </c>
      <c r="B174" s="25" t="s">
        <v>1113</v>
      </c>
      <c r="C174" s="25" t="s">
        <v>1114</v>
      </c>
      <c r="D174" s="25" t="s">
        <v>1115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10</v>
      </c>
      <c r="K174" s="31">
        <f>496.8</f>
        <v>496.8</v>
      </c>
      <c r="L174" s="32" t="s">
        <v>1239</v>
      </c>
      <c r="M174" s="31">
        <f>530</f>
        <v>530</v>
      </c>
      <c r="N174" s="32" t="s">
        <v>1079</v>
      </c>
      <c r="O174" s="31">
        <f>448.7</f>
        <v>448.7</v>
      </c>
      <c r="P174" s="32" t="s">
        <v>1220</v>
      </c>
      <c r="Q174" s="31">
        <f>488</f>
        <v>488</v>
      </c>
      <c r="R174" s="32" t="s">
        <v>755</v>
      </c>
      <c r="S174" s="33">
        <f>489.16</f>
        <v>489.16</v>
      </c>
      <c r="T174" s="39">
        <f>63610</f>
        <v>63610</v>
      </c>
      <c r="U174" s="30" t="str">
        <f>"－"</f>
        <v>－</v>
      </c>
      <c r="V174" s="30">
        <f>31391599</f>
        <v>31391599</v>
      </c>
      <c r="W174" s="30" t="str">
        <f>"－"</f>
        <v>－</v>
      </c>
      <c r="X174" s="34">
        <f>20</f>
        <v>20</v>
      </c>
    </row>
    <row r="175" spans="1:24">
      <c r="A175" s="25" t="s">
        <v>1238</v>
      </c>
      <c r="B175" s="25" t="s">
        <v>1116</v>
      </c>
      <c r="C175" s="25" t="s">
        <v>1117</v>
      </c>
      <c r="D175" s="25" t="s">
        <v>1118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</v>
      </c>
      <c r="K175" s="31">
        <f>916</f>
        <v>916</v>
      </c>
      <c r="L175" s="32" t="s">
        <v>1239</v>
      </c>
      <c r="M175" s="31">
        <f>949</f>
        <v>949</v>
      </c>
      <c r="N175" s="32" t="s">
        <v>1078</v>
      </c>
      <c r="O175" s="31">
        <f>816</f>
        <v>816</v>
      </c>
      <c r="P175" s="32" t="s">
        <v>1079</v>
      </c>
      <c r="Q175" s="31">
        <f>905</f>
        <v>905</v>
      </c>
      <c r="R175" s="32" t="s">
        <v>755</v>
      </c>
      <c r="S175" s="33">
        <f>886.19</f>
        <v>886.19</v>
      </c>
      <c r="T175" s="39">
        <f>226441</f>
        <v>226441</v>
      </c>
      <c r="U175" s="30">
        <f>810</f>
        <v>810</v>
      </c>
      <c r="V175" s="30">
        <f>199261663</f>
        <v>199261663</v>
      </c>
      <c r="W175" s="30">
        <f>706795</f>
        <v>706795</v>
      </c>
      <c r="X175" s="34">
        <f>21</f>
        <v>21</v>
      </c>
    </row>
    <row r="176" spans="1:24">
      <c r="A176" s="25" t="s">
        <v>1238</v>
      </c>
      <c r="B176" s="25" t="s">
        <v>1119</v>
      </c>
      <c r="C176" s="25" t="s">
        <v>1120</v>
      </c>
      <c r="D176" s="25" t="s">
        <v>1121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</v>
      </c>
      <c r="K176" s="31">
        <f>1409</f>
        <v>1409</v>
      </c>
      <c r="L176" s="32" t="s">
        <v>1239</v>
      </c>
      <c r="M176" s="31">
        <f>1445</f>
        <v>1445</v>
      </c>
      <c r="N176" s="32" t="s">
        <v>1239</v>
      </c>
      <c r="O176" s="31">
        <f>1080</f>
        <v>1080</v>
      </c>
      <c r="P176" s="32" t="s">
        <v>1079</v>
      </c>
      <c r="Q176" s="31">
        <f>1342</f>
        <v>1342</v>
      </c>
      <c r="R176" s="32" t="s">
        <v>755</v>
      </c>
      <c r="S176" s="33">
        <f>1273.86</f>
        <v>1273.8599999999999</v>
      </c>
      <c r="T176" s="39">
        <f>3593625</f>
        <v>3593625</v>
      </c>
      <c r="U176" s="30">
        <f>134379</f>
        <v>134379</v>
      </c>
      <c r="V176" s="30">
        <f>4534652526</f>
        <v>4534652526</v>
      </c>
      <c r="W176" s="30">
        <f>156968171</f>
        <v>156968171</v>
      </c>
      <c r="X176" s="34">
        <f>21</f>
        <v>21</v>
      </c>
    </row>
    <row r="177" spans="1:24">
      <c r="A177" s="25" t="s">
        <v>1238</v>
      </c>
      <c r="B177" s="25" t="s">
        <v>1026</v>
      </c>
      <c r="C177" s="25" t="s">
        <v>1027</v>
      </c>
      <c r="D177" s="25" t="s">
        <v>1028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592.2</f>
        <v>592.20000000000005</v>
      </c>
      <c r="L177" s="32" t="s">
        <v>1239</v>
      </c>
      <c r="M177" s="31">
        <f>599</f>
        <v>599</v>
      </c>
      <c r="N177" s="32" t="s">
        <v>1240</v>
      </c>
      <c r="O177" s="31">
        <f>500</f>
        <v>500</v>
      </c>
      <c r="P177" s="32" t="s">
        <v>1079</v>
      </c>
      <c r="Q177" s="31">
        <f>582.9</f>
        <v>582.9</v>
      </c>
      <c r="R177" s="32" t="s">
        <v>755</v>
      </c>
      <c r="S177" s="33">
        <f>562.4</f>
        <v>562.4</v>
      </c>
      <c r="T177" s="39">
        <f>1554980</f>
        <v>1554980</v>
      </c>
      <c r="U177" s="30">
        <f>181740</f>
        <v>181740</v>
      </c>
      <c r="V177" s="30">
        <f>861653930</f>
        <v>861653930</v>
      </c>
      <c r="W177" s="30">
        <f>103991548</f>
        <v>103991548</v>
      </c>
      <c r="X177" s="34">
        <f>21</f>
        <v>21</v>
      </c>
    </row>
    <row r="178" spans="1:24">
      <c r="A178" s="25" t="s">
        <v>1238</v>
      </c>
      <c r="B178" s="25" t="s">
        <v>1051</v>
      </c>
      <c r="C178" s="25" t="s">
        <v>1052</v>
      </c>
      <c r="D178" s="25" t="s">
        <v>1053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216</f>
        <v>216</v>
      </c>
      <c r="L178" s="32" t="s">
        <v>1239</v>
      </c>
      <c r="M178" s="31">
        <f>217.5</f>
        <v>217.5</v>
      </c>
      <c r="N178" s="32" t="s">
        <v>1204</v>
      </c>
      <c r="O178" s="31">
        <f>202.5</f>
        <v>202.5</v>
      </c>
      <c r="P178" s="32" t="s">
        <v>850</v>
      </c>
      <c r="Q178" s="31">
        <f>206.3</f>
        <v>206.3</v>
      </c>
      <c r="R178" s="32" t="s">
        <v>755</v>
      </c>
      <c r="S178" s="33">
        <f>208.54</f>
        <v>208.54</v>
      </c>
      <c r="T178" s="39">
        <f>26261220</f>
        <v>26261220</v>
      </c>
      <c r="U178" s="30">
        <f>25000000</f>
        <v>25000000</v>
      </c>
      <c r="V178" s="30">
        <f>5435923471</f>
        <v>5435923471</v>
      </c>
      <c r="W178" s="30">
        <f>5170800000</f>
        <v>5170800000</v>
      </c>
      <c r="X178" s="34">
        <f>21</f>
        <v>21</v>
      </c>
    </row>
    <row r="179" spans="1:24">
      <c r="A179" s="25" t="s">
        <v>1238</v>
      </c>
      <c r="B179" s="25" t="s">
        <v>1054</v>
      </c>
      <c r="C179" s="25" t="s">
        <v>1055</v>
      </c>
      <c r="D179" s="25" t="s">
        <v>1056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10</v>
      </c>
      <c r="K179" s="31">
        <f>243.9</f>
        <v>243.9</v>
      </c>
      <c r="L179" s="32" t="s">
        <v>1239</v>
      </c>
      <c r="M179" s="31">
        <f>244</f>
        <v>244</v>
      </c>
      <c r="N179" s="32" t="s">
        <v>1239</v>
      </c>
      <c r="O179" s="31">
        <f>207.9</f>
        <v>207.9</v>
      </c>
      <c r="P179" s="32" t="s">
        <v>852</v>
      </c>
      <c r="Q179" s="31">
        <f>220.9</f>
        <v>220.9</v>
      </c>
      <c r="R179" s="32" t="s">
        <v>755</v>
      </c>
      <c r="S179" s="33">
        <f>220.97</f>
        <v>220.97</v>
      </c>
      <c r="T179" s="39">
        <f>22494720</f>
        <v>22494720</v>
      </c>
      <c r="U179" s="30">
        <f>4500010</f>
        <v>4500010</v>
      </c>
      <c r="V179" s="30">
        <f>4929889506</f>
        <v>4929889506</v>
      </c>
      <c r="W179" s="30">
        <f>993602211</f>
        <v>993602211</v>
      </c>
      <c r="X179" s="34">
        <f>21</f>
        <v>21</v>
      </c>
    </row>
    <row r="180" spans="1:24">
      <c r="A180" s="25" t="s">
        <v>1238</v>
      </c>
      <c r="B180" s="25" t="s">
        <v>1057</v>
      </c>
      <c r="C180" s="25" t="s">
        <v>1058</v>
      </c>
      <c r="D180" s="25" t="s">
        <v>1059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10</v>
      </c>
      <c r="K180" s="31">
        <f>237.1</f>
        <v>237.1</v>
      </c>
      <c r="L180" s="32" t="s">
        <v>1239</v>
      </c>
      <c r="M180" s="31">
        <f>237.1</f>
        <v>237.1</v>
      </c>
      <c r="N180" s="32" t="s">
        <v>1239</v>
      </c>
      <c r="O180" s="31">
        <f>200</f>
        <v>200</v>
      </c>
      <c r="P180" s="32" t="s">
        <v>852</v>
      </c>
      <c r="Q180" s="31">
        <f>219</f>
        <v>219</v>
      </c>
      <c r="R180" s="32" t="s">
        <v>755</v>
      </c>
      <c r="S180" s="33">
        <f>216.73</f>
        <v>216.73</v>
      </c>
      <c r="T180" s="39">
        <f>12405650</f>
        <v>12405650</v>
      </c>
      <c r="U180" s="30">
        <f>1570</f>
        <v>1570</v>
      </c>
      <c r="V180" s="30">
        <f>2637080695</f>
        <v>2637080695</v>
      </c>
      <c r="W180" s="30">
        <f>332539</f>
        <v>332539</v>
      </c>
      <c r="X180" s="34">
        <f>21</f>
        <v>21</v>
      </c>
    </row>
    <row r="181" spans="1:24">
      <c r="A181" s="25" t="s">
        <v>1238</v>
      </c>
      <c r="B181" s="25" t="s">
        <v>1060</v>
      </c>
      <c r="C181" s="25" t="s">
        <v>1061</v>
      </c>
      <c r="D181" s="25" t="s">
        <v>1062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2057</f>
        <v>2057</v>
      </c>
      <c r="L181" s="32" t="s">
        <v>1239</v>
      </c>
      <c r="M181" s="31">
        <f>2059</f>
        <v>2059</v>
      </c>
      <c r="N181" s="32" t="s">
        <v>1204</v>
      </c>
      <c r="O181" s="31">
        <f>1898</f>
        <v>1898</v>
      </c>
      <c r="P181" s="32" t="s">
        <v>850</v>
      </c>
      <c r="Q181" s="31">
        <f>1967</f>
        <v>1967</v>
      </c>
      <c r="R181" s="32" t="s">
        <v>755</v>
      </c>
      <c r="S181" s="33">
        <f>1980.81</f>
        <v>1980.81</v>
      </c>
      <c r="T181" s="39">
        <f>741313</f>
        <v>741313</v>
      </c>
      <c r="U181" s="30">
        <f>2</f>
        <v>2</v>
      </c>
      <c r="V181" s="30">
        <f>1470499379</f>
        <v>1470499379</v>
      </c>
      <c r="W181" s="30">
        <f>4089</f>
        <v>4089</v>
      </c>
      <c r="X181" s="34">
        <f>21</f>
        <v>21</v>
      </c>
    </row>
    <row r="182" spans="1:24">
      <c r="A182" s="25" t="s">
        <v>1238</v>
      </c>
      <c r="B182" s="25" t="s">
        <v>1063</v>
      </c>
      <c r="C182" s="25" t="s">
        <v>1064</v>
      </c>
      <c r="D182" s="25" t="s">
        <v>1065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1902</f>
        <v>1902</v>
      </c>
      <c r="L182" s="32" t="s">
        <v>1239</v>
      </c>
      <c r="M182" s="31">
        <f>1998</f>
        <v>1998</v>
      </c>
      <c r="N182" s="32" t="s">
        <v>1204</v>
      </c>
      <c r="O182" s="31">
        <f>1861</f>
        <v>1861</v>
      </c>
      <c r="P182" s="32" t="s">
        <v>1080</v>
      </c>
      <c r="Q182" s="31">
        <f>1905</f>
        <v>1905</v>
      </c>
      <c r="R182" s="32" t="s">
        <v>755</v>
      </c>
      <c r="S182" s="33">
        <f>1895.86</f>
        <v>1895.86</v>
      </c>
      <c r="T182" s="39">
        <f>629917</f>
        <v>629917</v>
      </c>
      <c r="U182" s="30">
        <f>2</f>
        <v>2</v>
      </c>
      <c r="V182" s="30">
        <f>1185951334</f>
        <v>1185951334</v>
      </c>
      <c r="W182" s="30">
        <f>3753</f>
        <v>3753</v>
      </c>
      <c r="X182" s="34">
        <f>21</f>
        <v>21</v>
      </c>
    </row>
    <row r="183" spans="1:24">
      <c r="A183" s="25" t="s">
        <v>1238</v>
      </c>
      <c r="B183" s="25" t="s">
        <v>1066</v>
      </c>
      <c r="C183" s="25" t="s">
        <v>1067</v>
      </c>
      <c r="D183" s="25" t="s">
        <v>1068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1040</f>
        <v>1040</v>
      </c>
      <c r="L183" s="32" t="s">
        <v>1239</v>
      </c>
      <c r="M183" s="31">
        <f>1044</f>
        <v>1044</v>
      </c>
      <c r="N183" s="32" t="s">
        <v>1239</v>
      </c>
      <c r="O183" s="31">
        <f>892</f>
        <v>892</v>
      </c>
      <c r="P183" s="32" t="s">
        <v>1079</v>
      </c>
      <c r="Q183" s="31">
        <f>1042</f>
        <v>1042</v>
      </c>
      <c r="R183" s="32" t="s">
        <v>755</v>
      </c>
      <c r="S183" s="33">
        <f>986.38</f>
        <v>986.38</v>
      </c>
      <c r="T183" s="39">
        <f>2884482</f>
        <v>2884482</v>
      </c>
      <c r="U183" s="30">
        <f>548620</f>
        <v>548620</v>
      </c>
      <c r="V183" s="30">
        <f>2839739653</f>
        <v>2839739653</v>
      </c>
      <c r="W183" s="30">
        <f>555770078</f>
        <v>555770078</v>
      </c>
      <c r="X183" s="34">
        <f>21</f>
        <v>21</v>
      </c>
    </row>
    <row r="184" spans="1:24">
      <c r="A184" s="25" t="s">
        <v>1238</v>
      </c>
      <c r="B184" s="25" t="s">
        <v>1069</v>
      </c>
      <c r="C184" s="25" t="s">
        <v>1070</v>
      </c>
      <c r="D184" s="25" t="s">
        <v>1071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</v>
      </c>
      <c r="K184" s="31">
        <f>1100</f>
        <v>1100</v>
      </c>
      <c r="L184" s="32" t="s">
        <v>1239</v>
      </c>
      <c r="M184" s="31">
        <f>1110</f>
        <v>1110</v>
      </c>
      <c r="N184" s="32" t="s">
        <v>1240</v>
      </c>
      <c r="O184" s="31">
        <f>930</f>
        <v>930</v>
      </c>
      <c r="P184" s="32" t="s">
        <v>852</v>
      </c>
      <c r="Q184" s="31">
        <f>1037</f>
        <v>1037</v>
      </c>
      <c r="R184" s="32" t="s">
        <v>755</v>
      </c>
      <c r="S184" s="33">
        <f>1021.62</f>
        <v>1021.62</v>
      </c>
      <c r="T184" s="39">
        <f>268164</f>
        <v>268164</v>
      </c>
      <c r="U184" s="30" t="str">
        <f>"－"</f>
        <v>－</v>
      </c>
      <c r="V184" s="30">
        <f>272933481</f>
        <v>272933481</v>
      </c>
      <c r="W184" s="30" t="str">
        <f>"－"</f>
        <v>－</v>
      </c>
      <c r="X184" s="34">
        <f>21</f>
        <v>21</v>
      </c>
    </row>
    <row r="185" spans="1:24">
      <c r="A185" s="25" t="s">
        <v>1238</v>
      </c>
      <c r="B185" s="25" t="s">
        <v>1072</v>
      </c>
      <c r="C185" s="25" t="s">
        <v>1073</v>
      </c>
      <c r="D185" s="25" t="s">
        <v>1074</v>
      </c>
      <c r="E185" s="26" t="s">
        <v>43</v>
      </c>
      <c r="F185" s="27" t="s">
        <v>43</v>
      </c>
      <c r="G185" s="28" t="s">
        <v>43</v>
      </c>
      <c r="H185" s="29"/>
      <c r="I185" s="29" t="s">
        <v>44</v>
      </c>
      <c r="J185" s="30">
        <v>1</v>
      </c>
      <c r="K185" s="31">
        <f>999</f>
        <v>999</v>
      </c>
      <c r="L185" s="32" t="s">
        <v>1239</v>
      </c>
      <c r="M185" s="31">
        <f>1021</f>
        <v>1021</v>
      </c>
      <c r="N185" s="32" t="s">
        <v>1220</v>
      </c>
      <c r="O185" s="31">
        <f>870</f>
        <v>870</v>
      </c>
      <c r="P185" s="32" t="s">
        <v>1220</v>
      </c>
      <c r="Q185" s="31">
        <f>930</f>
        <v>930</v>
      </c>
      <c r="R185" s="32" t="s">
        <v>755</v>
      </c>
      <c r="S185" s="33">
        <f>925.24</f>
        <v>925.24</v>
      </c>
      <c r="T185" s="39">
        <f>447220</f>
        <v>447220</v>
      </c>
      <c r="U185" s="30" t="str">
        <f>"－"</f>
        <v>－</v>
      </c>
      <c r="V185" s="30">
        <f>411648648</f>
        <v>411648648</v>
      </c>
      <c r="W185" s="30" t="str">
        <f>"－"</f>
        <v>－</v>
      </c>
      <c r="X185" s="34">
        <f>21</f>
        <v>21</v>
      </c>
    </row>
    <row r="186" spans="1:24">
      <c r="A186" s="25" t="s">
        <v>1238</v>
      </c>
      <c r="B186" s="25" t="s">
        <v>1122</v>
      </c>
      <c r="C186" s="25" t="s">
        <v>1123</v>
      </c>
      <c r="D186" s="25" t="s">
        <v>1124</v>
      </c>
      <c r="E186" s="26" t="s">
        <v>43</v>
      </c>
      <c r="F186" s="27" t="s">
        <v>43</v>
      </c>
      <c r="G186" s="28" t="s">
        <v>43</v>
      </c>
      <c r="H186" s="29"/>
      <c r="I186" s="29" t="s">
        <v>44</v>
      </c>
      <c r="J186" s="30">
        <v>10</v>
      </c>
      <c r="K186" s="31">
        <f>185</f>
        <v>185</v>
      </c>
      <c r="L186" s="32" t="s">
        <v>1239</v>
      </c>
      <c r="M186" s="31">
        <f>188.3</f>
        <v>188.3</v>
      </c>
      <c r="N186" s="32" t="s">
        <v>1239</v>
      </c>
      <c r="O186" s="31">
        <f>160.3</f>
        <v>160.30000000000001</v>
      </c>
      <c r="P186" s="32" t="s">
        <v>1079</v>
      </c>
      <c r="Q186" s="31">
        <f>184.5</f>
        <v>184.5</v>
      </c>
      <c r="R186" s="32" t="s">
        <v>755</v>
      </c>
      <c r="S186" s="33">
        <f>179.31</f>
        <v>179.31</v>
      </c>
      <c r="T186" s="39">
        <f>4751500</f>
        <v>4751500</v>
      </c>
      <c r="U186" s="30">
        <f>58690</f>
        <v>58690</v>
      </c>
      <c r="V186" s="30">
        <f>843737743</f>
        <v>843737743</v>
      </c>
      <c r="W186" s="30">
        <f>10630553</f>
        <v>10630553</v>
      </c>
      <c r="X186" s="34">
        <f>21</f>
        <v>21</v>
      </c>
    </row>
    <row r="187" spans="1:24">
      <c r="A187" s="25" t="s">
        <v>1238</v>
      </c>
      <c r="B187" s="25" t="s">
        <v>449</v>
      </c>
      <c r="C187" s="25" t="s">
        <v>450</v>
      </c>
      <c r="D187" s="25" t="s">
        <v>451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7060</f>
        <v>7060</v>
      </c>
      <c r="L187" s="32" t="s">
        <v>1239</v>
      </c>
      <c r="M187" s="31">
        <f>7170</f>
        <v>7170</v>
      </c>
      <c r="N187" s="32" t="s">
        <v>1239</v>
      </c>
      <c r="O187" s="31">
        <f>4421</f>
        <v>4421</v>
      </c>
      <c r="P187" s="32" t="s">
        <v>852</v>
      </c>
      <c r="Q187" s="31">
        <f>5960</f>
        <v>5960</v>
      </c>
      <c r="R187" s="32" t="s">
        <v>755</v>
      </c>
      <c r="S187" s="33">
        <f>5794.33</f>
        <v>5794.33</v>
      </c>
      <c r="T187" s="39">
        <f>104171</f>
        <v>104171</v>
      </c>
      <c r="U187" s="30" t="str">
        <f>"－"</f>
        <v>－</v>
      </c>
      <c r="V187" s="30">
        <f>574273281</f>
        <v>574273281</v>
      </c>
      <c r="W187" s="30" t="str">
        <f>"－"</f>
        <v>－</v>
      </c>
      <c r="X187" s="34">
        <f>21</f>
        <v>21</v>
      </c>
    </row>
    <row r="188" spans="1:24">
      <c r="A188" s="25" t="s">
        <v>1238</v>
      </c>
      <c r="B188" s="25" t="s">
        <v>453</v>
      </c>
      <c r="C188" s="25" t="s">
        <v>454</v>
      </c>
      <c r="D188" s="25" t="s">
        <v>455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6789</f>
        <v>6789</v>
      </c>
      <c r="L188" s="32" t="s">
        <v>1239</v>
      </c>
      <c r="M188" s="31">
        <f>7952</f>
        <v>7952</v>
      </c>
      <c r="N188" s="32" t="s">
        <v>852</v>
      </c>
      <c r="O188" s="31">
        <f>6493</f>
        <v>6493</v>
      </c>
      <c r="P188" s="32" t="s">
        <v>663</v>
      </c>
      <c r="Q188" s="31">
        <f>6618</f>
        <v>6618</v>
      </c>
      <c r="R188" s="32" t="s">
        <v>755</v>
      </c>
      <c r="S188" s="33">
        <f>6929.05</f>
        <v>6929.05</v>
      </c>
      <c r="T188" s="39">
        <f>32229</f>
        <v>32229</v>
      </c>
      <c r="U188" s="30" t="str">
        <f>"－"</f>
        <v>－</v>
      </c>
      <c r="V188" s="30">
        <f>232417946</f>
        <v>232417946</v>
      </c>
      <c r="W188" s="30" t="str">
        <f>"－"</f>
        <v>－</v>
      </c>
      <c r="X188" s="34">
        <f>21</f>
        <v>21</v>
      </c>
    </row>
    <row r="189" spans="1:24">
      <c r="A189" s="25" t="s">
        <v>1238</v>
      </c>
      <c r="B189" s="25" t="s">
        <v>456</v>
      </c>
      <c r="C189" s="25" t="s">
        <v>457</v>
      </c>
      <c r="D189" s="25" t="s">
        <v>458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9707</f>
        <v>9707</v>
      </c>
      <c r="L189" s="32" t="s">
        <v>1239</v>
      </c>
      <c r="M189" s="31">
        <f>9998</f>
        <v>9998</v>
      </c>
      <c r="N189" s="32" t="s">
        <v>1239</v>
      </c>
      <c r="O189" s="31">
        <f>7743</f>
        <v>7743</v>
      </c>
      <c r="P189" s="32" t="s">
        <v>852</v>
      </c>
      <c r="Q189" s="31">
        <f>9693</f>
        <v>9693</v>
      </c>
      <c r="R189" s="32" t="s">
        <v>755</v>
      </c>
      <c r="S189" s="33">
        <f>9120.05</f>
        <v>9120.0499999999993</v>
      </c>
      <c r="T189" s="39">
        <f>3465</f>
        <v>3465</v>
      </c>
      <c r="U189" s="30" t="str">
        <f>"－"</f>
        <v>－</v>
      </c>
      <c r="V189" s="30">
        <f>31710328</f>
        <v>31710328</v>
      </c>
      <c r="W189" s="30" t="str">
        <f>"－"</f>
        <v>－</v>
      </c>
      <c r="X189" s="34">
        <f>19</f>
        <v>19</v>
      </c>
    </row>
    <row r="190" spans="1:24">
      <c r="A190" s="25" t="s">
        <v>1238</v>
      </c>
      <c r="B190" s="25" t="s">
        <v>459</v>
      </c>
      <c r="C190" s="25" t="s">
        <v>460</v>
      </c>
      <c r="D190" s="25" t="s">
        <v>461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7480</f>
        <v>7480</v>
      </c>
      <c r="L190" s="32" t="s">
        <v>1239</v>
      </c>
      <c r="M190" s="31">
        <f>7890</f>
        <v>7890</v>
      </c>
      <c r="N190" s="32" t="s">
        <v>852</v>
      </c>
      <c r="O190" s="31">
        <f>7131</f>
        <v>7131</v>
      </c>
      <c r="P190" s="32" t="s">
        <v>755</v>
      </c>
      <c r="Q190" s="31">
        <f>7225</f>
        <v>7225</v>
      </c>
      <c r="R190" s="32" t="s">
        <v>755</v>
      </c>
      <c r="S190" s="33">
        <f>7457.3</f>
        <v>7457.3</v>
      </c>
      <c r="T190" s="39">
        <f>13448</f>
        <v>13448</v>
      </c>
      <c r="U190" s="30">
        <f>100</f>
        <v>100</v>
      </c>
      <c r="V190" s="30">
        <f>102032640</f>
        <v>102032640</v>
      </c>
      <c r="W190" s="30">
        <f>770100</f>
        <v>770100</v>
      </c>
      <c r="X190" s="34">
        <f>20</f>
        <v>20</v>
      </c>
    </row>
    <row r="191" spans="1:24">
      <c r="A191" s="25" t="s">
        <v>1238</v>
      </c>
      <c r="B191" s="25" t="s">
        <v>462</v>
      </c>
      <c r="C191" s="25" t="s">
        <v>463</v>
      </c>
      <c r="D191" s="25" t="s">
        <v>464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90740</f>
        <v>90740</v>
      </c>
      <c r="L191" s="32" t="s">
        <v>1239</v>
      </c>
      <c r="M191" s="31">
        <f>98370</f>
        <v>98370</v>
      </c>
      <c r="N191" s="32" t="s">
        <v>850</v>
      </c>
      <c r="O191" s="31">
        <f>76230</f>
        <v>76230</v>
      </c>
      <c r="P191" s="32" t="s">
        <v>1079</v>
      </c>
      <c r="Q191" s="31">
        <f>91070</f>
        <v>91070</v>
      </c>
      <c r="R191" s="32" t="s">
        <v>755</v>
      </c>
      <c r="S191" s="33">
        <f>88793.33</f>
        <v>88793.33</v>
      </c>
      <c r="T191" s="39">
        <f>230487</f>
        <v>230487</v>
      </c>
      <c r="U191" s="30">
        <f>92</f>
        <v>92</v>
      </c>
      <c r="V191" s="30">
        <f>20512683710</f>
        <v>20512683710</v>
      </c>
      <c r="W191" s="30">
        <f>7769860</f>
        <v>7769860</v>
      </c>
      <c r="X191" s="34">
        <f>21</f>
        <v>21</v>
      </c>
    </row>
    <row r="192" spans="1:24">
      <c r="A192" s="25" t="s">
        <v>1238</v>
      </c>
      <c r="B192" s="25" t="s">
        <v>465</v>
      </c>
      <c r="C192" s="25" t="s">
        <v>466</v>
      </c>
      <c r="D192" s="25" t="s">
        <v>467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2164</f>
        <v>2164</v>
      </c>
      <c r="L192" s="32" t="s">
        <v>1239</v>
      </c>
      <c r="M192" s="31">
        <f>2368</f>
        <v>2368</v>
      </c>
      <c r="N192" s="32" t="s">
        <v>1079</v>
      </c>
      <c r="O192" s="31">
        <f>2050</f>
        <v>2050</v>
      </c>
      <c r="P192" s="32" t="s">
        <v>850</v>
      </c>
      <c r="Q192" s="31">
        <f>2105</f>
        <v>2105</v>
      </c>
      <c r="R192" s="32" t="s">
        <v>755</v>
      </c>
      <c r="S192" s="33">
        <f>2161.86</f>
        <v>2161.86</v>
      </c>
      <c r="T192" s="39">
        <f>132969</f>
        <v>132969</v>
      </c>
      <c r="U192" s="30" t="str">
        <f>"－"</f>
        <v>－</v>
      </c>
      <c r="V192" s="30">
        <f>286399048</f>
        <v>286399048</v>
      </c>
      <c r="W192" s="30" t="str">
        <f>"－"</f>
        <v>－</v>
      </c>
      <c r="X192" s="34">
        <f>21</f>
        <v>21</v>
      </c>
    </row>
    <row r="193" spans="1:24">
      <c r="A193" s="25" t="s">
        <v>1238</v>
      </c>
      <c r="B193" s="25" t="s">
        <v>468</v>
      </c>
      <c r="C193" s="25" t="s">
        <v>469</v>
      </c>
      <c r="D193" s="25" t="s">
        <v>470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1865</f>
        <v>1865</v>
      </c>
      <c r="L193" s="32" t="s">
        <v>1239</v>
      </c>
      <c r="M193" s="31">
        <f>1888</f>
        <v>1888</v>
      </c>
      <c r="N193" s="32" t="s">
        <v>1239</v>
      </c>
      <c r="O193" s="31">
        <f>1197</f>
        <v>1197</v>
      </c>
      <c r="P193" s="32" t="s">
        <v>852</v>
      </c>
      <c r="Q193" s="31">
        <f>1249</f>
        <v>1249</v>
      </c>
      <c r="R193" s="32" t="s">
        <v>755</v>
      </c>
      <c r="S193" s="33">
        <f>1413.14</f>
        <v>1413.14</v>
      </c>
      <c r="T193" s="39">
        <f>10710581</f>
        <v>10710581</v>
      </c>
      <c r="U193" s="30">
        <f>1414</f>
        <v>1414</v>
      </c>
      <c r="V193" s="30">
        <f>14461041617</f>
        <v>14461041617</v>
      </c>
      <c r="W193" s="30">
        <f>2085182</f>
        <v>2085182</v>
      </c>
      <c r="X193" s="34">
        <f>21</f>
        <v>21</v>
      </c>
    </row>
    <row r="194" spans="1:24">
      <c r="A194" s="25" t="s">
        <v>1238</v>
      </c>
      <c r="B194" s="25" t="s">
        <v>471</v>
      </c>
      <c r="C194" s="25" t="s">
        <v>472</v>
      </c>
      <c r="D194" s="25" t="s">
        <v>473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920</f>
        <v>920</v>
      </c>
      <c r="L194" s="32" t="s">
        <v>1239</v>
      </c>
      <c r="M194" s="31">
        <f>1115</f>
        <v>1115</v>
      </c>
      <c r="N194" s="32" t="s">
        <v>852</v>
      </c>
      <c r="O194" s="31">
        <f>919</f>
        <v>919</v>
      </c>
      <c r="P194" s="32" t="s">
        <v>1239</v>
      </c>
      <c r="Q194" s="31">
        <f>1072</f>
        <v>1072</v>
      </c>
      <c r="R194" s="32" t="s">
        <v>755</v>
      </c>
      <c r="S194" s="33">
        <f>1026.76</f>
        <v>1026.76</v>
      </c>
      <c r="T194" s="39">
        <f>2690480</f>
        <v>2690480</v>
      </c>
      <c r="U194" s="30">
        <f>45</f>
        <v>45</v>
      </c>
      <c r="V194" s="30">
        <f>2803558416</f>
        <v>2803558416</v>
      </c>
      <c r="W194" s="30">
        <f>43510</f>
        <v>43510</v>
      </c>
      <c r="X194" s="34">
        <f>21</f>
        <v>21</v>
      </c>
    </row>
    <row r="195" spans="1:24">
      <c r="A195" s="25" t="s">
        <v>1238</v>
      </c>
      <c r="B195" s="25" t="s">
        <v>474</v>
      </c>
      <c r="C195" s="25" t="s">
        <v>475</v>
      </c>
      <c r="D195" s="25" t="s">
        <v>476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28470</f>
        <v>28470</v>
      </c>
      <c r="L195" s="32" t="s">
        <v>1239</v>
      </c>
      <c r="M195" s="31">
        <f>28690</f>
        <v>28690</v>
      </c>
      <c r="N195" s="32" t="s">
        <v>1240</v>
      </c>
      <c r="O195" s="31">
        <f>22180</f>
        <v>22180</v>
      </c>
      <c r="P195" s="32" t="s">
        <v>1079</v>
      </c>
      <c r="Q195" s="31">
        <f>26190</f>
        <v>26190</v>
      </c>
      <c r="R195" s="32" t="s">
        <v>755</v>
      </c>
      <c r="S195" s="33">
        <f>25780</f>
        <v>25780</v>
      </c>
      <c r="T195" s="39">
        <f>51282</f>
        <v>51282</v>
      </c>
      <c r="U195" s="30" t="str">
        <f t="shared" ref="U195:U200" si="2">"－"</f>
        <v>－</v>
      </c>
      <c r="V195" s="30">
        <f>1287642280</f>
        <v>1287642280</v>
      </c>
      <c r="W195" s="30" t="str">
        <f t="shared" ref="W195:W200" si="3">"－"</f>
        <v>－</v>
      </c>
      <c r="X195" s="34">
        <f>21</f>
        <v>21</v>
      </c>
    </row>
    <row r="196" spans="1:24">
      <c r="A196" s="25" t="s">
        <v>1238</v>
      </c>
      <c r="B196" s="25" t="s">
        <v>477</v>
      </c>
      <c r="C196" s="25" t="s">
        <v>478</v>
      </c>
      <c r="D196" s="25" t="s">
        <v>479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2456</f>
        <v>2456</v>
      </c>
      <c r="L196" s="32" t="s">
        <v>1239</v>
      </c>
      <c r="M196" s="31">
        <f>2890</f>
        <v>2890</v>
      </c>
      <c r="N196" s="32" t="s">
        <v>1079</v>
      </c>
      <c r="O196" s="31">
        <f>2440</f>
        <v>2440</v>
      </c>
      <c r="P196" s="32" t="s">
        <v>1240</v>
      </c>
      <c r="Q196" s="31">
        <f>2508</f>
        <v>2508</v>
      </c>
      <c r="R196" s="32" t="s">
        <v>755</v>
      </c>
      <c r="S196" s="33">
        <f>2558.1</f>
        <v>2558.1</v>
      </c>
      <c r="T196" s="39">
        <f>668401</f>
        <v>668401</v>
      </c>
      <c r="U196" s="30" t="str">
        <f t="shared" si="2"/>
        <v>－</v>
      </c>
      <c r="V196" s="30">
        <f>1751331621</f>
        <v>1751331621</v>
      </c>
      <c r="W196" s="30" t="str">
        <f t="shared" si="3"/>
        <v>－</v>
      </c>
      <c r="X196" s="34">
        <f>21</f>
        <v>21</v>
      </c>
    </row>
    <row r="197" spans="1:24">
      <c r="A197" s="25" t="s">
        <v>1238</v>
      </c>
      <c r="B197" s="25" t="s">
        <v>480</v>
      </c>
      <c r="C197" s="25" t="s">
        <v>1029</v>
      </c>
      <c r="D197" s="25" t="s">
        <v>1030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6894</f>
        <v>6894</v>
      </c>
      <c r="L197" s="32" t="s">
        <v>1239</v>
      </c>
      <c r="M197" s="31">
        <f>7148</f>
        <v>7148</v>
      </c>
      <c r="N197" s="32" t="s">
        <v>1076</v>
      </c>
      <c r="O197" s="31">
        <f>5704</f>
        <v>5704</v>
      </c>
      <c r="P197" s="32" t="s">
        <v>1079</v>
      </c>
      <c r="Q197" s="31">
        <f>7110</f>
        <v>7110</v>
      </c>
      <c r="R197" s="32" t="s">
        <v>755</v>
      </c>
      <c r="S197" s="33">
        <f>6692.81</f>
        <v>6692.81</v>
      </c>
      <c r="T197" s="39">
        <f>24636</f>
        <v>24636</v>
      </c>
      <c r="U197" s="30" t="str">
        <f t="shared" si="2"/>
        <v>－</v>
      </c>
      <c r="V197" s="30">
        <f>162805779</f>
        <v>162805779</v>
      </c>
      <c r="W197" s="30" t="str">
        <f t="shared" si="3"/>
        <v>－</v>
      </c>
      <c r="X197" s="34">
        <f>21</f>
        <v>21</v>
      </c>
    </row>
    <row r="198" spans="1:24">
      <c r="A198" s="25" t="s">
        <v>1238</v>
      </c>
      <c r="B198" s="25" t="s">
        <v>481</v>
      </c>
      <c r="C198" s="25" t="s">
        <v>482</v>
      </c>
      <c r="D198" s="25" t="s">
        <v>483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20295</f>
        <v>20295</v>
      </c>
      <c r="L198" s="32" t="s">
        <v>1239</v>
      </c>
      <c r="M198" s="31">
        <f>20705</f>
        <v>20705</v>
      </c>
      <c r="N198" s="32" t="s">
        <v>1239</v>
      </c>
      <c r="O198" s="31">
        <f>17985</f>
        <v>17985</v>
      </c>
      <c r="P198" s="32" t="s">
        <v>852</v>
      </c>
      <c r="Q198" s="31">
        <f>19500</f>
        <v>19500</v>
      </c>
      <c r="R198" s="32" t="s">
        <v>755</v>
      </c>
      <c r="S198" s="33">
        <f>19323.33</f>
        <v>19323.330000000002</v>
      </c>
      <c r="T198" s="39">
        <f>599</f>
        <v>599</v>
      </c>
      <c r="U198" s="30" t="str">
        <f t="shared" si="2"/>
        <v>－</v>
      </c>
      <c r="V198" s="30">
        <f>11347435</f>
        <v>11347435</v>
      </c>
      <c r="W198" s="30" t="str">
        <f t="shared" si="3"/>
        <v>－</v>
      </c>
      <c r="X198" s="34">
        <f>18</f>
        <v>18</v>
      </c>
    </row>
    <row r="199" spans="1:24">
      <c r="A199" s="25" t="s">
        <v>1238</v>
      </c>
      <c r="B199" s="25" t="s">
        <v>484</v>
      </c>
      <c r="C199" s="25" t="s">
        <v>485</v>
      </c>
      <c r="D199" s="25" t="s">
        <v>486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29420</f>
        <v>29420</v>
      </c>
      <c r="L199" s="32" t="s">
        <v>1239</v>
      </c>
      <c r="M199" s="31">
        <f>29590</f>
        <v>29590</v>
      </c>
      <c r="N199" s="32" t="s">
        <v>1239</v>
      </c>
      <c r="O199" s="31">
        <f>24650</f>
        <v>24650</v>
      </c>
      <c r="P199" s="32" t="s">
        <v>852</v>
      </c>
      <c r="Q199" s="31">
        <f>26470</f>
        <v>26470</v>
      </c>
      <c r="R199" s="32" t="s">
        <v>755</v>
      </c>
      <c r="S199" s="33">
        <f>26766.43</f>
        <v>26766.43</v>
      </c>
      <c r="T199" s="39">
        <f>42079</f>
        <v>42079</v>
      </c>
      <c r="U199" s="30" t="str">
        <f t="shared" si="2"/>
        <v>－</v>
      </c>
      <c r="V199" s="30">
        <f>1116551760</f>
        <v>1116551760</v>
      </c>
      <c r="W199" s="30" t="str">
        <f t="shared" si="3"/>
        <v>－</v>
      </c>
      <c r="X199" s="34">
        <f>21</f>
        <v>21</v>
      </c>
    </row>
    <row r="200" spans="1:24">
      <c r="A200" s="25" t="s">
        <v>1238</v>
      </c>
      <c r="B200" s="25" t="s">
        <v>487</v>
      </c>
      <c r="C200" s="25" t="s">
        <v>488</v>
      </c>
      <c r="D200" s="25" t="s">
        <v>489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16725</f>
        <v>16725</v>
      </c>
      <c r="L200" s="32" t="s">
        <v>1239</v>
      </c>
      <c r="M200" s="31">
        <f>16775</f>
        <v>16775</v>
      </c>
      <c r="N200" s="32" t="s">
        <v>1240</v>
      </c>
      <c r="O200" s="31">
        <f>14805</f>
        <v>14805</v>
      </c>
      <c r="P200" s="32" t="s">
        <v>738</v>
      </c>
      <c r="Q200" s="31">
        <f>16005</f>
        <v>16005</v>
      </c>
      <c r="R200" s="32" t="s">
        <v>1210</v>
      </c>
      <c r="S200" s="33">
        <f>15662.35</f>
        <v>15662.35</v>
      </c>
      <c r="T200" s="39">
        <f>510</f>
        <v>510</v>
      </c>
      <c r="U200" s="30" t="str">
        <f t="shared" si="2"/>
        <v>－</v>
      </c>
      <c r="V200" s="30">
        <f>7855535</f>
        <v>7855535</v>
      </c>
      <c r="W200" s="30" t="str">
        <f t="shared" si="3"/>
        <v>－</v>
      </c>
      <c r="X200" s="34">
        <f>17</f>
        <v>17</v>
      </c>
    </row>
    <row r="201" spans="1:24">
      <c r="A201" s="25" t="s">
        <v>1238</v>
      </c>
      <c r="B201" s="25" t="s">
        <v>490</v>
      </c>
      <c r="C201" s="25" t="s">
        <v>491</v>
      </c>
      <c r="D201" s="25" t="s">
        <v>492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27855</f>
        <v>27855</v>
      </c>
      <c r="L201" s="32" t="s">
        <v>1239</v>
      </c>
      <c r="M201" s="31">
        <f>28915</f>
        <v>28915</v>
      </c>
      <c r="N201" s="32" t="s">
        <v>663</v>
      </c>
      <c r="O201" s="31">
        <f>22045</f>
        <v>22045</v>
      </c>
      <c r="P201" s="32" t="s">
        <v>1079</v>
      </c>
      <c r="Q201" s="31">
        <f>28365</f>
        <v>28365</v>
      </c>
      <c r="R201" s="32" t="s">
        <v>755</v>
      </c>
      <c r="S201" s="33">
        <f>26846.9</f>
        <v>26846.9</v>
      </c>
      <c r="T201" s="39">
        <f>109465</f>
        <v>109465</v>
      </c>
      <c r="U201" s="30">
        <f>4</f>
        <v>4</v>
      </c>
      <c r="V201" s="30">
        <f>2860595845</f>
        <v>2860595845</v>
      </c>
      <c r="W201" s="30">
        <f>114600</f>
        <v>114600</v>
      </c>
      <c r="X201" s="34">
        <f>21</f>
        <v>21</v>
      </c>
    </row>
    <row r="202" spans="1:24">
      <c r="A202" s="25" t="s">
        <v>1238</v>
      </c>
      <c r="B202" s="25" t="s">
        <v>493</v>
      </c>
      <c r="C202" s="25" t="s">
        <v>494</v>
      </c>
      <c r="D202" s="25" t="s">
        <v>495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3710</f>
        <v>3710</v>
      </c>
      <c r="L202" s="32" t="s">
        <v>1239</v>
      </c>
      <c r="M202" s="31">
        <f>3900</f>
        <v>3900</v>
      </c>
      <c r="N202" s="32" t="s">
        <v>1079</v>
      </c>
      <c r="O202" s="31">
        <f>3310</f>
        <v>3310</v>
      </c>
      <c r="P202" s="32" t="s">
        <v>756</v>
      </c>
      <c r="Q202" s="31">
        <f>3380</f>
        <v>3380</v>
      </c>
      <c r="R202" s="32" t="s">
        <v>755</v>
      </c>
      <c r="S202" s="33">
        <f>3534.29</f>
        <v>3534.29</v>
      </c>
      <c r="T202" s="39">
        <f>15832</f>
        <v>15832</v>
      </c>
      <c r="U202" s="30" t="str">
        <f t="shared" ref="U202:U217" si="4">"－"</f>
        <v>－</v>
      </c>
      <c r="V202" s="30">
        <f>57081635</f>
        <v>57081635</v>
      </c>
      <c r="W202" s="30" t="str">
        <f t="shared" ref="W202:W217" si="5">"－"</f>
        <v>－</v>
      </c>
      <c r="X202" s="34">
        <f>21</f>
        <v>21</v>
      </c>
    </row>
    <row r="203" spans="1:24">
      <c r="A203" s="25" t="s">
        <v>1238</v>
      </c>
      <c r="B203" s="25" t="s">
        <v>496</v>
      </c>
      <c r="C203" s="25" t="s">
        <v>497</v>
      </c>
      <c r="D203" s="25" t="s">
        <v>498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29830</f>
        <v>29830</v>
      </c>
      <c r="L203" s="32" t="s">
        <v>1204</v>
      </c>
      <c r="M203" s="31">
        <f>29840</f>
        <v>29840</v>
      </c>
      <c r="N203" s="32" t="s">
        <v>1078</v>
      </c>
      <c r="O203" s="31">
        <f>24940</f>
        <v>24940</v>
      </c>
      <c r="P203" s="32" t="s">
        <v>1079</v>
      </c>
      <c r="Q203" s="31">
        <f>29440</f>
        <v>29440</v>
      </c>
      <c r="R203" s="32" t="s">
        <v>755</v>
      </c>
      <c r="S203" s="33">
        <f>28339.38</f>
        <v>28339.38</v>
      </c>
      <c r="T203" s="39">
        <f>1241</f>
        <v>1241</v>
      </c>
      <c r="U203" s="30" t="str">
        <f t="shared" si="4"/>
        <v>－</v>
      </c>
      <c r="V203" s="30">
        <f>34817380</f>
        <v>34817380</v>
      </c>
      <c r="W203" s="30" t="str">
        <f t="shared" si="5"/>
        <v>－</v>
      </c>
      <c r="X203" s="34">
        <f>16</f>
        <v>16</v>
      </c>
    </row>
    <row r="204" spans="1:24">
      <c r="A204" s="25" t="s">
        <v>1238</v>
      </c>
      <c r="B204" s="25" t="s">
        <v>499</v>
      </c>
      <c r="C204" s="25" t="s">
        <v>500</v>
      </c>
      <c r="D204" s="25" t="s">
        <v>501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19730</f>
        <v>19730</v>
      </c>
      <c r="L204" s="32" t="s">
        <v>1239</v>
      </c>
      <c r="M204" s="31">
        <f>19730</f>
        <v>19730</v>
      </c>
      <c r="N204" s="32" t="s">
        <v>1239</v>
      </c>
      <c r="O204" s="31">
        <f>17400</f>
        <v>17400</v>
      </c>
      <c r="P204" s="32" t="s">
        <v>852</v>
      </c>
      <c r="Q204" s="31">
        <f>19495</f>
        <v>19495</v>
      </c>
      <c r="R204" s="32" t="s">
        <v>1210</v>
      </c>
      <c r="S204" s="33">
        <f>18819.5</f>
        <v>18819.5</v>
      </c>
      <c r="T204" s="39">
        <f>149</f>
        <v>149</v>
      </c>
      <c r="U204" s="30" t="str">
        <f t="shared" si="4"/>
        <v>－</v>
      </c>
      <c r="V204" s="30">
        <f>2867795</f>
        <v>2867795</v>
      </c>
      <c r="W204" s="30" t="str">
        <f t="shared" si="5"/>
        <v>－</v>
      </c>
      <c r="X204" s="34">
        <f>10</f>
        <v>10</v>
      </c>
    </row>
    <row r="205" spans="1:24">
      <c r="A205" s="25" t="s">
        <v>1238</v>
      </c>
      <c r="B205" s="25" t="s">
        <v>502</v>
      </c>
      <c r="C205" s="25" t="s">
        <v>503</v>
      </c>
      <c r="D205" s="25" t="s">
        <v>504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34720</f>
        <v>34720</v>
      </c>
      <c r="L205" s="32" t="s">
        <v>1204</v>
      </c>
      <c r="M205" s="31">
        <f>34720</f>
        <v>34720</v>
      </c>
      <c r="N205" s="32" t="s">
        <v>1204</v>
      </c>
      <c r="O205" s="31">
        <f>32090</f>
        <v>32090</v>
      </c>
      <c r="P205" s="32" t="s">
        <v>1220</v>
      </c>
      <c r="Q205" s="31">
        <f>34440</f>
        <v>34440</v>
      </c>
      <c r="R205" s="32" t="s">
        <v>1078</v>
      </c>
      <c r="S205" s="33">
        <f>33413</f>
        <v>33413</v>
      </c>
      <c r="T205" s="39">
        <f>480</f>
        <v>480</v>
      </c>
      <c r="U205" s="30" t="str">
        <f t="shared" si="4"/>
        <v>－</v>
      </c>
      <c r="V205" s="30">
        <f>16365420</f>
        <v>16365420</v>
      </c>
      <c r="W205" s="30" t="str">
        <f t="shared" si="5"/>
        <v>－</v>
      </c>
      <c r="X205" s="34">
        <f>10</f>
        <v>10</v>
      </c>
    </row>
    <row r="206" spans="1:24">
      <c r="A206" s="25" t="s">
        <v>1238</v>
      </c>
      <c r="B206" s="25" t="s">
        <v>505</v>
      </c>
      <c r="C206" s="25" t="s">
        <v>506</v>
      </c>
      <c r="D206" s="25" t="s">
        <v>507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18755</f>
        <v>18755</v>
      </c>
      <c r="L206" s="32" t="s">
        <v>1076</v>
      </c>
      <c r="M206" s="31">
        <f>19030</f>
        <v>19030</v>
      </c>
      <c r="N206" s="32" t="s">
        <v>756</v>
      </c>
      <c r="O206" s="31">
        <f>18755</f>
        <v>18755</v>
      </c>
      <c r="P206" s="32" t="s">
        <v>1076</v>
      </c>
      <c r="Q206" s="31">
        <f>19030</f>
        <v>19030</v>
      </c>
      <c r="R206" s="32" t="s">
        <v>756</v>
      </c>
      <c r="S206" s="33">
        <f>18935</f>
        <v>18935</v>
      </c>
      <c r="T206" s="39">
        <f>154</f>
        <v>154</v>
      </c>
      <c r="U206" s="30" t="str">
        <f t="shared" si="4"/>
        <v>－</v>
      </c>
      <c r="V206" s="30">
        <f>2889340</f>
        <v>2889340</v>
      </c>
      <c r="W206" s="30" t="str">
        <f t="shared" si="5"/>
        <v>－</v>
      </c>
      <c r="X206" s="34">
        <f>3</f>
        <v>3</v>
      </c>
    </row>
    <row r="207" spans="1:24">
      <c r="A207" s="25" t="s">
        <v>1238</v>
      </c>
      <c r="B207" s="25" t="s">
        <v>508</v>
      </c>
      <c r="C207" s="25" t="s">
        <v>509</v>
      </c>
      <c r="D207" s="25" t="s">
        <v>510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>
        <f>19605</f>
        <v>19605</v>
      </c>
      <c r="L207" s="32" t="s">
        <v>1239</v>
      </c>
      <c r="M207" s="31">
        <f>19605</f>
        <v>19605</v>
      </c>
      <c r="N207" s="32" t="s">
        <v>1239</v>
      </c>
      <c r="O207" s="31">
        <f>16005</f>
        <v>16005</v>
      </c>
      <c r="P207" s="32" t="s">
        <v>1079</v>
      </c>
      <c r="Q207" s="31">
        <f>19210</f>
        <v>19210</v>
      </c>
      <c r="R207" s="32" t="s">
        <v>755</v>
      </c>
      <c r="S207" s="33">
        <f>18333.18</f>
        <v>18333.18</v>
      </c>
      <c r="T207" s="39">
        <f>473</f>
        <v>473</v>
      </c>
      <c r="U207" s="30" t="str">
        <f t="shared" si="4"/>
        <v>－</v>
      </c>
      <c r="V207" s="30">
        <f>8624380</f>
        <v>8624380</v>
      </c>
      <c r="W207" s="30" t="str">
        <f t="shared" si="5"/>
        <v>－</v>
      </c>
      <c r="X207" s="34">
        <f>11</f>
        <v>11</v>
      </c>
    </row>
    <row r="208" spans="1:24">
      <c r="A208" s="25" t="s">
        <v>1238</v>
      </c>
      <c r="B208" s="25" t="s">
        <v>511</v>
      </c>
      <c r="C208" s="25" t="s">
        <v>512</v>
      </c>
      <c r="D208" s="25" t="s">
        <v>513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22485</f>
        <v>22485</v>
      </c>
      <c r="L208" s="32" t="s">
        <v>1239</v>
      </c>
      <c r="M208" s="31">
        <f>22485</f>
        <v>22485</v>
      </c>
      <c r="N208" s="32" t="s">
        <v>1239</v>
      </c>
      <c r="O208" s="31">
        <f>22350</f>
        <v>22350</v>
      </c>
      <c r="P208" s="32" t="s">
        <v>1240</v>
      </c>
      <c r="Q208" s="31">
        <f>22350</f>
        <v>22350</v>
      </c>
      <c r="R208" s="32" t="s">
        <v>1240</v>
      </c>
      <c r="S208" s="33">
        <f>22417.5</f>
        <v>22417.5</v>
      </c>
      <c r="T208" s="39">
        <f>2</f>
        <v>2</v>
      </c>
      <c r="U208" s="30" t="str">
        <f t="shared" si="4"/>
        <v>－</v>
      </c>
      <c r="V208" s="30">
        <f>44835</f>
        <v>44835</v>
      </c>
      <c r="W208" s="30" t="str">
        <f t="shared" si="5"/>
        <v>－</v>
      </c>
      <c r="X208" s="34">
        <f>2</f>
        <v>2</v>
      </c>
    </row>
    <row r="209" spans="1:24">
      <c r="A209" s="25" t="s">
        <v>1238</v>
      </c>
      <c r="B209" s="25" t="s">
        <v>514</v>
      </c>
      <c r="C209" s="25" t="s">
        <v>515</v>
      </c>
      <c r="D209" s="25" t="s">
        <v>516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17705</f>
        <v>17705</v>
      </c>
      <c r="L209" s="32" t="s">
        <v>1079</v>
      </c>
      <c r="M209" s="31">
        <f>17705</f>
        <v>17705</v>
      </c>
      <c r="N209" s="32" t="s">
        <v>1079</v>
      </c>
      <c r="O209" s="31">
        <f>16265</f>
        <v>16265</v>
      </c>
      <c r="P209" s="32" t="s">
        <v>1079</v>
      </c>
      <c r="Q209" s="31">
        <f>16265</f>
        <v>16265</v>
      </c>
      <c r="R209" s="32" t="s">
        <v>1079</v>
      </c>
      <c r="S209" s="33">
        <f>16265</f>
        <v>16265</v>
      </c>
      <c r="T209" s="39">
        <f>4</f>
        <v>4</v>
      </c>
      <c r="U209" s="30" t="str">
        <f t="shared" si="4"/>
        <v>－</v>
      </c>
      <c r="V209" s="30">
        <f>67940</f>
        <v>67940</v>
      </c>
      <c r="W209" s="30" t="str">
        <f t="shared" si="5"/>
        <v>－</v>
      </c>
      <c r="X209" s="34">
        <f>1</f>
        <v>1</v>
      </c>
    </row>
    <row r="210" spans="1:24">
      <c r="A210" s="25" t="s">
        <v>1238</v>
      </c>
      <c r="B210" s="25" t="s">
        <v>517</v>
      </c>
      <c r="C210" s="25" t="s">
        <v>518</v>
      </c>
      <c r="D210" s="25" t="s">
        <v>519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11980</f>
        <v>11980</v>
      </c>
      <c r="L210" s="32" t="s">
        <v>1210</v>
      </c>
      <c r="M210" s="31">
        <f>11980</f>
        <v>11980</v>
      </c>
      <c r="N210" s="32" t="s">
        <v>1210</v>
      </c>
      <c r="O210" s="31">
        <f>11980</f>
        <v>11980</v>
      </c>
      <c r="P210" s="32" t="s">
        <v>1210</v>
      </c>
      <c r="Q210" s="31">
        <f>11980</f>
        <v>11980</v>
      </c>
      <c r="R210" s="32" t="s">
        <v>1210</v>
      </c>
      <c r="S210" s="33">
        <f>11980</f>
        <v>11980</v>
      </c>
      <c r="T210" s="39">
        <f>500</f>
        <v>500</v>
      </c>
      <c r="U210" s="30" t="str">
        <f t="shared" si="4"/>
        <v>－</v>
      </c>
      <c r="V210" s="30">
        <f>5990000</f>
        <v>5990000</v>
      </c>
      <c r="W210" s="30" t="str">
        <f t="shared" si="5"/>
        <v>－</v>
      </c>
      <c r="X210" s="34">
        <f>1</f>
        <v>1</v>
      </c>
    </row>
    <row r="211" spans="1:24">
      <c r="A211" s="25" t="s">
        <v>1238</v>
      </c>
      <c r="B211" s="25" t="s">
        <v>520</v>
      </c>
      <c r="C211" s="25" t="s">
        <v>521</v>
      </c>
      <c r="D211" s="25" t="s">
        <v>522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>
        <f>13900</f>
        <v>13900</v>
      </c>
      <c r="L211" s="32" t="s">
        <v>1240</v>
      </c>
      <c r="M211" s="31">
        <f>14165</f>
        <v>14165</v>
      </c>
      <c r="N211" s="32" t="s">
        <v>755</v>
      </c>
      <c r="O211" s="31">
        <f>12370</f>
        <v>12370</v>
      </c>
      <c r="P211" s="32" t="s">
        <v>1079</v>
      </c>
      <c r="Q211" s="31">
        <f>14165</f>
        <v>14165</v>
      </c>
      <c r="R211" s="32" t="s">
        <v>755</v>
      </c>
      <c r="S211" s="33">
        <f>13395</f>
        <v>13395</v>
      </c>
      <c r="T211" s="39">
        <f>3585</f>
        <v>3585</v>
      </c>
      <c r="U211" s="30" t="str">
        <f t="shared" si="4"/>
        <v>－</v>
      </c>
      <c r="V211" s="30">
        <f>47481595</f>
        <v>47481595</v>
      </c>
      <c r="W211" s="30" t="str">
        <f t="shared" si="5"/>
        <v>－</v>
      </c>
      <c r="X211" s="34">
        <f>11</f>
        <v>11</v>
      </c>
    </row>
    <row r="212" spans="1:24">
      <c r="A212" s="25" t="s">
        <v>1238</v>
      </c>
      <c r="B212" s="25" t="s">
        <v>523</v>
      </c>
      <c r="C212" s="25" t="s">
        <v>524</v>
      </c>
      <c r="D212" s="25" t="s">
        <v>525</v>
      </c>
      <c r="E212" s="26" t="s">
        <v>43</v>
      </c>
      <c r="F212" s="27" t="s">
        <v>43</v>
      </c>
      <c r="G212" s="28" t="s">
        <v>43</v>
      </c>
      <c r="H212" s="29"/>
      <c r="I212" s="29" t="s">
        <v>452</v>
      </c>
      <c r="J212" s="30">
        <v>1</v>
      </c>
      <c r="K212" s="31">
        <f>12590</f>
        <v>12590</v>
      </c>
      <c r="L212" s="32" t="s">
        <v>1239</v>
      </c>
      <c r="M212" s="31">
        <f>12620</f>
        <v>12620</v>
      </c>
      <c r="N212" s="32" t="s">
        <v>1240</v>
      </c>
      <c r="O212" s="31">
        <f>11970</f>
        <v>11970</v>
      </c>
      <c r="P212" s="32" t="s">
        <v>1208</v>
      </c>
      <c r="Q212" s="31">
        <f>12280</f>
        <v>12280</v>
      </c>
      <c r="R212" s="32" t="s">
        <v>756</v>
      </c>
      <c r="S212" s="33">
        <f>12255.71</f>
        <v>12255.71</v>
      </c>
      <c r="T212" s="39">
        <f>1724</f>
        <v>1724</v>
      </c>
      <c r="U212" s="30" t="str">
        <f t="shared" si="4"/>
        <v>－</v>
      </c>
      <c r="V212" s="30">
        <f>21025150</f>
        <v>21025150</v>
      </c>
      <c r="W212" s="30" t="str">
        <f t="shared" si="5"/>
        <v>－</v>
      </c>
      <c r="X212" s="34">
        <f>7</f>
        <v>7</v>
      </c>
    </row>
    <row r="213" spans="1:24">
      <c r="A213" s="25" t="s">
        <v>1238</v>
      </c>
      <c r="B213" s="25" t="s">
        <v>761</v>
      </c>
      <c r="C213" s="25" t="s">
        <v>762</v>
      </c>
      <c r="D213" s="25" t="s">
        <v>763</v>
      </c>
      <c r="E213" s="26" t="s">
        <v>43</v>
      </c>
      <c r="F213" s="27" t="s">
        <v>43</v>
      </c>
      <c r="G213" s="28" t="s">
        <v>43</v>
      </c>
      <c r="H213" s="29"/>
      <c r="I213" s="29" t="s">
        <v>452</v>
      </c>
      <c r="J213" s="30">
        <v>1</v>
      </c>
      <c r="K213" s="31">
        <f>13395</f>
        <v>13395</v>
      </c>
      <c r="L213" s="32" t="s">
        <v>1240</v>
      </c>
      <c r="M213" s="31">
        <f>13660</f>
        <v>13660</v>
      </c>
      <c r="N213" s="32" t="s">
        <v>756</v>
      </c>
      <c r="O213" s="31">
        <f>13395</f>
        <v>13395</v>
      </c>
      <c r="P213" s="32" t="s">
        <v>1240</v>
      </c>
      <c r="Q213" s="31">
        <f>13660</f>
        <v>13660</v>
      </c>
      <c r="R213" s="32" t="s">
        <v>756</v>
      </c>
      <c r="S213" s="33">
        <f>13527.5</f>
        <v>13527.5</v>
      </c>
      <c r="T213" s="39">
        <f>1461</f>
        <v>1461</v>
      </c>
      <c r="U213" s="30" t="str">
        <f t="shared" si="4"/>
        <v>－</v>
      </c>
      <c r="V213" s="30">
        <f>19956995</f>
        <v>19956995</v>
      </c>
      <c r="W213" s="30" t="str">
        <f t="shared" si="5"/>
        <v>－</v>
      </c>
      <c r="X213" s="34">
        <f>2</f>
        <v>2</v>
      </c>
    </row>
    <row r="214" spans="1:24">
      <c r="A214" s="25" t="s">
        <v>1238</v>
      </c>
      <c r="B214" s="25" t="s">
        <v>963</v>
      </c>
      <c r="C214" s="25" t="s">
        <v>964</v>
      </c>
      <c r="D214" s="25" t="s">
        <v>965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1257</f>
        <v>1257</v>
      </c>
      <c r="L214" s="32" t="s">
        <v>1239</v>
      </c>
      <c r="M214" s="31">
        <f>1257</f>
        <v>1257</v>
      </c>
      <c r="N214" s="32" t="s">
        <v>1239</v>
      </c>
      <c r="O214" s="31">
        <f>976</f>
        <v>976</v>
      </c>
      <c r="P214" s="32" t="s">
        <v>1079</v>
      </c>
      <c r="Q214" s="31">
        <f>1197</f>
        <v>1197</v>
      </c>
      <c r="R214" s="32" t="s">
        <v>755</v>
      </c>
      <c r="S214" s="33">
        <f>1137.57</f>
        <v>1137.57</v>
      </c>
      <c r="T214" s="39">
        <f>3087319</f>
        <v>3087319</v>
      </c>
      <c r="U214" s="30" t="str">
        <f t="shared" si="4"/>
        <v>－</v>
      </c>
      <c r="V214" s="30">
        <f>3451940021</f>
        <v>3451940021</v>
      </c>
      <c r="W214" s="30" t="str">
        <f t="shared" si="5"/>
        <v>－</v>
      </c>
      <c r="X214" s="34">
        <f>21</f>
        <v>21</v>
      </c>
    </row>
    <row r="215" spans="1:24">
      <c r="A215" s="25" t="s">
        <v>1238</v>
      </c>
      <c r="B215" s="25" t="s">
        <v>966</v>
      </c>
      <c r="C215" s="25" t="s">
        <v>967</v>
      </c>
      <c r="D215" s="25" t="s">
        <v>968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1287</f>
        <v>1287</v>
      </c>
      <c r="L215" s="32" t="s">
        <v>1239</v>
      </c>
      <c r="M215" s="31">
        <f>1289</f>
        <v>1289</v>
      </c>
      <c r="N215" s="32" t="s">
        <v>1239</v>
      </c>
      <c r="O215" s="31">
        <f>912</f>
        <v>912</v>
      </c>
      <c r="P215" s="32" t="s">
        <v>1079</v>
      </c>
      <c r="Q215" s="31">
        <f>1272</f>
        <v>1272</v>
      </c>
      <c r="R215" s="32" t="s">
        <v>755</v>
      </c>
      <c r="S215" s="33">
        <f>1201.14</f>
        <v>1201.1400000000001</v>
      </c>
      <c r="T215" s="39">
        <f>32002</f>
        <v>32002</v>
      </c>
      <c r="U215" s="30" t="str">
        <f t="shared" si="4"/>
        <v>－</v>
      </c>
      <c r="V215" s="30">
        <f>37695515</f>
        <v>37695515</v>
      </c>
      <c r="W215" s="30" t="str">
        <f t="shared" si="5"/>
        <v>－</v>
      </c>
      <c r="X215" s="34">
        <f>21</f>
        <v>21</v>
      </c>
    </row>
    <row r="216" spans="1:24">
      <c r="A216" s="25" t="s">
        <v>1238</v>
      </c>
      <c r="B216" s="25" t="s">
        <v>969</v>
      </c>
      <c r="C216" s="25" t="s">
        <v>970</v>
      </c>
      <c r="D216" s="25" t="s">
        <v>971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1027</f>
        <v>1027</v>
      </c>
      <c r="L216" s="32" t="s">
        <v>1239</v>
      </c>
      <c r="M216" s="31">
        <f>1063</f>
        <v>1063</v>
      </c>
      <c r="N216" s="32" t="s">
        <v>755</v>
      </c>
      <c r="O216" s="31">
        <f>829</f>
        <v>829</v>
      </c>
      <c r="P216" s="32" t="s">
        <v>1079</v>
      </c>
      <c r="Q216" s="31">
        <f>1056</f>
        <v>1056</v>
      </c>
      <c r="R216" s="32" t="s">
        <v>755</v>
      </c>
      <c r="S216" s="33">
        <f>1014.05</f>
        <v>1014.05</v>
      </c>
      <c r="T216" s="39">
        <f>12019</f>
        <v>12019</v>
      </c>
      <c r="U216" s="30" t="str">
        <f t="shared" si="4"/>
        <v>－</v>
      </c>
      <c r="V216" s="30">
        <f>11911546</f>
        <v>11911546</v>
      </c>
      <c r="W216" s="30" t="str">
        <f t="shared" si="5"/>
        <v>－</v>
      </c>
      <c r="X216" s="34">
        <f>21</f>
        <v>21</v>
      </c>
    </row>
    <row r="217" spans="1:24">
      <c r="A217" s="25" t="s">
        <v>1238</v>
      </c>
      <c r="B217" s="25" t="s">
        <v>972</v>
      </c>
      <c r="C217" s="25" t="s">
        <v>973</v>
      </c>
      <c r="D217" s="25" t="s">
        <v>974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</v>
      </c>
      <c r="K217" s="31">
        <f>2116</f>
        <v>2116</v>
      </c>
      <c r="L217" s="32" t="s">
        <v>1239</v>
      </c>
      <c r="M217" s="31">
        <f>2125</f>
        <v>2125</v>
      </c>
      <c r="N217" s="32" t="s">
        <v>1078</v>
      </c>
      <c r="O217" s="31">
        <f>1750</f>
        <v>1750</v>
      </c>
      <c r="P217" s="32" t="s">
        <v>1079</v>
      </c>
      <c r="Q217" s="31">
        <f>2117</f>
        <v>2117</v>
      </c>
      <c r="R217" s="32" t="s">
        <v>755</v>
      </c>
      <c r="S217" s="33">
        <f>2003.33</f>
        <v>2003.33</v>
      </c>
      <c r="T217" s="39">
        <f>218508</f>
        <v>218508</v>
      </c>
      <c r="U217" s="30" t="str">
        <f t="shared" si="4"/>
        <v>－</v>
      </c>
      <c r="V217" s="30">
        <f>437066264</f>
        <v>437066264</v>
      </c>
      <c r="W217" s="30" t="str">
        <f t="shared" si="5"/>
        <v>－</v>
      </c>
      <c r="X217" s="34">
        <f>21</f>
        <v>21</v>
      </c>
    </row>
    <row r="218" spans="1:24">
      <c r="A218" s="25" t="s">
        <v>1238</v>
      </c>
      <c r="B218" s="25" t="s">
        <v>975</v>
      </c>
      <c r="C218" s="25" t="s">
        <v>976</v>
      </c>
      <c r="D218" s="25" t="s">
        <v>977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</v>
      </c>
      <c r="K218" s="31">
        <f>2334</f>
        <v>2334</v>
      </c>
      <c r="L218" s="32" t="s">
        <v>1239</v>
      </c>
      <c r="M218" s="31">
        <f>2335</f>
        <v>2335</v>
      </c>
      <c r="N218" s="32" t="s">
        <v>1239</v>
      </c>
      <c r="O218" s="31">
        <f>1800</f>
        <v>1800</v>
      </c>
      <c r="P218" s="32" t="s">
        <v>1079</v>
      </c>
      <c r="Q218" s="31">
        <f>2177</f>
        <v>2177</v>
      </c>
      <c r="R218" s="32" t="s">
        <v>755</v>
      </c>
      <c r="S218" s="33">
        <f>2090.95</f>
        <v>2090.9499999999998</v>
      </c>
      <c r="T218" s="39">
        <f>778888</f>
        <v>778888</v>
      </c>
      <c r="U218" s="30">
        <f>13000</f>
        <v>13000</v>
      </c>
      <c r="V218" s="30">
        <f>1592544364</f>
        <v>1592544364</v>
      </c>
      <c r="W218" s="30">
        <f>26475300</f>
        <v>26475300</v>
      </c>
      <c r="X218" s="34">
        <f>21</f>
        <v>21</v>
      </c>
    </row>
    <row r="219" spans="1:24">
      <c r="A219" s="25" t="s">
        <v>1238</v>
      </c>
      <c r="B219" s="25" t="s">
        <v>978</v>
      </c>
      <c r="C219" s="25" t="s">
        <v>979</v>
      </c>
      <c r="D219" s="25" t="s">
        <v>980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574.1</f>
        <v>574.1</v>
      </c>
      <c r="L219" s="32" t="s">
        <v>1239</v>
      </c>
      <c r="M219" s="31">
        <f>574.1</f>
        <v>574.1</v>
      </c>
      <c r="N219" s="32" t="s">
        <v>1239</v>
      </c>
      <c r="O219" s="31">
        <f>483.4</f>
        <v>483.4</v>
      </c>
      <c r="P219" s="32" t="s">
        <v>1079</v>
      </c>
      <c r="Q219" s="31">
        <f>540.8</f>
        <v>540.79999999999995</v>
      </c>
      <c r="R219" s="32" t="s">
        <v>755</v>
      </c>
      <c r="S219" s="33">
        <f>530.27</f>
        <v>530.27</v>
      </c>
      <c r="T219" s="39">
        <f>2679850</f>
        <v>2679850</v>
      </c>
      <c r="U219" s="30" t="str">
        <f>"－"</f>
        <v>－</v>
      </c>
      <c r="V219" s="30">
        <f>1391735575</f>
        <v>1391735575</v>
      </c>
      <c r="W219" s="30" t="str">
        <f>"－"</f>
        <v>－</v>
      </c>
      <c r="X219" s="34">
        <f>21</f>
        <v>21</v>
      </c>
    </row>
    <row r="220" spans="1:24">
      <c r="A220" s="25" t="s">
        <v>1238</v>
      </c>
      <c r="B220" s="25" t="s">
        <v>981</v>
      </c>
      <c r="C220" s="25" t="s">
        <v>982</v>
      </c>
      <c r="D220" s="25" t="s">
        <v>983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2377.5</f>
        <v>2377.5</v>
      </c>
      <c r="L220" s="32" t="s">
        <v>1239</v>
      </c>
      <c r="M220" s="31">
        <f>2377.5</f>
        <v>2377.5</v>
      </c>
      <c r="N220" s="32" t="s">
        <v>1239</v>
      </c>
      <c r="O220" s="31">
        <f>2057</f>
        <v>2057</v>
      </c>
      <c r="P220" s="32" t="s">
        <v>1079</v>
      </c>
      <c r="Q220" s="31">
        <f>2312</f>
        <v>2312</v>
      </c>
      <c r="R220" s="32" t="s">
        <v>755</v>
      </c>
      <c r="S220" s="33">
        <f>2239.84</f>
        <v>2239.84</v>
      </c>
      <c r="T220" s="39">
        <f>829040</f>
        <v>829040</v>
      </c>
      <c r="U220" s="30">
        <f>489100</f>
        <v>489100</v>
      </c>
      <c r="V220" s="30">
        <f>1818327424</f>
        <v>1818327424</v>
      </c>
      <c r="W220" s="30">
        <f>1099133099</f>
        <v>1099133099</v>
      </c>
      <c r="X220" s="34">
        <f>16</f>
        <v>16</v>
      </c>
    </row>
    <row r="221" spans="1:24">
      <c r="A221" s="25" t="s">
        <v>1238</v>
      </c>
      <c r="B221" s="25" t="s">
        <v>984</v>
      </c>
      <c r="C221" s="25" t="s">
        <v>985</v>
      </c>
      <c r="D221" s="25" t="s">
        <v>986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2392</f>
        <v>2392</v>
      </c>
      <c r="L221" s="32" t="s">
        <v>1240</v>
      </c>
      <c r="M221" s="31">
        <f>2415.5</f>
        <v>2415.5</v>
      </c>
      <c r="N221" s="32" t="s">
        <v>755</v>
      </c>
      <c r="O221" s="31">
        <f>2050</f>
        <v>2050</v>
      </c>
      <c r="P221" s="32" t="s">
        <v>1079</v>
      </c>
      <c r="Q221" s="31">
        <f>2382.5</f>
        <v>2382.5</v>
      </c>
      <c r="R221" s="32" t="s">
        <v>755</v>
      </c>
      <c r="S221" s="33">
        <f>2280.61</f>
        <v>2280.61</v>
      </c>
      <c r="T221" s="39">
        <f>529810</f>
        <v>529810</v>
      </c>
      <c r="U221" s="30">
        <f>420000</f>
        <v>420000</v>
      </c>
      <c r="V221" s="30">
        <f>1237319636</f>
        <v>1237319636</v>
      </c>
      <c r="W221" s="30">
        <f>1002686706</f>
        <v>1002686706</v>
      </c>
      <c r="X221" s="34">
        <f>9</f>
        <v>9</v>
      </c>
    </row>
    <row r="222" spans="1:24">
      <c r="A222" s="25" t="s">
        <v>1238</v>
      </c>
      <c r="B222" s="25" t="s">
        <v>987</v>
      </c>
      <c r="C222" s="25" t="s">
        <v>988</v>
      </c>
      <c r="D222" s="25" t="s">
        <v>989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>
        <f>2100.5</f>
        <v>2100.5</v>
      </c>
      <c r="L222" s="32" t="s">
        <v>1220</v>
      </c>
      <c r="M222" s="31">
        <f>2163</f>
        <v>2163</v>
      </c>
      <c r="N222" s="32" t="s">
        <v>755</v>
      </c>
      <c r="O222" s="31">
        <f>2078</f>
        <v>2078</v>
      </c>
      <c r="P222" s="32" t="s">
        <v>663</v>
      </c>
      <c r="Q222" s="31">
        <f>2131</f>
        <v>2131</v>
      </c>
      <c r="R222" s="32" t="s">
        <v>755</v>
      </c>
      <c r="S222" s="33">
        <f>2107.9</f>
        <v>2107.9</v>
      </c>
      <c r="T222" s="39">
        <f>644830</f>
        <v>644830</v>
      </c>
      <c r="U222" s="30">
        <f>588000</f>
        <v>588000</v>
      </c>
      <c r="V222" s="30">
        <f>1369959824</f>
        <v>1369959824</v>
      </c>
      <c r="W222" s="30">
        <f>1250273339</f>
        <v>1250273339</v>
      </c>
      <c r="X222" s="34">
        <f>5</f>
        <v>5</v>
      </c>
    </row>
    <row r="223" spans="1:24">
      <c r="A223" s="25" t="s">
        <v>1238</v>
      </c>
      <c r="B223" s="25" t="s">
        <v>990</v>
      </c>
      <c r="C223" s="25" t="s">
        <v>991</v>
      </c>
      <c r="D223" s="25" t="s">
        <v>992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>
        <f>2630</f>
        <v>2630</v>
      </c>
      <c r="L223" s="32" t="s">
        <v>1240</v>
      </c>
      <c r="M223" s="31">
        <f>2716</f>
        <v>2716</v>
      </c>
      <c r="N223" s="32" t="s">
        <v>1076</v>
      </c>
      <c r="O223" s="31">
        <f>2247</f>
        <v>2247</v>
      </c>
      <c r="P223" s="32" t="s">
        <v>852</v>
      </c>
      <c r="Q223" s="31">
        <f>2594</f>
        <v>2594</v>
      </c>
      <c r="R223" s="32" t="s">
        <v>755</v>
      </c>
      <c r="S223" s="33">
        <f>2462.75</f>
        <v>2462.75</v>
      </c>
      <c r="T223" s="39">
        <f>462340</f>
        <v>462340</v>
      </c>
      <c r="U223" s="30">
        <f>393800</f>
        <v>393800</v>
      </c>
      <c r="V223" s="30">
        <f>1155784855</f>
        <v>1155784855</v>
      </c>
      <c r="W223" s="30">
        <f>999966495</f>
        <v>999966495</v>
      </c>
      <c r="X223" s="34">
        <f>20</f>
        <v>20</v>
      </c>
    </row>
    <row r="224" spans="1:24">
      <c r="A224" s="25" t="s">
        <v>1238</v>
      </c>
      <c r="B224" s="25" t="s">
        <v>993</v>
      </c>
      <c r="C224" s="25" t="s">
        <v>994</v>
      </c>
      <c r="D224" s="25" t="s">
        <v>995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>
        <f>4856</f>
        <v>4856</v>
      </c>
      <c r="L224" s="32" t="s">
        <v>1240</v>
      </c>
      <c r="M224" s="31">
        <f>4918</f>
        <v>4918</v>
      </c>
      <c r="N224" s="32" t="s">
        <v>1208</v>
      </c>
      <c r="O224" s="31">
        <f>4834</f>
        <v>4834</v>
      </c>
      <c r="P224" s="32" t="s">
        <v>738</v>
      </c>
      <c r="Q224" s="31">
        <f>4834</f>
        <v>4834</v>
      </c>
      <c r="R224" s="32" t="s">
        <v>738</v>
      </c>
      <c r="S224" s="33">
        <f>4872</f>
        <v>4872</v>
      </c>
      <c r="T224" s="39">
        <f>923510</f>
        <v>923510</v>
      </c>
      <c r="U224" s="30">
        <f>800000</f>
        <v>800000</v>
      </c>
      <c r="V224" s="30">
        <f>4482849670</f>
        <v>4482849670</v>
      </c>
      <c r="W224" s="30">
        <f>3881394080</f>
        <v>3881394080</v>
      </c>
      <c r="X224" s="34">
        <f>4</f>
        <v>4</v>
      </c>
    </row>
    <row r="225" spans="1:24">
      <c r="A225" s="25" t="s">
        <v>1238</v>
      </c>
      <c r="B225" s="25" t="s">
        <v>996</v>
      </c>
      <c r="C225" s="25" t="s">
        <v>997</v>
      </c>
      <c r="D225" s="25" t="s">
        <v>998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4785</f>
        <v>4785</v>
      </c>
      <c r="L225" s="32" t="s">
        <v>1204</v>
      </c>
      <c r="M225" s="31">
        <f>4800</f>
        <v>4800</v>
      </c>
      <c r="N225" s="32" t="s">
        <v>852</v>
      </c>
      <c r="O225" s="31">
        <f>4785</f>
        <v>4785</v>
      </c>
      <c r="P225" s="32" t="s">
        <v>1204</v>
      </c>
      <c r="Q225" s="31">
        <f>4800</f>
        <v>4800</v>
      </c>
      <c r="R225" s="32" t="s">
        <v>852</v>
      </c>
      <c r="S225" s="33">
        <f>4792.5</f>
        <v>4792.5</v>
      </c>
      <c r="T225" s="39">
        <f>20</f>
        <v>20</v>
      </c>
      <c r="U225" s="30" t="str">
        <f>"－"</f>
        <v>－</v>
      </c>
      <c r="V225" s="30">
        <f>95850</f>
        <v>95850</v>
      </c>
      <c r="W225" s="30" t="str">
        <f>"－"</f>
        <v>－</v>
      </c>
      <c r="X225" s="34">
        <f>2</f>
        <v>2</v>
      </c>
    </row>
    <row r="226" spans="1:24">
      <c r="A226" s="25" t="s">
        <v>1238</v>
      </c>
      <c r="B226" s="25" t="s">
        <v>999</v>
      </c>
      <c r="C226" s="25" t="s">
        <v>1000</v>
      </c>
      <c r="D226" s="25" t="s">
        <v>1001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10</v>
      </c>
      <c r="K226" s="31">
        <f>4966</f>
        <v>4966</v>
      </c>
      <c r="L226" s="32" t="s">
        <v>1208</v>
      </c>
      <c r="M226" s="31">
        <f>4966</f>
        <v>4966</v>
      </c>
      <c r="N226" s="32" t="s">
        <v>1208</v>
      </c>
      <c r="O226" s="31">
        <f>4840</f>
        <v>4840</v>
      </c>
      <c r="P226" s="32" t="s">
        <v>1077</v>
      </c>
      <c r="Q226" s="31">
        <f>4840</f>
        <v>4840</v>
      </c>
      <c r="R226" s="32" t="s">
        <v>1077</v>
      </c>
      <c r="S226" s="33">
        <f>4903</f>
        <v>4903</v>
      </c>
      <c r="T226" s="39">
        <f>60</f>
        <v>60</v>
      </c>
      <c r="U226" s="30" t="str">
        <f>"－"</f>
        <v>－</v>
      </c>
      <c r="V226" s="30">
        <f>291700</f>
        <v>291700</v>
      </c>
      <c r="W226" s="30" t="str">
        <f>"－"</f>
        <v>－</v>
      </c>
      <c r="X226" s="34">
        <f>2</f>
        <v>2</v>
      </c>
    </row>
    <row r="227" spans="1:24">
      <c r="A227" s="25" t="s">
        <v>1238</v>
      </c>
      <c r="B227" s="25" t="s">
        <v>1025</v>
      </c>
      <c r="C227" s="25" t="s">
        <v>1024</v>
      </c>
      <c r="D227" s="25" t="s">
        <v>1023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10</v>
      </c>
      <c r="K227" s="31">
        <f>5017</f>
        <v>5017</v>
      </c>
      <c r="L227" s="32" t="s">
        <v>1239</v>
      </c>
      <c r="M227" s="31">
        <f>5092</f>
        <v>5092</v>
      </c>
      <c r="N227" s="32" t="s">
        <v>1079</v>
      </c>
      <c r="O227" s="31">
        <f>4704</f>
        <v>4704</v>
      </c>
      <c r="P227" s="32" t="s">
        <v>850</v>
      </c>
      <c r="Q227" s="31">
        <f>4803</f>
        <v>4803</v>
      </c>
      <c r="R227" s="32" t="s">
        <v>755</v>
      </c>
      <c r="S227" s="33">
        <f>4859.33</f>
        <v>4859.33</v>
      </c>
      <c r="T227" s="39">
        <f>2489770</f>
        <v>2489770</v>
      </c>
      <c r="U227" s="30">
        <f>2280000</f>
        <v>2280000</v>
      </c>
      <c r="V227" s="30">
        <f>12208794710</f>
        <v>12208794710</v>
      </c>
      <c r="W227" s="30">
        <f>11182002000</f>
        <v>11182002000</v>
      </c>
      <c r="X227" s="34">
        <f>21</f>
        <v>21</v>
      </c>
    </row>
    <row r="228" spans="1:24">
      <c r="A228" s="25" t="s">
        <v>1238</v>
      </c>
      <c r="B228" s="25" t="s">
        <v>1022</v>
      </c>
      <c r="C228" s="25" t="s">
        <v>1021</v>
      </c>
      <c r="D228" s="25" t="s">
        <v>1020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944</f>
        <v>944</v>
      </c>
      <c r="L228" s="32" t="s">
        <v>1239</v>
      </c>
      <c r="M228" s="31">
        <f>989</f>
        <v>989</v>
      </c>
      <c r="N228" s="32" t="s">
        <v>1079</v>
      </c>
      <c r="O228" s="31">
        <f>922</f>
        <v>922</v>
      </c>
      <c r="P228" s="32" t="s">
        <v>756</v>
      </c>
      <c r="Q228" s="31">
        <f>928</f>
        <v>928</v>
      </c>
      <c r="R228" s="32" t="s">
        <v>755</v>
      </c>
      <c r="S228" s="33">
        <f>939.71</f>
        <v>939.71</v>
      </c>
      <c r="T228" s="39">
        <f>664553</f>
        <v>664553</v>
      </c>
      <c r="U228" s="30">
        <f>522000</f>
        <v>522000</v>
      </c>
      <c r="V228" s="30">
        <f>620046392</f>
        <v>620046392</v>
      </c>
      <c r="W228" s="30">
        <f>484677000</f>
        <v>484677000</v>
      </c>
      <c r="X228" s="34">
        <f>21</f>
        <v>21</v>
      </c>
    </row>
    <row r="229" spans="1:24">
      <c r="A229" s="25" t="s">
        <v>1238</v>
      </c>
      <c r="B229" s="25" t="s">
        <v>1019</v>
      </c>
      <c r="C229" s="25" t="s">
        <v>1018</v>
      </c>
      <c r="D229" s="25" t="s">
        <v>1017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1107</f>
        <v>1107</v>
      </c>
      <c r="L229" s="32" t="s">
        <v>1239</v>
      </c>
      <c r="M229" s="31">
        <f>1109</f>
        <v>1109</v>
      </c>
      <c r="N229" s="32" t="s">
        <v>1239</v>
      </c>
      <c r="O229" s="31">
        <f>967</f>
        <v>967</v>
      </c>
      <c r="P229" s="32" t="s">
        <v>852</v>
      </c>
      <c r="Q229" s="31">
        <f>1058</f>
        <v>1058</v>
      </c>
      <c r="R229" s="32" t="s">
        <v>755</v>
      </c>
      <c r="S229" s="33">
        <f>1050.29</f>
        <v>1050.29</v>
      </c>
      <c r="T229" s="39">
        <f>656352</f>
        <v>656352</v>
      </c>
      <c r="U229" s="30">
        <f>612000</f>
        <v>612000</v>
      </c>
      <c r="V229" s="30">
        <f>702494961</f>
        <v>702494961</v>
      </c>
      <c r="W229" s="30">
        <f>656246284</f>
        <v>656246284</v>
      </c>
      <c r="X229" s="34">
        <f>21</f>
        <v>21</v>
      </c>
    </row>
    <row r="230" spans="1:24">
      <c r="A230" s="25" t="s">
        <v>1238</v>
      </c>
      <c r="B230" s="25" t="s">
        <v>1016</v>
      </c>
      <c r="C230" s="25" t="s">
        <v>1015</v>
      </c>
      <c r="D230" s="25" t="s">
        <v>1014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989</f>
        <v>989</v>
      </c>
      <c r="L230" s="32" t="s">
        <v>1239</v>
      </c>
      <c r="M230" s="31">
        <f>1040</f>
        <v>1040</v>
      </c>
      <c r="N230" s="32" t="s">
        <v>1220</v>
      </c>
      <c r="O230" s="31">
        <f>935</f>
        <v>935</v>
      </c>
      <c r="P230" s="32" t="s">
        <v>1079</v>
      </c>
      <c r="Q230" s="31">
        <f>1002</f>
        <v>1002</v>
      </c>
      <c r="R230" s="32" t="s">
        <v>755</v>
      </c>
      <c r="S230" s="33">
        <f>996.38</f>
        <v>996.38</v>
      </c>
      <c r="T230" s="39">
        <f>139286</f>
        <v>139286</v>
      </c>
      <c r="U230" s="30" t="str">
        <f>"－"</f>
        <v>－</v>
      </c>
      <c r="V230" s="30">
        <f>138875664</f>
        <v>138875664</v>
      </c>
      <c r="W230" s="30" t="str">
        <f>"－"</f>
        <v>－</v>
      </c>
      <c r="X230" s="34">
        <f>21</f>
        <v>21</v>
      </c>
    </row>
    <row r="231" spans="1:24">
      <c r="A231" s="25" t="s">
        <v>1238</v>
      </c>
      <c r="B231" s="25" t="s">
        <v>1013</v>
      </c>
      <c r="C231" s="25" t="s">
        <v>1012</v>
      </c>
      <c r="D231" s="25" t="s">
        <v>1011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922</f>
        <v>922</v>
      </c>
      <c r="L231" s="32" t="s">
        <v>1239</v>
      </c>
      <c r="M231" s="31">
        <f>940</f>
        <v>940</v>
      </c>
      <c r="N231" s="32" t="s">
        <v>1079</v>
      </c>
      <c r="O231" s="31">
        <f>879</f>
        <v>879</v>
      </c>
      <c r="P231" s="32" t="s">
        <v>1079</v>
      </c>
      <c r="Q231" s="31">
        <f>915</f>
        <v>915</v>
      </c>
      <c r="R231" s="32" t="s">
        <v>755</v>
      </c>
      <c r="S231" s="33">
        <f>916.38</f>
        <v>916.38</v>
      </c>
      <c r="T231" s="39">
        <f>390122</f>
        <v>390122</v>
      </c>
      <c r="U231" s="30" t="str">
        <f>"－"</f>
        <v>－</v>
      </c>
      <c r="V231" s="30">
        <f>357857131</f>
        <v>357857131</v>
      </c>
      <c r="W231" s="30" t="str">
        <f>"－"</f>
        <v>－</v>
      </c>
      <c r="X231" s="34">
        <f>21</f>
        <v>21</v>
      </c>
    </row>
    <row r="232" spans="1:24">
      <c r="A232" s="25" t="s">
        <v>1238</v>
      </c>
      <c r="B232" s="25" t="s">
        <v>1010</v>
      </c>
      <c r="C232" s="25" t="s">
        <v>1009</v>
      </c>
      <c r="D232" s="25" t="s">
        <v>1008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</v>
      </c>
      <c r="K232" s="31">
        <f>975</f>
        <v>975</v>
      </c>
      <c r="L232" s="32" t="s">
        <v>1239</v>
      </c>
      <c r="M232" s="31">
        <f>982</f>
        <v>982</v>
      </c>
      <c r="N232" s="32" t="s">
        <v>1204</v>
      </c>
      <c r="O232" s="31">
        <f>910</f>
        <v>910</v>
      </c>
      <c r="P232" s="32" t="s">
        <v>1079</v>
      </c>
      <c r="Q232" s="31">
        <f>949</f>
        <v>949</v>
      </c>
      <c r="R232" s="32" t="s">
        <v>755</v>
      </c>
      <c r="S232" s="33">
        <f>951.43</f>
        <v>951.43</v>
      </c>
      <c r="T232" s="39">
        <f>75688</f>
        <v>75688</v>
      </c>
      <c r="U232" s="30" t="str">
        <f>"－"</f>
        <v>－</v>
      </c>
      <c r="V232" s="30">
        <f>71710390</f>
        <v>71710390</v>
      </c>
      <c r="W232" s="30" t="str">
        <f>"－"</f>
        <v>－</v>
      </c>
      <c r="X232" s="34">
        <f>21</f>
        <v>21</v>
      </c>
    </row>
    <row r="233" spans="1:24">
      <c r="A233" s="25" t="s">
        <v>1238</v>
      </c>
      <c r="B233" s="25" t="s">
        <v>1125</v>
      </c>
      <c r="C233" s="25" t="s">
        <v>1126</v>
      </c>
      <c r="D233" s="25" t="s">
        <v>1127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</v>
      </c>
      <c r="K233" s="31">
        <f>1512</f>
        <v>1512</v>
      </c>
      <c r="L233" s="32" t="s">
        <v>1239</v>
      </c>
      <c r="M233" s="31">
        <f>1522</f>
        <v>1522</v>
      </c>
      <c r="N233" s="32" t="s">
        <v>756</v>
      </c>
      <c r="O233" s="31">
        <f>1421</f>
        <v>1421</v>
      </c>
      <c r="P233" s="32" t="s">
        <v>1079</v>
      </c>
      <c r="Q233" s="31">
        <f>1490</f>
        <v>1490</v>
      </c>
      <c r="R233" s="32" t="s">
        <v>755</v>
      </c>
      <c r="S233" s="33">
        <f>1495.19</f>
        <v>1495.19</v>
      </c>
      <c r="T233" s="39">
        <f>184493</f>
        <v>184493</v>
      </c>
      <c r="U233" s="30">
        <f>40000</f>
        <v>40000</v>
      </c>
      <c r="V233" s="30">
        <f>273479173</f>
        <v>273479173</v>
      </c>
      <c r="W233" s="30">
        <f>60232355</f>
        <v>60232355</v>
      </c>
      <c r="X233" s="34">
        <f>21</f>
        <v>21</v>
      </c>
    </row>
    <row r="234" spans="1:24">
      <c r="A234" s="25" t="s">
        <v>1238</v>
      </c>
      <c r="B234" s="25" t="s">
        <v>1139</v>
      </c>
      <c r="C234" s="25" t="s">
        <v>1138</v>
      </c>
      <c r="D234" s="25" t="s">
        <v>1137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10</v>
      </c>
      <c r="K234" s="31">
        <f>129</f>
        <v>129</v>
      </c>
      <c r="L234" s="32" t="s">
        <v>1239</v>
      </c>
      <c r="M234" s="31">
        <f>130</f>
        <v>130</v>
      </c>
      <c r="N234" s="32" t="s">
        <v>1239</v>
      </c>
      <c r="O234" s="31">
        <f>99</f>
        <v>99</v>
      </c>
      <c r="P234" s="32" t="s">
        <v>1079</v>
      </c>
      <c r="Q234" s="31">
        <f>123.4</f>
        <v>123.4</v>
      </c>
      <c r="R234" s="32" t="s">
        <v>755</v>
      </c>
      <c r="S234" s="33">
        <f>117.67</f>
        <v>117.67</v>
      </c>
      <c r="T234" s="39">
        <f>9518500</f>
        <v>9518500</v>
      </c>
      <c r="U234" s="30">
        <f>2400000</f>
        <v>2400000</v>
      </c>
      <c r="V234" s="30">
        <f>1112619056</f>
        <v>1112619056</v>
      </c>
      <c r="W234" s="30">
        <f>284439120</f>
        <v>284439120</v>
      </c>
      <c r="X234" s="34">
        <f>21</f>
        <v>21</v>
      </c>
    </row>
    <row r="235" spans="1:24">
      <c r="A235" s="25" t="s">
        <v>1238</v>
      </c>
      <c r="B235" s="25" t="s">
        <v>1136</v>
      </c>
      <c r="C235" s="25" t="s">
        <v>1135</v>
      </c>
      <c r="D235" s="25" t="s">
        <v>1134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10</v>
      </c>
      <c r="K235" s="31">
        <f>373.8</f>
        <v>373.8</v>
      </c>
      <c r="L235" s="32" t="s">
        <v>1239</v>
      </c>
      <c r="M235" s="31">
        <f>376.1</f>
        <v>376.1</v>
      </c>
      <c r="N235" s="32" t="s">
        <v>1239</v>
      </c>
      <c r="O235" s="31">
        <f>280</f>
        <v>280</v>
      </c>
      <c r="P235" s="32" t="s">
        <v>1079</v>
      </c>
      <c r="Q235" s="31">
        <f>346.5</f>
        <v>346.5</v>
      </c>
      <c r="R235" s="32" t="s">
        <v>755</v>
      </c>
      <c r="S235" s="33">
        <f>335.76</f>
        <v>335.76</v>
      </c>
      <c r="T235" s="39">
        <f>2035270</f>
        <v>2035270</v>
      </c>
      <c r="U235" s="30" t="str">
        <f>"－"</f>
        <v>－</v>
      </c>
      <c r="V235" s="30">
        <f>650717628</f>
        <v>650717628</v>
      </c>
      <c r="W235" s="30" t="str">
        <f>"－"</f>
        <v>－</v>
      </c>
      <c r="X235" s="34">
        <f>21</f>
        <v>21</v>
      </c>
    </row>
    <row r="236" spans="1:24">
      <c r="A236" s="25" t="s">
        <v>1238</v>
      </c>
      <c r="B236" s="25" t="s">
        <v>844</v>
      </c>
      <c r="C236" s="25" t="s">
        <v>845</v>
      </c>
      <c r="D236" s="25" t="s">
        <v>846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2743</f>
        <v>2743</v>
      </c>
      <c r="L236" s="32" t="s">
        <v>1239</v>
      </c>
      <c r="M236" s="31">
        <f>2786.5</f>
        <v>2786.5</v>
      </c>
      <c r="N236" s="32" t="s">
        <v>1240</v>
      </c>
      <c r="O236" s="31">
        <f>2326</f>
        <v>2326</v>
      </c>
      <c r="P236" s="32" t="s">
        <v>852</v>
      </c>
      <c r="Q236" s="31">
        <f>2524</f>
        <v>2524</v>
      </c>
      <c r="R236" s="32" t="s">
        <v>755</v>
      </c>
      <c r="S236" s="33">
        <f>2512.52</f>
        <v>2512.52</v>
      </c>
      <c r="T236" s="39">
        <f>278472</f>
        <v>278472</v>
      </c>
      <c r="U236" s="30">
        <f>196827</f>
        <v>196827</v>
      </c>
      <c r="V236" s="30">
        <f>702216300</f>
        <v>702216300</v>
      </c>
      <c r="W236" s="30">
        <f>499999628</f>
        <v>499999628</v>
      </c>
      <c r="X236" s="34">
        <f>21</f>
        <v>21</v>
      </c>
    </row>
    <row r="237" spans="1:24">
      <c r="A237" s="25" t="s">
        <v>1238</v>
      </c>
      <c r="B237" s="25" t="s">
        <v>847</v>
      </c>
      <c r="C237" s="25" t="s">
        <v>848</v>
      </c>
      <c r="D237" s="25" t="s">
        <v>849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1242</f>
        <v>1242</v>
      </c>
      <c r="L237" s="32" t="s">
        <v>1239</v>
      </c>
      <c r="M237" s="31">
        <f>1245</f>
        <v>1245</v>
      </c>
      <c r="N237" s="32" t="s">
        <v>1239</v>
      </c>
      <c r="O237" s="31">
        <f>1048</f>
        <v>1048</v>
      </c>
      <c r="P237" s="32" t="s">
        <v>852</v>
      </c>
      <c r="Q237" s="31">
        <f>1134</f>
        <v>1134</v>
      </c>
      <c r="R237" s="32" t="s">
        <v>755</v>
      </c>
      <c r="S237" s="33">
        <f>1137.76</f>
        <v>1137.76</v>
      </c>
      <c r="T237" s="39">
        <f>1755790</f>
        <v>1755790</v>
      </c>
      <c r="U237" s="30">
        <f>575987</f>
        <v>575987</v>
      </c>
      <c r="V237" s="30">
        <f>1990508557</f>
        <v>1990508557</v>
      </c>
      <c r="W237" s="30">
        <f>661142899</f>
        <v>661142899</v>
      </c>
      <c r="X237" s="34">
        <f>21</f>
        <v>21</v>
      </c>
    </row>
    <row r="238" spans="1:24">
      <c r="A238" s="25" t="s">
        <v>1238</v>
      </c>
      <c r="B238" s="25" t="s">
        <v>853</v>
      </c>
      <c r="C238" s="25" t="s">
        <v>854</v>
      </c>
      <c r="D238" s="25" t="s">
        <v>855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</v>
      </c>
      <c r="K238" s="31">
        <f>75180</f>
        <v>75180</v>
      </c>
      <c r="L238" s="32" t="s">
        <v>1239</v>
      </c>
      <c r="M238" s="31">
        <f>76440</f>
        <v>76440</v>
      </c>
      <c r="N238" s="32" t="s">
        <v>1240</v>
      </c>
      <c r="O238" s="31">
        <f>56160</f>
        <v>56160</v>
      </c>
      <c r="P238" s="32" t="s">
        <v>852</v>
      </c>
      <c r="Q238" s="31">
        <f>72260</f>
        <v>72260</v>
      </c>
      <c r="R238" s="32" t="s">
        <v>755</v>
      </c>
      <c r="S238" s="33">
        <f>67883.81</f>
        <v>67883.81</v>
      </c>
      <c r="T238" s="39">
        <f>223013</f>
        <v>223013</v>
      </c>
      <c r="U238" s="30">
        <f>1</f>
        <v>1</v>
      </c>
      <c r="V238" s="30">
        <f>14485034960</f>
        <v>14485034960</v>
      </c>
      <c r="W238" s="30">
        <f>69060</f>
        <v>69060</v>
      </c>
      <c r="X238" s="34">
        <f>21</f>
        <v>21</v>
      </c>
    </row>
    <row r="239" spans="1:24">
      <c r="A239" s="25" t="s">
        <v>1238</v>
      </c>
      <c r="B239" s="25" t="s">
        <v>856</v>
      </c>
      <c r="C239" s="25" t="s">
        <v>857</v>
      </c>
      <c r="D239" s="25" t="s">
        <v>858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7190</f>
        <v>7190</v>
      </c>
      <c r="L239" s="32" t="s">
        <v>1239</v>
      </c>
      <c r="M239" s="31">
        <f>8271</f>
        <v>8271</v>
      </c>
      <c r="N239" s="32" t="s">
        <v>1079</v>
      </c>
      <c r="O239" s="31">
        <f>7098</f>
        <v>7098</v>
      </c>
      <c r="P239" s="32" t="s">
        <v>755</v>
      </c>
      <c r="Q239" s="31">
        <f>7110</f>
        <v>7110</v>
      </c>
      <c r="R239" s="32" t="s">
        <v>755</v>
      </c>
      <c r="S239" s="33">
        <f>7452.57</f>
        <v>7452.57</v>
      </c>
      <c r="T239" s="39">
        <f>749877</f>
        <v>749877</v>
      </c>
      <c r="U239" s="30">
        <f>343513</f>
        <v>343513</v>
      </c>
      <c r="V239" s="30">
        <f>5963741740</f>
        <v>5963741740</v>
      </c>
      <c r="W239" s="30">
        <f>2791319099</f>
        <v>2791319099</v>
      </c>
      <c r="X239" s="34">
        <f>21</f>
        <v>21</v>
      </c>
    </row>
    <row r="240" spans="1:24">
      <c r="A240" s="25" t="s">
        <v>1238</v>
      </c>
      <c r="B240" s="25" t="s">
        <v>860</v>
      </c>
      <c r="C240" s="25" t="s">
        <v>861</v>
      </c>
      <c r="D240" s="25" t="s">
        <v>862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</v>
      </c>
      <c r="K240" s="31">
        <f>16305</f>
        <v>16305</v>
      </c>
      <c r="L240" s="32" t="s">
        <v>1239</v>
      </c>
      <c r="M240" s="31">
        <f>16590</f>
        <v>16590</v>
      </c>
      <c r="N240" s="32" t="s">
        <v>1240</v>
      </c>
      <c r="O240" s="31">
        <f>12140</f>
        <v>12140</v>
      </c>
      <c r="P240" s="32" t="s">
        <v>852</v>
      </c>
      <c r="Q240" s="31">
        <f>15580</f>
        <v>15580</v>
      </c>
      <c r="R240" s="32" t="s">
        <v>755</v>
      </c>
      <c r="S240" s="33">
        <f>14701.9</f>
        <v>14701.9</v>
      </c>
      <c r="T240" s="39">
        <f>333164</f>
        <v>333164</v>
      </c>
      <c r="U240" s="30" t="str">
        <f>"－"</f>
        <v>－</v>
      </c>
      <c r="V240" s="30">
        <f>4787116175</f>
        <v>4787116175</v>
      </c>
      <c r="W240" s="30" t="str">
        <f>"－"</f>
        <v>－</v>
      </c>
      <c r="X240" s="34">
        <f>21</f>
        <v>21</v>
      </c>
    </row>
    <row r="241" spans="1:24">
      <c r="A241" s="25" t="s">
        <v>1238</v>
      </c>
      <c r="B241" s="25" t="s">
        <v>1133</v>
      </c>
      <c r="C241" s="25" t="s">
        <v>1132</v>
      </c>
      <c r="D241" s="25" t="s">
        <v>1131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</v>
      </c>
      <c r="K241" s="31">
        <f>968</f>
        <v>968</v>
      </c>
      <c r="L241" s="32" t="s">
        <v>1239</v>
      </c>
      <c r="M241" s="31">
        <f>990</f>
        <v>990</v>
      </c>
      <c r="N241" s="32" t="s">
        <v>1240</v>
      </c>
      <c r="O241" s="31">
        <f>799</f>
        <v>799</v>
      </c>
      <c r="P241" s="32" t="s">
        <v>1079</v>
      </c>
      <c r="Q241" s="31">
        <f>947</f>
        <v>947</v>
      </c>
      <c r="R241" s="32" t="s">
        <v>755</v>
      </c>
      <c r="S241" s="33">
        <f>896.9</f>
        <v>896.9</v>
      </c>
      <c r="T241" s="39">
        <f>501449</f>
        <v>501449</v>
      </c>
      <c r="U241" s="30" t="str">
        <f>"－"</f>
        <v>－</v>
      </c>
      <c r="V241" s="30">
        <f>442272920</f>
        <v>442272920</v>
      </c>
      <c r="W241" s="30" t="str">
        <f>"－"</f>
        <v>－</v>
      </c>
      <c r="X241" s="34">
        <f>21</f>
        <v>21</v>
      </c>
    </row>
    <row r="242" spans="1:24">
      <c r="A242" s="25" t="s">
        <v>1238</v>
      </c>
      <c r="B242" s="25" t="s">
        <v>863</v>
      </c>
      <c r="C242" s="25" t="s">
        <v>864</v>
      </c>
      <c r="D242" s="25" t="s">
        <v>865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</v>
      </c>
      <c r="K242" s="31">
        <f>7277</f>
        <v>7277</v>
      </c>
      <c r="L242" s="32" t="s">
        <v>1239</v>
      </c>
      <c r="M242" s="31">
        <f>8545</f>
        <v>8545</v>
      </c>
      <c r="N242" s="32" t="s">
        <v>1079</v>
      </c>
      <c r="O242" s="31">
        <f>7200</f>
        <v>7200</v>
      </c>
      <c r="P242" s="32" t="s">
        <v>755</v>
      </c>
      <c r="Q242" s="31">
        <f>7223</f>
        <v>7223</v>
      </c>
      <c r="R242" s="32" t="s">
        <v>755</v>
      </c>
      <c r="S242" s="33">
        <f>7553.33</f>
        <v>7553.33</v>
      </c>
      <c r="T242" s="39">
        <f>160566</f>
        <v>160566</v>
      </c>
      <c r="U242" s="30">
        <f>30000</f>
        <v>30000</v>
      </c>
      <c r="V242" s="30">
        <f>1262228263</f>
        <v>1262228263</v>
      </c>
      <c r="W242" s="30">
        <f>247467600</f>
        <v>247467600</v>
      </c>
      <c r="X242" s="34">
        <f>21</f>
        <v>21</v>
      </c>
    </row>
    <row r="243" spans="1:24">
      <c r="A243" s="25" t="s">
        <v>1238</v>
      </c>
      <c r="B243" s="25" t="s">
        <v>866</v>
      </c>
      <c r="C243" s="25" t="s">
        <v>867</v>
      </c>
      <c r="D243" s="25" t="s">
        <v>868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10</v>
      </c>
      <c r="K243" s="31">
        <f>699.1</f>
        <v>699.1</v>
      </c>
      <c r="L243" s="32" t="s">
        <v>1239</v>
      </c>
      <c r="M243" s="31">
        <f>710.7</f>
        <v>710.7</v>
      </c>
      <c r="N243" s="32" t="s">
        <v>1240</v>
      </c>
      <c r="O243" s="31">
        <f>595.2</f>
        <v>595.20000000000005</v>
      </c>
      <c r="P243" s="32" t="s">
        <v>852</v>
      </c>
      <c r="Q243" s="31">
        <f>645.3</f>
        <v>645.29999999999995</v>
      </c>
      <c r="R243" s="32" t="s">
        <v>755</v>
      </c>
      <c r="S243" s="33">
        <f>644.71</f>
        <v>644.71</v>
      </c>
      <c r="T243" s="39">
        <f>656350</f>
        <v>656350</v>
      </c>
      <c r="U243" s="30">
        <f>320</f>
        <v>320</v>
      </c>
      <c r="V243" s="30">
        <f>420254048</f>
        <v>420254048</v>
      </c>
      <c r="W243" s="30">
        <f>205280</f>
        <v>205280</v>
      </c>
      <c r="X243" s="34">
        <f>21</f>
        <v>21</v>
      </c>
    </row>
    <row r="244" spans="1:24">
      <c r="A244" s="25" t="s">
        <v>1238</v>
      </c>
      <c r="B244" s="25" t="s">
        <v>869</v>
      </c>
      <c r="C244" s="25" t="s">
        <v>870</v>
      </c>
      <c r="D244" s="25" t="s">
        <v>871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10</v>
      </c>
      <c r="K244" s="31">
        <f>569.6</f>
        <v>569.6</v>
      </c>
      <c r="L244" s="32" t="s">
        <v>1239</v>
      </c>
      <c r="M244" s="31">
        <f>569.6</f>
        <v>569.6</v>
      </c>
      <c r="N244" s="32" t="s">
        <v>1239</v>
      </c>
      <c r="O244" s="31">
        <f>497.4</f>
        <v>497.4</v>
      </c>
      <c r="P244" s="32" t="s">
        <v>852</v>
      </c>
      <c r="Q244" s="31">
        <f>545.4</f>
        <v>545.4</v>
      </c>
      <c r="R244" s="32" t="s">
        <v>755</v>
      </c>
      <c r="S244" s="33">
        <f>537.62</f>
        <v>537.62</v>
      </c>
      <c r="T244" s="39">
        <f>2578940</f>
        <v>2578940</v>
      </c>
      <c r="U244" s="30">
        <f>2357470</f>
        <v>2357470</v>
      </c>
      <c r="V244" s="30">
        <f>1361800060</f>
        <v>1361800060</v>
      </c>
      <c r="W244" s="30">
        <f>1244621100</f>
        <v>1244621100</v>
      </c>
      <c r="X244" s="34">
        <f>21</f>
        <v>21</v>
      </c>
    </row>
    <row r="245" spans="1:24">
      <c r="A245" s="25" t="s">
        <v>1238</v>
      </c>
      <c r="B245" s="25" t="s">
        <v>906</v>
      </c>
      <c r="C245" s="25" t="s">
        <v>907</v>
      </c>
      <c r="D245" s="25" t="s">
        <v>908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</v>
      </c>
      <c r="K245" s="31">
        <f>1516</f>
        <v>1516</v>
      </c>
      <c r="L245" s="32" t="s">
        <v>1239</v>
      </c>
      <c r="M245" s="31">
        <f>1538</f>
        <v>1538</v>
      </c>
      <c r="N245" s="32" t="s">
        <v>1240</v>
      </c>
      <c r="O245" s="31">
        <f>1163</f>
        <v>1163</v>
      </c>
      <c r="P245" s="32" t="s">
        <v>1079</v>
      </c>
      <c r="Q245" s="31">
        <f>1422</f>
        <v>1422</v>
      </c>
      <c r="R245" s="32" t="s">
        <v>755</v>
      </c>
      <c r="S245" s="33">
        <f>1368.29</f>
        <v>1368.29</v>
      </c>
      <c r="T245" s="39">
        <f>8843132</f>
        <v>8843132</v>
      </c>
      <c r="U245" s="30">
        <f>68133</f>
        <v>68133</v>
      </c>
      <c r="V245" s="30">
        <f>11894722790</f>
        <v>11894722790</v>
      </c>
      <c r="W245" s="30">
        <f>99595400</f>
        <v>99595400</v>
      </c>
      <c r="X245" s="34">
        <f>21</f>
        <v>21</v>
      </c>
    </row>
    <row r="246" spans="1:24">
      <c r="A246" s="25" t="s">
        <v>1238</v>
      </c>
      <c r="B246" s="25" t="s">
        <v>909</v>
      </c>
      <c r="C246" s="25" t="s">
        <v>910</v>
      </c>
      <c r="D246" s="25" t="s">
        <v>911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</v>
      </c>
      <c r="K246" s="31">
        <f>2096</f>
        <v>2096</v>
      </c>
      <c r="L246" s="32" t="s">
        <v>1239</v>
      </c>
      <c r="M246" s="31">
        <f>2134</f>
        <v>2134</v>
      </c>
      <c r="N246" s="32" t="s">
        <v>1240</v>
      </c>
      <c r="O246" s="31">
        <f>1713</f>
        <v>1713</v>
      </c>
      <c r="P246" s="32" t="s">
        <v>1079</v>
      </c>
      <c r="Q246" s="31">
        <f>2045</f>
        <v>2045</v>
      </c>
      <c r="R246" s="32" t="s">
        <v>755</v>
      </c>
      <c r="S246" s="33">
        <f>1945.62</f>
        <v>1945.62</v>
      </c>
      <c r="T246" s="39">
        <f>7203404</f>
        <v>7203404</v>
      </c>
      <c r="U246" s="30">
        <f>958</f>
        <v>958</v>
      </c>
      <c r="V246" s="30">
        <f>13814329388</f>
        <v>13814329388</v>
      </c>
      <c r="W246" s="30">
        <f>1772948</f>
        <v>1772948</v>
      </c>
      <c r="X246" s="34">
        <f>21</f>
        <v>21</v>
      </c>
    </row>
    <row r="247" spans="1:24">
      <c r="A247" s="25" t="s">
        <v>1238</v>
      </c>
      <c r="B247" s="25" t="s">
        <v>912</v>
      </c>
      <c r="C247" s="25" t="s">
        <v>913</v>
      </c>
      <c r="D247" s="25" t="s">
        <v>914</v>
      </c>
      <c r="E247" s="26" t="s">
        <v>43</v>
      </c>
      <c r="F247" s="27" t="s">
        <v>43</v>
      </c>
      <c r="G247" s="28" t="s">
        <v>43</v>
      </c>
      <c r="H247" s="29"/>
      <c r="I247" s="29" t="s">
        <v>44</v>
      </c>
      <c r="J247" s="30">
        <v>10</v>
      </c>
      <c r="K247" s="31">
        <f>765.8</f>
        <v>765.8</v>
      </c>
      <c r="L247" s="32" t="s">
        <v>1239</v>
      </c>
      <c r="M247" s="31">
        <f>768.5</f>
        <v>768.5</v>
      </c>
      <c r="N247" s="32" t="s">
        <v>1076</v>
      </c>
      <c r="O247" s="31">
        <f>736.9</f>
        <v>736.9</v>
      </c>
      <c r="P247" s="32" t="s">
        <v>1239</v>
      </c>
      <c r="Q247" s="31">
        <f>751.5</f>
        <v>751.5</v>
      </c>
      <c r="R247" s="32" t="s">
        <v>755</v>
      </c>
      <c r="S247" s="33">
        <f>748.39</f>
        <v>748.39</v>
      </c>
      <c r="T247" s="39">
        <f>1590</f>
        <v>1590</v>
      </c>
      <c r="U247" s="30" t="str">
        <f>"－"</f>
        <v>－</v>
      </c>
      <c r="V247" s="30">
        <f>1192601</f>
        <v>1192601</v>
      </c>
      <c r="W247" s="30" t="str">
        <f>"－"</f>
        <v>－</v>
      </c>
      <c r="X247" s="34">
        <f>16</f>
        <v>16</v>
      </c>
    </row>
    <row r="248" spans="1:24">
      <c r="A248" s="25" t="s">
        <v>1238</v>
      </c>
      <c r="B248" s="25" t="s">
        <v>915</v>
      </c>
      <c r="C248" s="25" t="s">
        <v>916</v>
      </c>
      <c r="D248" s="25" t="s">
        <v>917</v>
      </c>
      <c r="E248" s="26" t="s">
        <v>43</v>
      </c>
      <c r="F248" s="27" t="s">
        <v>43</v>
      </c>
      <c r="G248" s="28" t="s">
        <v>43</v>
      </c>
      <c r="H248" s="29"/>
      <c r="I248" s="29" t="s">
        <v>44</v>
      </c>
      <c r="J248" s="30">
        <v>10</v>
      </c>
      <c r="K248" s="31">
        <f>749.3</f>
        <v>749.3</v>
      </c>
      <c r="L248" s="32" t="s">
        <v>1239</v>
      </c>
      <c r="M248" s="31">
        <f>749.9</f>
        <v>749.9</v>
      </c>
      <c r="N248" s="32" t="s">
        <v>756</v>
      </c>
      <c r="O248" s="31">
        <f>686.3</f>
        <v>686.3</v>
      </c>
      <c r="P248" s="32" t="s">
        <v>1077</v>
      </c>
      <c r="Q248" s="31">
        <f>746.3</f>
        <v>746.3</v>
      </c>
      <c r="R248" s="32" t="s">
        <v>663</v>
      </c>
      <c r="S248" s="33">
        <f>743.94</f>
        <v>743.94</v>
      </c>
      <c r="T248" s="39">
        <f>540</f>
        <v>540</v>
      </c>
      <c r="U248" s="30">
        <f>10</f>
        <v>10</v>
      </c>
      <c r="V248" s="30">
        <f>402040</f>
        <v>402040</v>
      </c>
      <c r="W248" s="30">
        <f>7391</f>
        <v>7391</v>
      </c>
      <c r="X248" s="34">
        <f>8</f>
        <v>8</v>
      </c>
    </row>
    <row r="249" spans="1:24">
      <c r="A249" s="25" t="s">
        <v>1238</v>
      </c>
      <c r="B249" s="25" t="s">
        <v>924</v>
      </c>
      <c r="C249" s="25" t="s">
        <v>925</v>
      </c>
      <c r="D249" s="25" t="s">
        <v>926</v>
      </c>
      <c r="E249" s="26" t="s">
        <v>43</v>
      </c>
      <c r="F249" s="27" t="s">
        <v>43</v>
      </c>
      <c r="G249" s="28" t="s">
        <v>43</v>
      </c>
      <c r="H249" s="29"/>
      <c r="I249" s="29" t="s">
        <v>44</v>
      </c>
      <c r="J249" s="30">
        <v>1</v>
      </c>
      <c r="K249" s="31">
        <f>1573</f>
        <v>1573</v>
      </c>
      <c r="L249" s="32" t="s">
        <v>1239</v>
      </c>
      <c r="M249" s="31">
        <f>1584</f>
        <v>1584</v>
      </c>
      <c r="N249" s="32" t="s">
        <v>1240</v>
      </c>
      <c r="O249" s="31">
        <f>1317</f>
        <v>1317</v>
      </c>
      <c r="P249" s="32" t="s">
        <v>852</v>
      </c>
      <c r="Q249" s="31">
        <f>1483</f>
        <v>1483</v>
      </c>
      <c r="R249" s="32" t="s">
        <v>755</v>
      </c>
      <c r="S249" s="33">
        <f>1448</f>
        <v>1448</v>
      </c>
      <c r="T249" s="39">
        <f>10342196</f>
        <v>10342196</v>
      </c>
      <c r="U249" s="30">
        <f>357701</f>
        <v>357701</v>
      </c>
      <c r="V249" s="30">
        <f>14405602446</f>
        <v>14405602446</v>
      </c>
      <c r="W249" s="30">
        <f>500173483</f>
        <v>500173483</v>
      </c>
      <c r="X249" s="34">
        <f>21</f>
        <v>21</v>
      </c>
    </row>
    <row r="250" spans="1:24">
      <c r="A250" s="25" t="s">
        <v>1238</v>
      </c>
      <c r="B250" s="25" t="s">
        <v>927</v>
      </c>
      <c r="C250" s="25" t="s">
        <v>928</v>
      </c>
      <c r="D250" s="25" t="s">
        <v>929</v>
      </c>
      <c r="E250" s="26" t="s">
        <v>43</v>
      </c>
      <c r="F250" s="27" t="s">
        <v>43</v>
      </c>
      <c r="G250" s="28" t="s">
        <v>43</v>
      </c>
      <c r="H250" s="29"/>
      <c r="I250" s="29" t="s">
        <v>44</v>
      </c>
      <c r="J250" s="30">
        <v>1</v>
      </c>
      <c r="K250" s="31">
        <f>2114</f>
        <v>2114</v>
      </c>
      <c r="L250" s="32" t="s">
        <v>1239</v>
      </c>
      <c r="M250" s="31">
        <f>2124</f>
        <v>2124</v>
      </c>
      <c r="N250" s="32" t="s">
        <v>1240</v>
      </c>
      <c r="O250" s="31">
        <f>1835</f>
        <v>1835</v>
      </c>
      <c r="P250" s="32" t="s">
        <v>852</v>
      </c>
      <c r="Q250" s="31">
        <f>2085</f>
        <v>2085</v>
      </c>
      <c r="R250" s="32" t="s">
        <v>755</v>
      </c>
      <c r="S250" s="33">
        <f>2015.48</f>
        <v>2015.48</v>
      </c>
      <c r="T250" s="39">
        <f>2589416</f>
        <v>2589416</v>
      </c>
      <c r="U250" s="30">
        <f>990001</f>
        <v>990001</v>
      </c>
      <c r="V250" s="30">
        <f>5150396215</f>
        <v>5150396215</v>
      </c>
      <c r="W250" s="30">
        <f>2050396927</f>
        <v>2050396927</v>
      </c>
      <c r="X250" s="34">
        <f>21</f>
        <v>21</v>
      </c>
    </row>
    <row r="251" spans="1:24">
      <c r="A251" s="25" t="s">
        <v>1238</v>
      </c>
      <c r="B251" s="25" t="s">
        <v>930</v>
      </c>
      <c r="C251" s="25" t="s">
        <v>931</v>
      </c>
      <c r="D251" s="25" t="s">
        <v>932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</v>
      </c>
      <c r="K251" s="31">
        <f>18785</f>
        <v>18785</v>
      </c>
      <c r="L251" s="32" t="s">
        <v>1239</v>
      </c>
      <c r="M251" s="31">
        <f>25085</f>
        <v>25085</v>
      </c>
      <c r="N251" s="32" t="s">
        <v>1079</v>
      </c>
      <c r="O251" s="31">
        <f>17710</f>
        <v>17710</v>
      </c>
      <c r="P251" s="32" t="s">
        <v>755</v>
      </c>
      <c r="Q251" s="31">
        <f>17755</f>
        <v>17755</v>
      </c>
      <c r="R251" s="32" t="s">
        <v>755</v>
      </c>
      <c r="S251" s="33">
        <f>19678.33</f>
        <v>19678.330000000002</v>
      </c>
      <c r="T251" s="39">
        <f>468432</f>
        <v>468432</v>
      </c>
      <c r="U251" s="30">
        <f>6</f>
        <v>6</v>
      </c>
      <c r="V251" s="30">
        <f>9692530295</f>
        <v>9692530295</v>
      </c>
      <c r="W251" s="30">
        <f>131380</f>
        <v>131380</v>
      </c>
      <c r="X251" s="34">
        <f>21</f>
        <v>21</v>
      </c>
    </row>
    <row r="252" spans="1:24">
      <c r="A252" s="25" t="s">
        <v>1238</v>
      </c>
      <c r="B252" s="25" t="s">
        <v>1130</v>
      </c>
      <c r="C252" s="25" t="s">
        <v>1129</v>
      </c>
      <c r="D252" s="25" t="s">
        <v>1128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</v>
      </c>
      <c r="K252" s="31">
        <f>789</f>
        <v>789</v>
      </c>
      <c r="L252" s="32" t="s">
        <v>1239</v>
      </c>
      <c r="M252" s="31">
        <f>818</f>
        <v>818</v>
      </c>
      <c r="N252" s="32" t="s">
        <v>755</v>
      </c>
      <c r="O252" s="31">
        <f>650</f>
        <v>650</v>
      </c>
      <c r="P252" s="32" t="s">
        <v>1079</v>
      </c>
      <c r="Q252" s="31">
        <f>815</f>
        <v>815</v>
      </c>
      <c r="R252" s="32" t="s">
        <v>755</v>
      </c>
      <c r="S252" s="33">
        <f>744.52</f>
        <v>744.52</v>
      </c>
      <c r="T252" s="39">
        <f>404488</f>
        <v>404488</v>
      </c>
      <c r="U252" s="30" t="str">
        <f>"－"</f>
        <v>－</v>
      </c>
      <c r="V252" s="30">
        <f>296638990</f>
        <v>296638990</v>
      </c>
      <c r="W252" s="30" t="str">
        <f>"－"</f>
        <v>－</v>
      </c>
      <c r="X252" s="34">
        <f>21</f>
        <v>21</v>
      </c>
    </row>
    <row r="253" spans="1:24">
      <c r="A253" s="25" t="s">
        <v>1238</v>
      </c>
      <c r="B253" s="25" t="s">
        <v>933</v>
      </c>
      <c r="C253" s="25" t="s">
        <v>934</v>
      </c>
      <c r="D253" s="25" t="s">
        <v>935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10</v>
      </c>
      <c r="K253" s="31">
        <f>245.5</f>
        <v>245.5</v>
      </c>
      <c r="L253" s="32" t="s">
        <v>1239</v>
      </c>
      <c r="M253" s="31">
        <f>245.5</f>
        <v>245.5</v>
      </c>
      <c r="N253" s="32" t="s">
        <v>1239</v>
      </c>
      <c r="O253" s="31">
        <f>204.7</f>
        <v>204.7</v>
      </c>
      <c r="P253" s="32" t="s">
        <v>1079</v>
      </c>
      <c r="Q253" s="31">
        <f>237</f>
        <v>237</v>
      </c>
      <c r="R253" s="32" t="s">
        <v>755</v>
      </c>
      <c r="S253" s="33">
        <f>225.8</f>
        <v>225.8</v>
      </c>
      <c r="T253" s="39">
        <f>27110</f>
        <v>27110</v>
      </c>
      <c r="U253" s="30" t="str">
        <f>"－"</f>
        <v>－</v>
      </c>
      <c r="V253" s="30">
        <f>6054384</f>
        <v>6054384</v>
      </c>
      <c r="W253" s="30" t="str">
        <f>"－"</f>
        <v>－</v>
      </c>
      <c r="X253" s="34">
        <f>21</f>
        <v>21</v>
      </c>
    </row>
    <row r="254" spans="1:24">
      <c r="A254" s="25" t="s">
        <v>1238</v>
      </c>
      <c r="B254" s="25" t="s">
        <v>936</v>
      </c>
      <c r="C254" s="25" t="s">
        <v>937</v>
      </c>
      <c r="D254" s="25" t="s">
        <v>938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10</v>
      </c>
      <c r="K254" s="31">
        <f>801</f>
        <v>801</v>
      </c>
      <c r="L254" s="32" t="s">
        <v>1239</v>
      </c>
      <c r="M254" s="31">
        <f>819</f>
        <v>819</v>
      </c>
      <c r="N254" s="32" t="s">
        <v>1239</v>
      </c>
      <c r="O254" s="31">
        <f>740</f>
        <v>740</v>
      </c>
      <c r="P254" s="32" t="s">
        <v>1079</v>
      </c>
      <c r="Q254" s="31">
        <f>774.7</f>
        <v>774.7</v>
      </c>
      <c r="R254" s="32" t="s">
        <v>755</v>
      </c>
      <c r="S254" s="33">
        <f>778.11</f>
        <v>778.11</v>
      </c>
      <c r="T254" s="39">
        <f>45657490</f>
        <v>45657490</v>
      </c>
      <c r="U254" s="30">
        <f>42248830</f>
        <v>42248830</v>
      </c>
      <c r="V254" s="30">
        <f>35251378261</f>
        <v>35251378261</v>
      </c>
      <c r="W254" s="30">
        <f>32628805900</f>
        <v>32628805900</v>
      </c>
      <c r="X254" s="34">
        <f>21</f>
        <v>21</v>
      </c>
    </row>
    <row r="255" spans="1:24">
      <c r="A255" s="25" t="s">
        <v>1238</v>
      </c>
      <c r="B255" s="25" t="s">
        <v>954</v>
      </c>
      <c r="C255" s="25" t="s">
        <v>955</v>
      </c>
      <c r="D255" s="25" t="s">
        <v>956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1127</f>
        <v>1127</v>
      </c>
      <c r="L255" s="32" t="s">
        <v>1239</v>
      </c>
      <c r="M255" s="31">
        <f>1136</f>
        <v>1136</v>
      </c>
      <c r="N255" s="32" t="s">
        <v>1240</v>
      </c>
      <c r="O255" s="31">
        <f>917</f>
        <v>917</v>
      </c>
      <c r="P255" s="32" t="s">
        <v>852</v>
      </c>
      <c r="Q255" s="31">
        <f>1033</f>
        <v>1033</v>
      </c>
      <c r="R255" s="32" t="s">
        <v>755</v>
      </c>
      <c r="S255" s="33">
        <f>1007.95</f>
        <v>1007.95</v>
      </c>
      <c r="T255" s="39">
        <f>121491</f>
        <v>121491</v>
      </c>
      <c r="U255" s="30" t="str">
        <f>"－"</f>
        <v>－</v>
      </c>
      <c r="V255" s="30">
        <f>119307859</f>
        <v>119307859</v>
      </c>
      <c r="W255" s="30" t="str">
        <f>"－"</f>
        <v>－</v>
      </c>
      <c r="X255" s="34">
        <f>21</f>
        <v>21</v>
      </c>
    </row>
    <row r="256" spans="1:24">
      <c r="A256" s="25" t="s">
        <v>1238</v>
      </c>
      <c r="B256" s="25" t="s">
        <v>957</v>
      </c>
      <c r="C256" s="25" t="s">
        <v>958</v>
      </c>
      <c r="D256" s="25" t="s">
        <v>959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</v>
      </c>
      <c r="K256" s="31">
        <f>1204</f>
        <v>1204</v>
      </c>
      <c r="L256" s="32" t="s">
        <v>1239</v>
      </c>
      <c r="M256" s="31">
        <f>1212</f>
        <v>1212</v>
      </c>
      <c r="N256" s="32" t="s">
        <v>1240</v>
      </c>
      <c r="O256" s="31">
        <f>1005</f>
        <v>1005</v>
      </c>
      <c r="P256" s="32" t="s">
        <v>852</v>
      </c>
      <c r="Q256" s="31">
        <f>1104</f>
        <v>1104</v>
      </c>
      <c r="R256" s="32" t="s">
        <v>755</v>
      </c>
      <c r="S256" s="33">
        <f>1089.38</f>
        <v>1089.3800000000001</v>
      </c>
      <c r="T256" s="39">
        <f>278941</f>
        <v>278941</v>
      </c>
      <c r="U256" s="30">
        <f>27</f>
        <v>27</v>
      </c>
      <c r="V256" s="30">
        <f>300223880</f>
        <v>300223880</v>
      </c>
      <c r="W256" s="30">
        <f>27648</f>
        <v>27648</v>
      </c>
      <c r="X256" s="34">
        <f>21</f>
        <v>21</v>
      </c>
    </row>
    <row r="257" spans="1:24">
      <c r="A257" s="25" t="s">
        <v>1238</v>
      </c>
      <c r="B257" s="25" t="s">
        <v>960</v>
      </c>
      <c r="C257" s="25" t="s">
        <v>961</v>
      </c>
      <c r="D257" s="25" t="s">
        <v>962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</v>
      </c>
      <c r="K257" s="31">
        <f>951</f>
        <v>951</v>
      </c>
      <c r="L257" s="32" t="s">
        <v>1239</v>
      </c>
      <c r="M257" s="31">
        <f>951</f>
        <v>951</v>
      </c>
      <c r="N257" s="32" t="s">
        <v>1239</v>
      </c>
      <c r="O257" s="31">
        <f>733</f>
        <v>733</v>
      </c>
      <c r="P257" s="32" t="s">
        <v>852</v>
      </c>
      <c r="Q257" s="31">
        <f>840</f>
        <v>840</v>
      </c>
      <c r="R257" s="32" t="s">
        <v>755</v>
      </c>
      <c r="S257" s="33">
        <f>828.05</f>
        <v>828.05</v>
      </c>
      <c r="T257" s="39">
        <f>2987719</f>
        <v>2987719</v>
      </c>
      <c r="U257" s="30" t="str">
        <f>"－"</f>
        <v>－</v>
      </c>
      <c r="V257" s="30">
        <f>2511880309</f>
        <v>2511880309</v>
      </c>
      <c r="W257" s="30" t="str">
        <f>"－"</f>
        <v>－</v>
      </c>
      <c r="X257" s="34">
        <f>21</f>
        <v>21</v>
      </c>
    </row>
    <row r="258" spans="1:24">
      <c r="A258" s="25" t="s">
        <v>1238</v>
      </c>
      <c r="B258" s="25" t="s">
        <v>1031</v>
      </c>
      <c r="C258" s="25" t="s">
        <v>1032</v>
      </c>
      <c r="D258" s="25" t="s">
        <v>1033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207.9</f>
        <v>207.9</v>
      </c>
      <c r="L258" s="32" t="s">
        <v>1239</v>
      </c>
      <c r="M258" s="31">
        <f>210.6</f>
        <v>210.6</v>
      </c>
      <c r="N258" s="32" t="s">
        <v>1204</v>
      </c>
      <c r="O258" s="31">
        <f>182.1</f>
        <v>182.1</v>
      </c>
      <c r="P258" s="32" t="s">
        <v>850</v>
      </c>
      <c r="Q258" s="31">
        <f>194.3</f>
        <v>194.3</v>
      </c>
      <c r="R258" s="32" t="s">
        <v>755</v>
      </c>
      <c r="S258" s="33">
        <f>195.21</f>
        <v>195.21</v>
      </c>
      <c r="T258" s="39">
        <f>18910490</f>
        <v>18910490</v>
      </c>
      <c r="U258" s="30">
        <f>1931030</f>
        <v>1931030</v>
      </c>
      <c r="V258" s="30">
        <f>3704766283</f>
        <v>3704766283</v>
      </c>
      <c r="W258" s="30">
        <f>359639144</f>
        <v>359639144</v>
      </c>
      <c r="X258" s="34">
        <f>21</f>
        <v>21</v>
      </c>
    </row>
    <row r="259" spans="1:24">
      <c r="A259" s="25" t="s">
        <v>1238</v>
      </c>
      <c r="B259" s="25" t="s">
        <v>1034</v>
      </c>
      <c r="C259" s="25" t="s">
        <v>1035</v>
      </c>
      <c r="D259" s="25" t="s">
        <v>1036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211.1</f>
        <v>211.1</v>
      </c>
      <c r="L259" s="32" t="s">
        <v>1239</v>
      </c>
      <c r="M259" s="31">
        <f>212.9</f>
        <v>212.9</v>
      </c>
      <c r="N259" s="32" t="s">
        <v>1240</v>
      </c>
      <c r="O259" s="31">
        <f>192.3</f>
        <v>192.3</v>
      </c>
      <c r="P259" s="32" t="s">
        <v>850</v>
      </c>
      <c r="Q259" s="31">
        <f>204.7</f>
        <v>204.7</v>
      </c>
      <c r="R259" s="32" t="s">
        <v>755</v>
      </c>
      <c r="S259" s="33">
        <f>201.52</f>
        <v>201.52</v>
      </c>
      <c r="T259" s="39">
        <f>1285020</f>
        <v>1285020</v>
      </c>
      <c r="U259" s="30">
        <f>150</f>
        <v>150</v>
      </c>
      <c r="V259" s="30">
        <f>259156550</f>
        <v>259156550</v>
      </c>
      <c r="W259" s="30">
        <f>27732</f>
        <v>27732</v>
      </c>
      <c r="X259" s="34">
        <f>21</f>
        <v>21</v>
      </c>
    </row>
    <row r="260" spans="1:24">
      <c r="A260" s="25" t="s">
        <v>1238</v>
      </c>
      <c r="B260" s="25" t="s">
        <v>1037</v>
      </c>
      <c r="C260" s="25" t="s">
        <v>1038</v>
      </c>
      <c r="D260" s="25" t="s">
        <v>1039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212.7</f>
        <v>212.7</v>
      </c>
      <c r="L260" s="32" t="s">
        <v>1239</v>
      </c>
      <c r="M260" s="31">
        <f>212.7</f>
        <v>212.7</v>
      </c>
      <c r="N260" s="32" t="s">
        <v>1239</v>
      </c>
      <c r="O260" s="31">
        <f>191.9</f>
        <v>191.9</v>
      </c>
      <c r="P260" s="32" t="s">
        <v>850</v>
      </c>
      <c r="Q260" s="31">
        <f>200</f>
        <v>200</v>
      </c>
      <c r="R260" s="32" t="s">
        <v>755</v>
      </c>
      <c r="S260" s="33">
        <f>201.46</f>
        <v>201.46</v>
      </c>
      <c r="T260" s="39">
        <f>1042780</f>
        <v>1042780</v>
      </c>
      <c r="U260" s="30">
        <f>530</f>
        <v>530</v>
      </c>
      <c r="V260" s="30">
        <f>211769664</f>
        <v>211769664</v>
      </c>
      <c r="W260" s="30">
        <f>100709</f>
        <v>100709</v>
      </c>
      <c r="X260" s="34">
        <f>21</f>
        <v>21</v>
      </c>
    </row>
    <row r="261" spans="1:24">
      <c r="A261" s="25" t="s">
        <v>1238</v>
      </c>
      <c r="B261" s="25" t="s">
        <v>1040</v>
      </c>
      <c r="C261" s="25" t="s">
        <v>1041</v>
      </c>
      <c r="D261" s="25" t="s">
        <v>1042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10</v>
      </c>
      <c r="K261" s="31">
        <f>212</f>
        <v>212</v>
      </c>
      <c r="L261" s="32" t="s">
        <v>1239</v>
      </c>
      <c r="M261" s="31">
        <f>214.6</f>
        <v>214.6</v>
      </c>
      <c r="N261" s="32" t="s">
        <v>1240</v>
      </c>
      <c r="O261" s="31">
        <f>186.6</f>
        <v>186.6</v>
      </c>
      <c r="P261" s="32" t="s">
        <v>1078</v>
      </c>
      <c r="Q261" s="31">
        <f>200.6</f>
        <v>200.6</v>
      </c>
      <c r="R261" s="32" t="s">
        <v>755</v>
      </c>
      <c r="S261" s="33">
        <f>201.47</f>
        <v>201.47</v>
      </c>
      <c r="T261" s="39">
        <f>3096650</f>
        <v>3096650</v>
      </c>
      <c r="U261" s="30">
        <f>1270</f>
        <v>1270</v>
      </c>
      <c r="V261" s="30">
        <f>618897943</f>
        <v>618897943</v>
      </c>
      <c r="W261" s="30">
        <f>234459</f>
        <v>234459</v>
      </c>
      <c r="X261" s="34">
        <f>21</f>
        <v>21</v>
      </c>
    </row>
    <row r="262" spans="1:24">
      <c r="A262" s="25" t="s">
        <v>1238</v>
      </c>
      <c r="B262" s="25" t="s">
        <v>1043</v>
      </c>
      <c r="C262" s="25" t="s">
        <v>1044</v>
      </c>
      <c r="D262" s="25" t="s">
        <v>1045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10</v>
      </c>
      <c r="K262" s="31">
        <f>191.9</f>
        <v>191.9</v>
      </c>
      <c r="L262" s="32" t="s">
        <v>1239</v>
      </c>
      <c r="M262" s="31">
        <f>203</f>
        <v>203</v>
      </c>
      <c r="N262" s="32" t="s">
        <v>1079</v>
      </c>
      <c r="O262" s="31">
        <f>189.6</f>
        <v>189.6</v>
      </c>
      <c r="P262" s="32" t="s">
        <v>1208</v>
      </c>
      <c r="Q262" s="31">
        <f>193.9</f>
        <v>193.9</v>
      </c>
      <c r="R262" s="32" t="s">
        <v>755</v>
      </c>
      <c r="S262" s="33">
        <f>193.97</f>
        <v>193.97</v>
      </c>
      <c r="T262" s="39">
        <f>3314840</f>
        <v>3314840</v>
      </c>
      <c r="U262" s="30">
        <f>110</f>
        <v>110</v>
      </c>
      <c r="V262" s="30">
        <f>638792986</f>
        <v>638792986</v>
      </c>
      <c r="W262" s="30">
        <f>21312</f>
        <v>21312</v>
      </c>
      <c r="X262" s="34">
        <f>21</f>
        <v>21</v>
      </c>
    </row>
    <row r="263" spans="1:24">
      <c r="A263" s="25" t="s">
        <v>1238</v>
      </c>
      <c r="B263" s="25" t="s">
        <v>1140</v>
      </c>
      <c r="C263" s="25" t="s">
        <v>1141</v>
      </c>
      <c r="D263" s="25" t="s">
        <v>1142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1906</f>
        <v>1906</v>
      </c>
      <c r="L263" s="32" t="s">
        <v>1239</v>
      </c>
      <c r="M263" s="31">
        <f>1927</f>
        <v>1927</v>
      </c>
      <c r="N263" s="32" t="s">
        <v>756</v>
      </c>
      <c r="O263" s="31">
        <f>1694</f>
        <v>1694</v>
      </c>
      <c r="P263" s="32" t="s">
        <v>1079</v>
      </c>
      <c r="Q263" s="31">
        <f>1906</f>
        <v>1906</v>
      </c>
      <c r="R263" s="32" t="s">
        <v>755</v>
      </c>
      <c r="S263" s="33">
        <f>1859.9</f>
        <v>1859.9</v>
      </c>
      <c r="T263" s="39">
        <f>1287110</f>
        <v>1287110</v>
      </c>
      <c r="U263" s="30">
        <f>301</f>
        <v>301</v>
      </c>
      <c r="V263" s="30">
        <f>2367953707</f>
        <v>2367953707</v>
      </c>
      <c r="W263" s="30">
        <f>568887</f>
        <v>568887</v>
      </c>
      <c r="X263" s="34">
        <f>21</f>
        <v>21</v>
      </c>
    </row>
    <row r="264" spans="1:24">
      <c r="A264" s="25" t="s">
        <v>1238</v>
      </c>
      <c r="B264" s="25" t="s">
        <v>1143</v>
      </c>
      <c r="C264" s="25" t="s">
        <v>1144</v>
      </c>
      <c r="D264" s="25" t="s">
        <v>1145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</v>
      </c>
      <c r="K264" s="31">
        <f>1045</f>
        <v>1045</v>
      </c>
      <c r="L264" s="32" t="s">
        <v>1239</v>
      </c>
      <c r="M264" s="31">
        <f>1045</f>
        <v>1045</v>
      </c>
      <c r="N264" s="32" t="s">
        <v>1239</v>
      </c>
      <c r="O264" s="31">
        <f>862</f>
        <v>862</v>
      </c>
      <c r="P264" s="32" t="s">
        <v>1079</v>
      </c>
      <c r="Q264" s="31">
        <f>979</f>
        <v>979</v>
      </c>
      <c r="R264" s="32" t="s">
        <v>755</v>
      </c>
      <c r="S264" s="33">
        <f>945.86</f>
        <v>945.86</v>
      </c>
      <c r="T264" s="39">
        <f>607888</f>
        <v>607888</v>
      </c>
      <c r="U264" s="30">
        <f>204010</f>
        <v>204010</v>
      </c>
      <c r="V264" s="30">
        <f>568307261</f>
        <v>568307261</v>
      </c>
      <c r="W264" s="30">
        <f>196873750</f>
        <v>196873750</v>
      </c>
      <c r="X264" s="34">
        <f>21</f>
        <v>21</v>
      </c>
    </row>
    <row r="265" spans="1:24">
      <c r="A265" s="25" t="s">
        <v>1238</v>
      </c>
      <c r="B265" s="25" t="s">
        <v>1146</v>
      </c>
      <c r="C265" s="25" t="s">
        <v>1147</v>
      </c>
      <c r="D265" s="25" t="s">
        <v>1148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</v>
      </c>
      <c r="K265" s="31">
        <f>1038</f>
        <v>1038</v>
      </c>
      <c r="L265" s="32" t="s">
        <v>1239</v>
      </c>
      <c r="M265" s="31">
        <f>1038</f>
        <v>1038</v>
      </c>
      <c r="N265" s="32" t="s">
        <v>1239</v>
      </c>
      <c r="O265" s="31">
        <f>894</f>
        <v>894</v>
      </c>
      <c r="P265" s="32" t="s">
        <v>1079</v>
      </c>
      <c r="Q265" s="31">
        <f>1019</f>
        <v>1019</v>
      </c>
      <c r="R265" s="32" t="s">
        <v>755</v>
      </c>
      <c r="S265" s="33">
        <f>985</f>
        <v>985</v>
      </c>
      <c r="T265" s="39">
        <f>1555294</f>
        <v>1555294</v>
      </c>
      <c r="U265" s="30">
        <f>308420</f>
        <v>308420</v>
      </c>
      <c r="V265" s="30">
        <f>1513306393</f>
        <v>1513306393</v>
      </c>
      <c r="W265" s="30">
        <f>307455651</f>
        <v>307455651</v>
      </c>
      <c r="X265" s="34">
        <f>21</f>
        <v>21</v>
      </c>
    </row>
    <row r="266" spans="1:24">
      <c r="A266" s="25" t="s">
        <v>1238</v>
      </c>
      <c r="B266" s="25" t="s">
        <v>1149</v>
      </c>
      <c r="C266" s="25" t="s">
        <v>1150</v>
      </c>
      <c r="D266" s="25" t="s">
        <v>1151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479</f>
        <v>479</v>
      </c>
      <c r="L266" s="32" t="s">
        <v>1239</v>
      </c>
      <c r="M266" s="31">
        <f>551</f>
        <v>551</v>
      </c>
      <c r="N266" s="32" t="s">
        <v>1079</v>
      </c>
      <c r="O266" s="31">
        <f>478.7</f>
        <v>478.7</v>
      </c>
      <c r="P266" s="32" t="s">
        <v>1239</v>
      </c>
      <c r="Q266" s="31">
        <f>487</f>
        <v>487</v>
      </c>
      <c r="R266" s="32" t="s">
        <v>755</v>
      </c>
      <c r="S266" s="33">
        <f>487.15</f>
        <v>487.15</v>
      </c>
      <c r="T266" s="39">
        <f>9448580</f>
        <v>9448580</v>
      </c>
      <c r="U266" s="30">
        <f>8952520</f>
        <v>8952520</v>
      </c>
      <c r="V266" s="30">
        <f>4583239012</f>
        <v>4583239012</v>
      </c>
      <c r="W266" s="30">
        <f>4340601257</f>
        <v>4340601257</v>
      </c>
      <c r="X266" s="34">
        <f>21</f>
        <v>21</v>
      </c>
    </row>
    <row r="267" spans="1:24">
      <c r="A267" s="25" t="s">
        <v>1238</v>
      </c>
      <c r="B267" s="25" t="s">
        <v>1152</v>
      </c>
      <c r="C267" s="25" t="s">
        <v>1153</v>
      </c>
      <c r="D267" s="25" t="s">
        <v>1154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178.2</f>
        <v>178.2</v>
      </c>
      <c r="L267" s="32" t="s">
        <v>1239</v>
      </c>
      <c r="M267" s="31">
        <f>186.9</f>
        <v>186.9</v>
      </c>
      <c r="N267" s="32" t="s">
        <v>1079</v>
      </c>
      <c r="O267" s="31">
        <f>149.9</f>
        <v>149.9</v>
      </c>
      <c r="P267" s="32" t="s">
        <v>1076</v>
      </c>
      <c r="Q267" s="31">
        <f>163.4</f>
        <v>163.4</v>
      </c>
      <c r="R267" s="32" t="s">
        <v>755</v>
      </c>
      <c r="S267" s="33">
        <f>164.6</f>
        <v>164.6</v>
      </c>
      <c r="T267" s="39">
        <f>4510720</f>
        <v>4510720</v>
      </c>
      <c r="U267" s="30">
        <f>1770</f>
        <v>1770</v>
      </c>
      <c r="V267" s="30">
        <f>747244644</f>
        <v>747244644</v>
      </c>
      <c r="W267" s="30">
        <f>281171</f>
        <v>281171</v>
      </c>
      <c r="X267" s="34">
        <f>21</f>
        <v>21</v>
      </c>
    </row>
    <row r="268" spans="1:24">
      <c r="A268" s="25" t="s">
        <v>1238</v>
      </c>
      <c r="B268" s="25" t="s">
        <v>1155</v>
      </c>
      <c r="C268" s="25" t="s">
        <v>1156</v>
      </c>
      <c r="D268" s="25" t="s">
        <v>1157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164.8</f>
        <v>164.8</v>
      </c>
      <c r="L268" s="32" t="s">
        <v>1239</v>
      </c>
      <c r="M268" s="31">
        <f>174.7</f>
        <v>174.7</v>
      </c>
      <c r="N268" s="32" t="s">
        <v>1079</v>
      </c>
      <c r="O268" s="31">
        <f>144.5</f>
        <v>144.5</v>
      </c>
      <c r="P268" s="32" t="s">
        <v>850</v>
      </c>
      <c r="Q268" s="31">
        <f>157</f>
        <v>157</v>
      </c>
      <c r="R268" s="32" t="s">
        <v>755</v>
      </c>
      <c r="S268" s="33">
        <f>156.92</f>
        <v>156.91999999999999</v>
      </c>
      <c r="T268" s="39">
        <f>6283260</f>
        <v>6283260</v>
      </c>
      <c r="U268" s="30">
        <f>900</f>
        <v>900</v>
      </c>
      <c r="V268" s="30">
        <f>983782771</f>
        <v>983782771</v>
      </c>
      <c r="W268" s="30">
        <f>136747</f>
        <v>136747</v>
      </c>
      <c r="X268" s="34">
        <f>21</f>
        <v>21</v>
      </c>
    </row>
    <row r="269" spans="1:24">
      <c r="A269" s="25" t="s">
        <v>1238</v>
      </c>
      <c r="B269" s="25" t="s">
        <v>526</v>
      </c>
      <c r="C269" s="25" t="s">
        <v>527</v>
      </c>
      <c r="D269" s="25" t="s">
        <v>528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877</f>
        <v>877</v>
      </c>
      <c r="L269" s="32" t="s">
        <v>1239</v>
      </c>
      <c r="M269" s="31">
        <f>903.2</f>
        <v>903.2</v>
      </c>
      <c r="N269" s="32" t="s">
        <v>1079</v>
      </c>
      <c r="O269" s="31">
        <f>868.2</f>
        <v>868.2</v>
      </c>
      <c r="P269" s="32" t="s">
        <v>1239</v>
      </c>
      <c r="Q269" s="31">
        <f>884.3</f>
        <v>884.3</v>
      </c>
      <c r="R269" s="32" t="s">
        <v>755</v>
      </c>
      <c r="S269" s="33">
        <f>881.99</f>
        <v>881.99</v>
      </c>
      <c r="T269" s="39">
        <f>7091610</f>
        <v>7091610</v>
      </c>
      <c r="U269" s="30">
        <f>4381620</f>
        <v>4381620</v>
      </c>
      <c r="V269" s="30">
        <f>6259639917</f>
        <v>6259639917</v>
      </c>
      <c r="W269" s="30">
        <f>3865839303</f>
        <v>3865839303</v>
      </c>
      <c r="X269" s="34">
        <f>21</f>
        <v>21</v>
      </c>
    </row>
    <row r="270" spans="1:24">
      <c r="A270" s="25" t="s">
        <v>1238</v>
      </c>
      <c r="B270" s="25" t="s">
        <v>529</v>
      </c>
      <c r="C270" s="25" t="s">
        <v>530</v>
      </c>
      <c r="D270" s="25" t="s">
        <v>531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1075.5</f>
        <v>1075.5</v>
      </c>
      <c r="L270" s="32" t="s">
        <v>1239</v>
      </c>
      <c r="M270" s="31">
        <f>1082</f>
        <v>1082</v>
      </c>
      <c r="N270" s="32" t="s">
        <v>1240</v>
      </c>
      <c r="O270" s="31">
        <f>1029.5</f>
        <v>1029.5</v>
      </c>
      <c r="P270" s="32" t="s">
        <v>850</v>
      </c>
      <c r="Q270" s="31">
        <f>1054</f>
        <v>1054</v>
      </c>
      <c r="R270" s="32" t="s">
        <v>755</v>
      </c>
      <c r="S270" s="33">
        <f>1055.52</f>
        <v>1055.52</v>
      </c>
      <c r="T270" s="39">
        <f>4701260</f>
        <v>4701260</v>
      </c>
      <c r="U270" s="30">
        <f>2583690</f>
        <v>2583690</v>
      </c>
      <c r="V270" s="30">
        <f>4991395840</f>
        <v>4991395840</v>
      </c>
      <c r="W270" s="30">
        <f>2758863520</f>
        <v>2758863520</v>
      </c>
      <c r="X270" s="34">
        <f>21</f>
        <v>21</v>
      </c>
    </row>
    <row r="271" spans="1:24">
      <c r="A271" s="25" t="s">
        <v>1238</v>
      </c>
      <c r="B271" s="25" t="s">
        <v>532</v>
      </c>
      <c r="C271" s="25" t="s">
        <v>533</v>
      </c>
      <c r="D271" s="25" t="s">
        <v>534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761.8</f>
        <v>761.8</v>
      </c>
      <c r="L271" s="32" t="s">
        <v>1239</v>
      </c>
      <c r="M271" s="31">
        <f>774.2</f>
        <v>774.2</v>
      </c>
      <c r="N271" s="32" t="s">
        <v>1080</v>
      </c>
      <c r="O271" s="31">
        <f>754.3</f>
        <v>754.3</v>
      </c>
      <c r="P271" s="32" t="s">
        <v>852</v>
      </c>
      <c r="Q271" s="31">
        <f>767</f>
        <v>767</v>
      </c>
      <c r="R271" s="32" t="s">
        <v>755</v>
      </c>
      <c r="S271" s="33">
        <f>763.85</f>
        <v>763.85</v>
      </c>
      <c r="T271" s="39">
        <f>3401700</f>
        <v>3401700</v>
      </c>
      <c r="U271" s="30">
        <f>1641120</f>
        <v>1641120</v>
      </c>
      <c r="V271" s="30">
        <f>2589500040</f>
        <v>2589500040</v>
      </c>
      <c r="W271" s="30">
        <f>1247244282</f>
        <v>1247244282</v>
      </c>
      <c r="X271" s="34">
        <f>21</f>
        <v>21</v>
      </c>
    </row>
    <row r="272" spans="1:24">
      <c r="A272" s="25" t="s">
        <v>1238</v>
      </c>
      <c r="B272" s="25" t="s">
        <v>535</v>
      </c>
      <c r="C272" s="25" t="s">
        <v>536</v>
      </c>
      <c r="D272" s="25" t="s">
        <v>537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2488</f>
        <v>2488</v>
      </c>
      <c r="L272" s="32" t="s">
        <v>1239</v>
      </c>
      <c r="M272" s="31">
        <f>2507</f>
        <v>2507</v>
      </c>
      <c r="N272" s="32" t="s">
        <v>1240</v>
      </c>
      <c r="O272" s="31">
        <f>2098</f>
        <v>2098</v>
      </c>
      <c r="P272" s="32" t="s">
        <v>852</v>
      </c>
      <c r="Q272" s="31">
        <f>2379.5</f>
        <v>2379.5</v>
      </c>
      <c r="R272" s="32" t="s">
        <v>755</v>
      </c>
      <c r="S272" s="33">
        <f>2314.55</f>
        <v>2314.5500000000002</v>
      </c>
      <c r="T272" s="39">
        <f>2567010</f>
        <v>2567010</v>
      </c>
      <c r="U272" s="30">
        <f>928380</f>
        <v>928380</v>
      </c>
      <c r="V272" s="30">
        <f>5886765843</f>
        <v>5886765843</v>
      </c>
      <c r="W272" s="30">
        <f>2227540708</f>
        <v>2227540708</v>
      </c>
      <c r="X272" s="34">
        <f>21</f>
        <v>21</v>
      </c>
    </row>
    <row r="273" spans="1:24">
      <c r="A273" s="25" t="s">
        <v>1238</v>
      </c>
      <c r="B273" s="25" t="s">
        <v>538</v>
      </c>
      <c r="C273" s="25" t="s">
        <v>539</v>
      </c>
      <c r="D273" s="25" t="s">
        <v>540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1585</f>
        <v>1585</v>
      </c>
      <c r="L273" s="32" t="s">
        <v>1239</v>
      </c>
      <c r="M273" s="31">
        <f>1600</f>
        <v>1600</v>
      </c>
      <c r="N273" s="32" t="s">
        <v>1240</v>
      </c>
      <c r="O273" s="31">
        <f>1363.5</f>
        <v>1363.5</v>
      </c>
      <c r="P273" s="32" t="s">
        <v>1079</v>
      </c>
      <c r="Q273" s="31">
        <f>1567.5</f>
        <v>1567.5</v>
      </c>
      <c r="R273" s="32" t="s">
        <v>755</v>
      </c>
      <c r="S273" s="33">
        <f>1512.31</f>
        <v>1512.31</v>
      </c>
      <c r="T273" s="39">
        <f>1172680</f>
        <v>1172680</v>
      </c>
      <c r="U273" s="30">
        <f>598000</f>
        <v>598000</v>
      </c>
      <c r="V273" s="30">
        <f>1793596085</f>
        <v>1793596085</v>
      </c>
      <c r="W273" s="30">
        <f>930707600</f>
        <v>930707600</v>
      </c>
      <c r="X273" s="34">
        <f>21</f>
        <v>21</v>
      </c>
    </row>
    <row r="274" spans="1:24">
      <c r="A274" s="25" t="s">
        <v>1238</v>
      </c>
      <c r="B274" s="25" t="s">
        <v>541</v>
      </c>
      <c r="C274" s="25" t="s">
        <v>542</v>
      </c>
      <c r="D274" s="25" t="s">
        <v>543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1380</f>
        <v>1380</v>
      </c>
      <c r="L274" s="32" t="s">
        <v>1239</v>
      </c>
      <c r="M274" s="31">
        <f>1389</f>
        <v>1389</v>
      </c>
      <c r="N274" s="32" t="s">
        <v>1240</v>
      </c>
      <c r="O274" s="31">
        <f>1154</f>
        <v>1154</v>
      </c>
      <c r="P274" s="32" t="s">
        <v>852</v>
      </c>
      <c r="Q274" s="31">
        <f>1294.5</f>
        <v>1294.5</v>
      </c>
      <c r="R274" s="32" t="s">
        <v>755</v>
      </c>
      <c r="S274" s="33">
        <f>1276.83</f>
        <v>1276.83</v>
      </c>
      <c r="T274" s="39">
        <f>654610</f>
        <v>654610</v>
      </c>
      <c r="U274" s="30">
        <f>30100</f>
        <v>30100</v>
      </c>
      <c r="V274" s="30">
        <f>835328895</f>
        <v>835328895</v>
      </c>
      <c r="W274" s="30">
        <f>37101050</f>
        <v>37101050</v>
      </c>
      <c r="X274" s="34">
        <f>21</f>
        <v>21</v>
      </c>
    </row>
    <row r="275" spans="1:24">
      <c r="A275" s="25" t="s">
        <v>1238</v>
      </c>
      <c r="B275" s="25" t="s">
        <v>544</v>
      </c>
      <c r="C275" s="25" t="s">
        <v>1046</v>
      </c>
      <c r="D275" s="25" t="s">
        <v>1047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10</v>
      </c>
      <c r="K275" s="31">
        <f>512.4</f>
        <v>512.4</v>
      </c>
      <c r="L275" s="32" t="s">
        <v>1239</v>
      </c>
      <c r="M275" s="31">
        <f>533.8</f>
        <v>533.79999999999995</v>
      </c>
      <c r="N275" s="32" t="s">
        <v>755</v>
      </c>
      <c r="O275" s="31">
        <f>416.4</f>
        <v>416.4</v>
      </c>
      <c r="P275" s="32" t="s">
        <v>1079</v>
      </c>
      <c r="Q275" s="31">
        <f>533.8</f>
        <v>533.79999999999995</v>
      </c>
      <c r="R275" s="32" t="s">
        <v>755</v>
      </c>
      <c r="S275" s="33">
        <f>498.52</f>
        <v>498.52</v>
      </c>
      <c r="T275" s="39">
        <f>22095320</f>
        <v>22095320</v>
      </c>
      <c r="U275" s="30">
        <f>298010</f>
        <v>298010</v>
      </c>
      <c r="V275" s="30">
        <f>10909690915</f>
        <v>10909690915</v>
      </c>
      <c r="W275" s="30">
        <f>157532457</f>
        <v>157532457</v>
      </c>
      <c r="X275" s="34">
        <f>21</f>
        <v>21</v>
      </c>
    </row>
    <row r="276" spans="1:24">
      <c r="A276" s="25" t="s">
        <v>1238</v>
      </c>
      <c r="B276" s="25" t="s">
        <v>545</v>
      </c>
      <c r="C276" s="25" t="s">
        <v>546</v>
      </c>
      <c r="D276" s="25" t="s">
        <v>547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1031</f>
        <v>1031</v>
      </c>
      <c r="L276" s="32" t="s">
        <v>1239</v>
      </c>
      <c r="M276" s="31">
        <f>1050</f>
        <v>1050</v>
      </c>
      <c r="N276" s="32" t="s">
        <v>1208</v>
      </c>
      <c r="O276" s="31">
        <f>985</f>
        <v>985</v>
      </c>
      <c r="P276" s="32" t="s">
        <v>1079</v>
      </c>
      <c r="Q276" s="31">
        <f>1040.5</f>
        <v>1040.5</v>
      </c>
      <c r="R276" s="32" t="s">
        <v>755</v>
      </c>
      <c r="S276" s="33">
        <f>1030.63</f>
        <v>1030.6300000000001</v>
      </c>
      <c r="T276" s="39">
        <f>3368070</f>
        <v>3368070</v>
      </c>
      <c r="U276" s="30">
        <f>2480100</f>
        <v>2480100</v>
      </c>
      <c r="V276" s="30">
        <f>3438377879</f>
        <v>3438377879</v>
      </c>
      <c r="W276" s="30">
        <f>2532626660</f>
        <v>2532626660</v>
      </c>
      <c r="X276" s="34">
        <f>21</f>
        <v>21</v>
      </c>
    </row>
    <row r="277" spans="1:24">
      <c r="A277" s="25" t="s">
        <v>1238</v>
      </c>
      <c r="B277" s="25" t="s">
        <v>548</v>
      </c>
      <c r="C277" s="25" t="s">
        <v>549</v>
      </c>
      <c r="D277" s="25" t="s">
        <v>550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</v>
      </c>
      <c r="K277" s="31">
        <f>1578</f>
        <v>1578</v>
      </c>
      <c r="L277" s="32" t="s">
        <v>1239</v>
      </c>
      <c r="M277" s="31">
        <f>1578</f>
        <v>1578</v>
      </c>
      <c r="N277" s="32" t="s">
        <v>1239</v>
      </c>
      <c r="O277" s="31">
        <f>1281</f>
        <v>1281</v>
      </c>
      <c r="P277" s="32" t="s">
        <v>1079</v>
      </c>
      <c r="Q277" s="31">
        <f>1524</f>
        <v>1524</v>
      </c>
      <c r="R277" s="32" t="s">
        <v>755</v>
      </c>
      <c r="S277" s="33">
        <f>1470.43</f>
        <v>1470.43</v>
      </c>
      <c r="T277" s="39">
        <f>58339</f>
        <v>58339</v>
      </c>
      <c r="U277" s="30" t="str">
        <f>"－"</f>
        <v>－</v>
      </c>
      <c r="V277" s="30">
        <f>85081402</f>
        <v>85081402</v>
      </c>
      <c r="W277" s="30" t="str">
        <f>"－"</f>
        <v>－</v>
      </c>
      <c r="X277" s="34">
        <f>21</f>
        <v>21</v>
      </c>
    </row>
    <row r="278" spans="1:24">
      <c r="A278" s="25" t="s">
        <v>1238</v>
      </c>
      <c r="B278" s="25" t="s">
        <v>551</v>
      </c>
      <c r="C278" s="25" t="s">
        <v>552</v>
      </c>
      <c r="D278" s="25" t="s">
        <v>553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10</v>
      </c>
      <c r="K278" s="31">
        <f>1070</f>
        <v>1070</v>
      </c>
      <c r="L278" s="32" t="s">
        <v>1239</v>
      </c>
      <c r="M278" s="31">
        <f>1074</f>
        <v>1074</v>
      </c>
      <c r="N278" s="32" t="s">
        <v>1204</v>
      </c>
      <c r="O278" s="31">
        <f>970.1</f>
        <v>970.1</v>
      </c>
      <c r="P278" s="32" t="s">
        <v>850</v>
      </c>
      <c r="Q278" s="31">
        <f>1032</f>
        <v>1032</v>
      </c>
      <c r="R278" s="32" t="s">
        <v>755</v>
      </c>
      <c r="S278" s="33">
        <f>1015.4</f>
        <v>1015.4</v>
      </c>
      <c r="T278" s="39">
        <f>145160</f>
        <v>145160</v>
      </c>
      <c r="U278" s="30" t="str">
        <f>"－"</f>
        <v>－</v>
      </c>
      <c r="V278" s="30">
        <f>146033553</f>
        <v>146033553</v>
      </c>
      <c r="W278" s="30" t="str">
        <f>"－"</f>
        <v>－</v>
      </c>
      <c r="X278" s="34">
        <f>21</f>
        <v>21</v>
      </c>
    </row>
    <row r="279" spans="1:24">
      <c r="A279" s="25" t="s">
        <v>1238</v>
      </c>
      <c r="B279" s="25" t="s">
        <v>554</v>
      </c>
      <c r="C279" s="25" t="s">
        <v>555</v>
      </c>
      <c r="D279" s="25" t="s">
        <v>556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10</v>
      </c>
      <c r="K279" s="31">
        <f>1453.5</f>
        <v>1453.5</v>
      </c>
      <c r="L279" s="32" t="s">
        <v>1239</v>
      </c>
      <c r="M279" s="31">
        <f>1464</f>
        <v>1464</v>
      </c>
      <c r="N279" s="32" t="s">
        <v>1204</v>
      </c>
      <c r="O279" s="31">
        <f>1217.5</f>
        <v>1217.5</v>
      </c>
      <c r="P279" s="32" t="s">
        <v>852</v>
      </c>
      <c r="Q279" s="31">
        <f>1374.5</f>
        <v>1374.5</v>
      </c>
      <c r="R279" s="32" t="s">
        <v>755</v>
      </c>
      <c r="S279" s="33">
        <f>1347.6</f>
        <v>1347.6</v>
      </c>
      <c r="T279" s="39">
        <f>140510</f>
        <v>140510</v>
      </c>
      <c r="U279" s="30" t="str">
        <f>"－"</f>
        <v>－</v>
      </c>
      <c r="V279" s="30">
        <f>189939690</f>
        <v>189939690</v>
      </c>
      <c r="W279" s="30" t="str">
        <f>"－"</f>
        <v>－</v>
      </c>
      <c r="X279" s="34">
        <f>21</f>
        <v>21</v>
      </c>
    </row>
    <row r="280" spans="1:24">
      <c r="A280" s="25" t="s">
        <v>1238</v>
      </c>
      <c r="B280" s="25" t="s">
        <v>557</v>
      </c>
      <c r="C280" s="25" t="s">
        <v>558</v>
      </c>
      <c r="D280" s="25" t="s">
        <v>559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</v>
      </c>
      <c r="K280" s="31">
        <f>1657</f>
        <v>1657</v>
      </c>
      <c r="L280" s="32" t="s">
        <v>1239</v>
      </c>
      <c r="M280" s="31">
        <f>1670</f>
        <v>1670</v>
      </c>
      <c r="N280" s="32" t="s">
        <v>1240</v>
      </c>
      <c r="O280" s="31">
        <f>1443</f>
        <v>1443</v>
      </c>
      <c r="P280" s="32" t="s">
        <v>852</v>
      </c>
      <c r="Q280" s="31">
        <f>1640</f>
        <v>1640</v>
      </c>
      <c r="R280" s="32" t="s">
        <v>755</v>
      </c>
      <c r="S280" s="33">
        <f>1584.55</f>
        <v>1584.55</v>
      </c>
      <c r="T280" s="39">
        <f>5350248</f>
        <v>5350248</v>
      </c>
      <c r="U280" s="30">
        <f>2612410</f>
        <v>2612410</v>
      </c>
      <c r="V280" s="30">
        <f>8335675082</f>
        <v>8335675082</v>
      </c>
      <c r="W280" s="30">
        <f>4136651373</f>
        <v>4136651373</v>
      </c>
      <c r="X280" s="34">
        <f>21</f>
        <v>21</v>
      </c>
    </row>
    <row r="281" spans="1:24">
      <c r="A281" s="25" t="s">
        <v>1238</v>
      </c>
      <c r="B281" s="25" t="s">
        <v>560</v>
      </c>
      <c r="C281" s="25" t="s">
        <v>561</v>
      </c>
      <c r="D281" s="25" t="s">
        <v>562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</v>
      </c>
      <c r="K281" s="31">
        <f>5110</f>
        <v>5110</v>
      </c>
      <c r="L281" s="32" t="s">
        <v>1239</v>
      </c>
      <c r="M281" s="31">
        <f>5140</f>
        <v>5140</v>
      </c>
      <c r="N281" s="32" t="s">
        <v>1240</v>
      </c>
      <c r="O281" s="31">
        <f>4160</f>
        <v>4160</v>
      </c>
      <c r="P281" s="32" t="s">
        <v>852</v>
      </c>
      <c r="Q281" s="31">
        <f>4940</f>
        <v>4940</v>
      </c>
      <c r="R281" s="32" t="s">
        <v>755</v>
      </c>
      <c r="S281" s="33">
        <f>4692.14</f>
        <v>4692.1400000000003</v>
      </c>
      <c r="T281" s="39">
        <f>283405</f>
        <v>283405</v>
      </c>
      <c r="U281" s="30">
        <f>100</f>
        <v>100</v>
      </c>
      <c r="V281" s="30">
        <f>1330028010</f>
        <v>1330028010</v>
      </c>
      <c r="W281" s="30">
        <f>511000</f>
        <v>511000</v>
      </c>
      <c r="X281" s="34">
        <f>21</f>
        <v>21</v>
      </c>
    </row>
    <row r="282" spans="1:24">
      <c r="A282" s="25" t="s">
        <v>1238</v>
      </c>
      <c r="B282" s="25" t="s">
        <v>563</v>
      </c>
      <c r="C282" s="25" t="s">
        <v>564</v>
      </c>
      <c r="D282" s="25" t="s">
        <v>565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10</v>
      </c>
      <c r="K282" s="31">
        <f>2491</f>
        <v>2491</v>
      </c>
      <c r="L282" s="32" t="s">
        <v>1078</v>
      </c>
      <c r="M282" s="31">
        <f>2491</f>
        <v>2491</v>
      </c>
      <c r="N282" s="32" t="s">
        <v>1078</v>
      </c>
      <c r="O282" s="31">
        <f>2208.5</f>
        <v>2208.5</v>
      </c>
      <c r="P282" s="32" t="s">
        <v>755</v>
      </c>
      <c r="Q282" s="31">
        <f>2208.5</f>
        <v>2208.5</v>
      </c>
      <c r="R282" s="32" t="s">
        <v>755</v>
      </c>
      <c r="S282" s="33">
        <f>2240.25</f>
        <v>2240.25</v>
      </c>
      <c r="T282" s="39">
        <f>230</f>
        <v>230</v>
      </c>
      <c r="U282" s="30" t="str">
        <f>"－"</f>
        <v>－</v>
      </c>
      <c r="V282" s="30">
        <f>544665</f>
        <v>544665</v>
      </c>
      <c r="W282" s="30" t="str">
        <f>"－"</f>
        <v>－</v>
      </c>
      <c r="X282" s="34">
        <f>2</f>
        <v>2</v>
      </c>
    </row>
    <row r="283" spans="1:24">
      <c r="A283" s="25" t="s">
        <v>1238</v>
      </c>
      <c r="B283" s="25" t="s">
        <v>566</v>
      </c>
      <c r="C283" s="25" t="s">
        <v>567</v>
      </c>
      <c r="D283" s="25" t="s">
        <v>568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10</v>
      </c>
      <c r="K283" s="31">
        <f>2768</f>
        <v>2768</v>
      </c>
      <c r="L283" s="32" t="s">
        <v>1239</v>
      </c>
      <c r="M283" s="31">
        <f>2768</f>
        <v>2768</v>
      </c>
      <c r="N283" s="32" t="s">
        <v>1239</v>
      </c>
      <c r="O283" s="31">
        <f>2358.5</f>
        <v>2358.5</v>
      </c>
      <c r="P283" s="32" t="s">
        <v>1079</v>
      </c>
      <c r="Q283" s="31">
        <f>2741</f>
        <v>2741</v>
      </c>
      <c r="R283" s="32" t="s">
        <v>755</v>
      </c>
      <c r="S283" s="33">
        <f>2609.88</f>
        <v>2609.88</v>
      </c>
      <c r="T283" s="39">
        <f>2565360</f>
        <v>2565360</v>
      </c>
      <c r="U283" s="30">
        <f>1866400</f>
        <v>1866400</v>
      </c>
      <c r="V283" s="30">
        <f>6527126485</f>
        <v>6527126485</v>
      </c>
      <c r="W283" s="30">
        <f>4753127035</f>
        <v>4753127035</v>
      </c>
      <c r="X283" s="34">
        <f>21</f>
        <v>21</v>
      </c>
    </row>
    <row r="284" spans="1:24">
      <c r="A284" s="25" t="s">
        <v>1238</v>
      </c>
      <c r="B284" s="25" t="s">
        <v>569</v>
      </c>
      <c r="C284" s="25" t="s">
        <v>570</v>
      </c>
      <c r="D284" s="25" t="s">
        <v>571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</v>
      </c>
      <c r="K284" s="31">
        <f>36330</f>
        <v>36330</v>
      </c>
      <c r="L284" s="32" t="s">
        <v>1239</v>
      </c>
      <c r="M284" s="31">
        <f>36490</f>
        <v>36490</v>
      </c>
      <c r="N284" s="32" t="s">
        <v>1078</v>
      </c>
      <c r="O284" s="31">
        <f>31440</f>
        <v>31440</v>
      </c>
      <c r="P284" s="32" t="s">
        <v>1079</v>
      </c>
      <c r="Q284" s="31">
        <f>36350</f>
        <v>36350</v>
      </c>
      <c r="R284" s="32" t="s">
        <v>755</v>
      </c>
      <c r="S284" s="33">
        <f>34708.57</f>
        <v>34708.57</v>
      </c>
      <c r="T284" s="39">
        <f>389478</f>
        <v>389478</v>
      </c>
      <c r="U284" s="30">
        <f>187116</f>
        <v>187116</v>
      </c>
      <c r="V284" s="30">
        <f>13442911718</f>
        <v>13442911718</v>
      </c>
      <c r="W284" s="30">
        <f>6609748788</f>
        <v>6609748788</v>
      </c>
      <c r="X284" s="34">
        <f>21</f>
        <v>21</v>
      </c>
    </row>
    <row r="285" spans="1:24">
      <c r="A285" s="25" t="s">
        <v>1238</v>
      </c>
      <c r="B285" s="25" t="s">
        <v>572</v>
      </c>
      <c r="C285" s="25" t="s">
        <v>573</v>
      </c>
      <c r="D285" s="25" t="s">
        <v>574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24895</f>
        <v>24895</v>
      </c>
      <c r="L285" s="32" t="s">
        <v>1239</v>
      </c>
      <c r="M285" s="31">
        <f>24895</f>
        <v>24895</v>
      </c>
      <c r="N285" s="32" t="s">
        <v>1239</v>
      </c>
      <c r="O285" s="31">
        <f>21240</f>
        <v>21240</v>
      </c>
      <c r="P285" s="32" t="s">
        <v>1079</v>
      </c>
      <c r="Q285" s="31">
        <f>24595</f>
        <v>24595</v>
      </c>
      <c r="R285" s="32" t="s">
        <v>755</v>
      </c>
      <c r="S285" s="33">
        <f>23325.45</f>
        <v>23325.45</v>
      </c>
      <c r="T285" s="39">
        <f>3852</f>
        <v>3852</v>
      </c>
      <c r="U285" s="30" t="str">
        <f>"－"</f>
        <v>－</v>
      </c>
      <c r="V285" s="30">
        <f>87763675</f>
        <v>87763675</v>
      </c>
      <c r="W285" s="30" t="str">
        <f>"－"</f>
        <v>－</v>
      </c>
      <c r="X285" s="34">
        <f>11</f>
        <v>11</v>
      </c>
    </row>
    <row r="286" spans="1:24">
      <c r="A286" s="25" t="s">
        <v>1238</v>
      </c>
      <c r="B286" s="25" t="s">
        <v>575</v>
      </c>
      <c r="C286" s="25" t="s">
        <v>576</v>
      </c>
      <c r="D286" s="25" t="s">
        <v>577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10</v>
      </c>
      <c r="K286" s="31">
        <f>1041</f>
        <v>1041</v>
      </c>
      <c r="L286" s="32" t="s">
        <v>1239</v>
      </c>
      <c r="M286" s="31">
        <f>1058.5</f>
        <v>1058.5</v>
      </c>
      <c r="N286" s="32" t="s">
        <v>1204</v>
      </c>
      <c r="O286" s="31">
        <f>999.9</f>
        <v>999.9</v>
      </c>
      <c r="P286" s="32" t="s">
        <v>1079</v>
      </c>
      <c r="Q286" s="31">
        <f>1047</f>
        <v>1047</v>
      </c>
      <c r="R286" s="32" t="s">
        <v>755</v>
      </c>
      <c r="S286" s="33">
        <f>1037.69</f>
        <v>1037.69</v>
      </c>
      <c r="T286" s="39">
        <f>245930</f>
        <v>245930</v>
      </c>
      <c r="U286" s="30" t="str">
        <f>"－"</f>
        <v>－</v>
      </c>
      <c r="V286" s="30">
        <f>253765789</f>
        <v>253765789</v>
      </c>
      <c r="W286" s="30" t="str">
        <f>"－"</f>
        <v>－</v>
      </c>
      <c r="X286" s="34">
        <f>21</f>
        <v>21</v>
      </c>
    </row>
    <row r="287" spans="1:24">
      <c r="A287" s="25" t="s">
        <v>1238</v>
      </c>
      <c r="B287" s="25" t="s">
        <v>578</v>
      </c>
      <c r="C287" s="25" t="s">
        <v>918</v>
      </c>
      <c r="D287" s="25" t="s">
        <v>919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1022</f>
        <v>1022</v>
      </c>
      <c r="L287" s="32" t="s">
        <v>1239</v>
      </c>
      <c r="M287" s="31">
        <f>1038</f>
        <v>1038</v>
      </c>
      <c r="N287" s="32" t="s">
        <v>756</v>
      </c>
      <c r="O287" s="31">
        <f>978</f>
        <v>978</v>
      </c>
      <c r="P287" s="32" t="s">
        <v>1079</v>
      </c>
      <c r="Q287" s="31">
        <f>1029</f>
        <v>1029</v>
      </c>
      <c r="R287" s="32" t="s">
        <v>755</v>
      </c>
      <c r="S287" s="33">
        <f>1020.71</f>
        <v>1020.71</v>
      </c>
      <c r="T287" s="39">
        <f>112561</f>
        <v>112561</v>
      </c>
      <c r="U287" s="30">
        <f>272</f>
        <v>272</v>
      </c>
      <c r="V287" s="30">
        <f>113994458</f>
        <v>113994458</v>
      </c>
      <c r="W287" s="30">
        <f>277917</f>
        <v>277917</v>
      </c>
      <c r="X287" s="34">
        <f>21</f>
        <v>21</v>
      </c>
    </row>
    <row r="288" spans="1:24">
      <c r="A288" s="25" t="s">
        <v>1238</v>
      </c>
      <c r="B288" s="25" t="s">
        <v>579</v>
      </c>
      <c r="C288" s="25" t="s">
        <v>580</v>
      </c>
      <c r="D288" s="25" t="s">
        <v>581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1664</f>
        <v>1664</v>
      </c>
      <c r="L288" s="32" t="s">
        <v>1239</v>
      </c>
      <c r="M288" s="31">
        <f>1664</f>
        <v>1664</v>
      </c>
      <c r="N288" s="32" t="s">
        <v>1239</v>
      </c>
      <c r="O288" s="31">
        <f>1387</f>
        <v>1387</v>
      </c>
      <c r="P288" s="32" t="s">
        <v>1079</v>
      </c>
      <c r="Q288" s="31">
        <f>1574</f>
        <v>1574</v>
      </c>
      <c r="R288" s="32" t="s">
        <v>755</v>
      </c>
      <c r="S288" s="33">
        <f>1533.81</f>
        <v>1533.81</v>
      </c>
      <c r="T288" s="39">
        <f>779601</f>
        <v>779601</v>
      </c>
      <c r="U288" s="30">
        <f>363760</f>
        <v>363760</v>
      </c>
      <c r="V288" s="30">
        <f>1153839497</f>
        <v>1153839497</v>
      </c>
      <c r="W288" s="30">
        <f>521088066</f>
        <v>521088066</v>
      </c>
      <c r="X288" s="34">
        <f>21</f>
        <v>21</v>
      </c>
    </row>
    <row r="289" spans="1:24">
      <c r="A289" s="25" t="s">
        <v>1238</v>
      </c>
      <c r="B289" s="25" t="s">
        <v>582</v>
      </c>
      <c r="C289" s="25" t="s">
        <v>583</v>
      </c>
      <c r="D289" s="25" t="s">
        <v>584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</v>
      </c>
      <c r="K289" s="31">
        <f>13960</f>
        <v>13960</v>
      </c>
      <c r="L289" s="32" t="s">
        <v>1239</v>
      </c>
      <c r="M289" s="31">
        <f>14180</f>
        <v>14180</v>
      </c>
      <c r="N289" s="32" t="s">
        <v>1239</v>
      </c>
      <c r="O289" s="31">
        <f>12000</f>
        <v>12000</v>
      </c>
      <c r="P289" s="32" t="s">
        <v>1079</v>
      </c>
      <c r="Q289" s="31">
        <f>13280</f>
        <v>13280</v>
      </c>
      <c r="R289" s="32" t="s">
        <v>755</v>
      </c>
      <c r="S289" s="33">
        <f>13191.67</f>
        <v>13191.67</v>
      </c>
      <c r="T289" s="39">
        <f>7891</f>
        <v>7891</v>
      </c>
      <c r="U289" s="30" t="str">
        <f>"－"</f>
        <v>－</v>
      </c>
      <c r="V289" s="30">
        <f>102844025</f>
        <v>102844025</v>
      </c>
      <c r="W289" s="30" t="str">
        <f>"－"</f>
        <v>－</v>
      </c>
      <c r="X289" s="34">
        <f>21</f>
        <v>21</v>
      </c>
    </row>
    <row r="290" spans="1:24">
      <c r="A290" s="25" t="s">
        <v>1238</v>
      </c>
      <c r="B290" s="25" t="s">
        <v>585</v>
      </c>
      <c r="C290" s="25" t="s">
        <v>586</v>
      </c>
      <c r="D290" s="25" t="s">
        <v>587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</v>
      </c>
      <c r="K290" s="31">
        <f>1831</f>
        <v>1831</v>
      </c>
      <c r="L290" s="32" t="s">
        <v>1239</v>
      </c>
      <c r="M290" s="31">
        <f>1859</f>
        <v>1859</v>
      </c>
      <c r="N290" s="32" t="s">
        <v>756</v>
      </c>
      <c r="O290" s="31">
        <f>1738</f>
        <v>1738</v>
      </c>
      <c r="P290" s="32" t="s">
        <v>1079</v>
      </c>
      <c r="Q290" s="31">
        <f>1841</f>
        <v>1841</v>
      </c>
      <c r="R290" s="32" t="s">
        <v>755</v>
      </c>
      <c r="S290" s="33">
        <f>1827</f>
        <v>1827</v>
      </c>
      <c r="T290" s="39">
        <f>122713</f>
        <v>122713</v>
      </c>
      <c r="U290" s="30">
        <f>10948</f>
        <v>10948</v>
      </c>
      <c r="V290" s="30">
        <f>222389952</f>
        <v>222389952</v>
      </c>
      <c r="W290" s="30">
        <f>20034850</f>
        <v>20034850</v>
      </c>
      <c r="X290" s="34">
        <f>21</f>
        <v>21</v>
      </c>
    </row>
    <row r="291" spans="1:24">
      <c r="A291" s="25" t="s">
        <v>1238</v>
      </c>
      <c r="B291" s="25" t="s">
        <v>588</v>
      </c>
      <c r="C291" s="25" t="s">
        <v>589</v>
      </c>
      <c r="D291" s="25" t="s">
        <v>590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1665</f>
        <v>1665</v>
      </c>
      <c r="L291" s="32" t="s">
        <v>1239</v>
      </c>
      <c r="M291" s="31">
        <f>1684.5</f>
        <v>1684.5</v>
      </c>
      <c r="N291" s="32" t="s">
        <v>1240</v>
      </c>
      <c r="O291" s="31">
        <f>1372</f>
        <v>1372</v>
      </c>
      <c r="P291" s="32" t="s">
        <v>852</v>
      </c>
      <c r="Q291" s="31">
        <f>1522</f>
        <v>1522</v>
      </c>
      <c r="R291" s="32" t="s">
        <v>755</v>
      </c>
      <c r="S291" s="33">
        <f>1520.76</f>
        <v>1520.76</v>
      </c>
      <c r="T291" s="39">
        <f>564810</f>
        <v>564810</v>
      </c>
      <c r="U291" s="30" t="str">
        <f>"－"</f>
        <v>－</v>
      </c>
      <c r="V291" s="30">
        <f>847824910</f>
        <v>847824910</v>
      </c>
      <c r="W291" s="30" t="str">
        <f>"－"</f>
        <v>－</v>
      </c>
      <c r="X291" s="34">
        <f>21</f>
        <v>21</v>
      </c>
    </row>
    <row r="292" spans="1:24">
      <c r="A292" s="25" t="s">
        <v>1238</v>
      </c>
      <c r="B292" s="25" t="s">
        <v>591</v>
      </c>
      <c r="C292" s="25" t="s">
        <v>664</v>
      </c>
      <c r="D292" s="25" t="s">
        <v>665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786</f>
        <v>786</v>
      </c>
      <c r="L292" s="32" t="s">
        <v>1239</v>
      </c>
      <c r="M292" s="31">
        <f>794</f>
        <v>794</v>
      </c>
      <c r="N292" s="32" t="s">
        <v>1078</v>
      </c>
      <c r="O292" s="31">
        <f>767.8</f>
        <v>767.8</v>
      </c>
      <c r="P292" s="32" t="s">
        <v>738</v>
      </c>
      <c r="Q292" s="31">
        <f>783.4</f>
        <v>783.4</v>
      </c>
      <c r="R292" s="32" t="s">
        <v>755</v>
      </c>
      <c r="S292" s="33">
        <f>778.89</f>
        <v>778.89</v>
      </c>
      <c r="T292" s="39">
        <f>561830</f>
        <v>561830</v>
      </c>
      <c r="U292" s="30" t="str">
        <f>"－"</f>
        <v>－</v>
      </c>
      <c r="V292" s="30">
        <f>438396269</f>
        <v>438396269</v>
      </c>
      <c r="W292" s="30" t="str">
        <f>"－"</f>
        <v>－</v>
      </c>
      <c r="X292" s="34">
        <f>21</f>
        <v>21</v>
      </c>
    </row>
    <row r="293" spans="1:24">
      <c r="A293" s="25" t="s">
        <v>1238</v>
      </c>
      <c r="B293" s="25" t="s">
        <v>592</v>
      </c>
      <c r="C293" s="25" t="s">
        <v>593</v>
      </c>
      <c r="D293" s="25" t="s">
        <v>594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1766</f>
        <v>1766</v>
      </c>
      <c r="L293" s="32" t="s">
        <v>1239</v>
      </c>
      <c r="M293" s="31">
        <f>1789.5</f>
        <v>1789.5</v>
      </c>
      <c r="N293" s="32" t="s">
        <v>1240</v>
      </c>
      <c r="O293" s="31">
        <f>1676</f>
        <v>1676</v>
      </c>
      <c r="P293" s="32" t="s">
        <v>1079</v>
      </c>
      <c r="Q293" s="31">
        <f>1765.5</f>
        <v>1765.5</v>
      </c>
      <c r="R293" s="32" t="s">
        <v>755</v>
      </c>
      <c r="S293" s="33">
        <f>1747.21</f>
        <v>1747.21</v>
      </c>
      <c r="T293" s="39">
        <f>319190</f>
        <v>319190</v>
      </c>
      <c r="U293" s="30">
        <f>60</f>
        <v>60</v>
      </c>
      <c r="V293" s="30">
        <f>551627275</f>
        <v>551627275</v>
      </c>
      <c r="W293" s="30">
        <f>105090</f>
        <v>105090</v>
      </c>
      <c r="X293" s="34">
        <f>21</f>
        <v>21</v>
      </c>
    </row>
    <row r="294" spans="1:24">
      <c r="A294" s="25" t="s">
        <v>1238</v>
      </c>
      <c r="B294" s="25" t="s">
        <v>595</v>
      </c>
      <c r="C294" s="25" t="s">
        <v>596</v>
      </c>
      <c r="D294" s="25" t="s">
        <v>597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10</v>
      </c>
      <c r="K294" s="31">
        <f>1772</f>
        <v>1772</v>
      </c>
      <c r="L294" s="32" t="s">
        <v>1239</v>
      </c>
      <c r="M294" s="31">
        <f>1777.5</f>
        <v>1777.5</v>
      </c>
      <c r="N294" s="32" t="s">
        <v>1239</v>
      </c>
      <c r="O294" s="31">
        <f>1657</f>
        <v>1657</v>
      </c>
      <c r="P294" s="32" t="s">
        <v>1079</v>
      </c>
      <c r="Q294" s="31">
        <f>1755</f>
        <v>1755</v>
      </c>
      <c r="R294" s="32" t="s">
        <v>755</v>
      </c>
      <c r="S294" s="33">
        <f>1744.05</f>
        <v>1744.05</v>
      </c>
      <c r="T294" s="39">
        <f>544660</f>
        <v>544660</v>
      </c>
      <c r="U294" s="30">
        <f>40260</f>
        <v>40260</v>
      </c>
      <c r="V294" s="30">
        <f>942729616</f>
        <v>942729616</v>
      </c>
      <c r="W294" s="30">
        <f>70381946</f>
        <v>70381946</v>
      </c>
      <c r="X294" s="34">
        <f>21</f>
        <v>21</v>
      </c>
    </row>
    <row r="295" spans="1:24">
      <c r="A295" s="25" t="s">
        <v>1238</v>
      </c>
      <c r="B295" s="25" t="s">
        <v>598</v>
      </c>
      <c r="C295" s="25" t="s">
        <v>599</v>
      </c>
      <c r="D295" s="25" t="s">
        <v>600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10</v>
      </c>
      <c r="K295" s="31">
        <f>2751</f>
        <v>2751</v>
      </c>
      <c r="L295" s="32" t="s">
        <v>1239</v>
      </c>
      <c r="M295" s="31">
        <f>2751</f>
        <v>2751</v>
      </c>
      <c r="N295" s="32" t="s">
        <v>1239</v>
      </c>
      <c r="O295" s="31">
        <f>2250.5</f>
        <v>2250.5</v>
      </c>
      <c r="P295" s="32" t="s">
        <v>1079</v>
      </c>
      <c r="Q295" s="31">
        <f>2677.5</f>
        <v>2677.5</v>
      </c>
      <c r="R295" s="32" t="s">
        <v>755</v>
      </c>
      <c r="S295" s="33">
        <f>2560.29</f>
        <v>2560.29</v>
      </c>
      <c r="T295" s="39">
        <f>1234460</f>
        <v>1234460</v>
      </c>
      <c r="U295" s="30">
        <f>882050</f>
        <v>882050</v>
      </c>
      <c r="V295" s="30">
        <f>3089927635</f>
        <v>3089927635</v>
      </c>
      <c r="W295" s="30">
        <f>2182665065</f>
        <v>2182665065</v>
      </c>
      <c r="X295" s="34">
        <f>21</f>
        <v>21</v>
      </c>
    </row>
    <row r="296" spans="1:24">
      <c r="A296" s="25" t="s">
        <v>1238</v>
      </c>
      <c r="B296" s="25" t="s">
        <v>601</v>
      </c>
      <c r="C296" s="25" t="s">
        <v>602</v>
      </c>
      <c r="D296" s="25" t="s">
        <v>603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24135</f>
        <v>24135</v>
      </c>
      <c r="L296" s="32" t="s">
        <v>1239</v>
      </c>
      <c r="M296" s="31">
        <f>24320</f>
        <v>24320</v>
      </c>
      <c r="N296" s="32" t="s">
        <v>1240</v>
      </c>
      <c r="O296" s="31">
        <f>20210</f>
        <v>20210</v>
      </c>
      <c r="P296" s="32" t="s">
        <v>852</v>
      </c>
      <c r="Q296" s="31">
        <f>22800</f>
        <v>22800</v>
      </c>
      <c r="R296" s="32" t="s">
        <v>755</v>
      </c>
      <c r="S296" s="33">
        <f>22229.05</f>
        <v>22229.05</v>
      </c>
      <c r="T296" s="39">
        <f>1047879</f>
        <v>1047879</v>
      </c>
      <c r="U296" s="30">
        <f>61541</f>
        <v>61541</v>
      </c>
      <c r="V296" s="30">
        <f>23092185918</f>
        <v>23092185918</v>
      </c>
      <c r="W296" s="30">
        <f>1435599308</f>
        <v>1435599308</v>
      </c>
      <c r="X296" s="34">
        <f>21</f>
        <v>21</v>
      </c>
    </row>
    <row r="297" spans="1:24">
      <c r="A297" s="25" t="s">
        <v>1238</v>
      </c>
      <c r="B297" s="25" t="s">
        <v>604</v>
      </c>
      <c r="C297" s="25" t="s">
        <v>605</v>
      </c>
      <c r="D297" s="25" t="s">
        <v>606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20405</f>
        <v>20405</v>
      </c>
      <c r="L297" s="32" t="s">
        <v>1239</v>
      </c>
      <c r="M297" s="31">
        <f>20535</f>
        <v>20535</v>
      </c>
      <c r="N297" s="32" t="s">
        <v>1240</v>
      </c>
      <c r="O297" s="31">
        <f>17245</f>
        <v>17245</v>
      </c>
      <c r="P297" s="32" t="s">
        <v>852</v>
      </c>
      <c r="Q297" s="31">
        <f>19595</f>
        <v>19595</v>
      </c>
      <c r="R297" s="32" t="s">
        <v>755</v>
      </c>
      <c r="S297" s="33">
        <f>18990</f>
        <v>18990</v>
      </c>
      <c r="T297" s="39">
        <f>550870</f>
        <v>550870</v>
      </c>
      <c r="U297" s="30">
        <f>12202</f>
        <v>12202</v>
      </c>
      <c r="V297" s="30">
        <f>10273346424</f>
        <v>10273346424</v>
      </c>
      <c r="W297" s="30">
        <f>224824964</f>
        <v>224824964</v>
      </c>
      <c r="X297" s="34">
        <f>21</f>
        <v>21</v>
      </c>
    </row>
    <row r="298" spans="1:24">
      <c r="A298" s="25" t="s">
        <v>1238</v>
      </c>
      <c r="B298" s="25" t="s">
        <v>607</v>
      </c>
      <c r="C298" s="25" t="s">
        <v>608</v>
      </c>
      <c r="D298" s="25" t="s">
        <v>609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</v>
      </c>
      <c r="K298" s="31">
        <f>38140</f>
        <v>38140</v>
      </c>
      <c r="L298" s="32" t="s">
        <v>1239</v>
      </c>
      <c r="M298" s="31">
        <f>38140</f>
        <v>38140</v>
      </c>
      <c r="N298" s="32" t="s">
        <v>1239</v>
      </c>
      <c r="O298" s="31">
        <f>31540</f>
        <v>31540</v>
      </c>
      <c r="P298" s="32" t="s">
        <v>1080</v>
      </c>
      <c r="Q298" s="31">
        <f>35520</f>
        <v>35520</v>
      </c>
      <c r="R298" s="32" t="s">
        <v>1210</v>
      </c>
      <c r="S298" s="33">
        <f>34420</f>
        <v>34420</v>
      </c>
      <c r="T298" s="39">
        <f>17</f>
        <v>17</v>
      </c>
      <c r="U298" s="30" t="str">
        <f>"－"</f>
        <v>－</v>
      </c>
      <c r="V298" s="30">
        <f>595620</f>
        <v>595620</v>
      </c>
      <c r="W298" s="30" t="str">
        <f>"－"</f>
        <v>－</v>
      </c>
      <c r="X298" s="34">
        <f>5</f>
        <v>5</v>
      </c>
    </row>
    <row r="299" spans="1:24">
      <c r="A299" s="25" t="s">
        <v>1238</v>
      </c>
      <c r="B299" s="25" t="s">
        <v>610</v>
      </c>
      <c r="C299" s="25" t="s">
        <v>611</v>
      </c>
      <c r="D299" s="25" t="s">
        <v>612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</v>
      </c>
      <c r="K299" s="31">
        <f>2250</f>
        <v>2250</v>
      </c>
      <c r="L299" s="32" t="s">
        <v>1239</v>
      </c>
      <c r="M299" s="31">
        <f>2410</f>
        <v>2410</v>
      </c>
      <c r="N299" s="32" t="s">
        <v>1079</v>
      </c>
      <c r="O299" s="31">
        <f>2223</f>
        <v>2223</v>
      </c>
      <c r="P299" s="32" t="s">
        <v>851</v>
      </c>
      <c r="Q299" s="31">
        <f>2257</f>
        <v>2257</v>
      </c>
      <c r="R299" s="32" t="s">
        <v>755</v>
      </c>
      <c r="S299" s="33">
        <f>2261.86</f>
        <v>2261.86</v>
      </c>
      <c r="T299" s="39">
        <f>4130898</f>
        <v>4130898</v>
      </c>
      <c r="U299" s="30">
        <f>3517165</f>
        <v>3517165</v>
      </c>
      <c r="V299" s="30">
        <f>9297802600</f>
        <v>9297802600</v>
      </c>
      <c r="W299" s="30">
        <f>7903290822</f>
        <v>7903290822</v>
      </c>
      <c r="X299" s="34">
        <f>21</f>
        <v>21</v>
      </c>
    </row>
    <row r="300" spans="1:24">
      <c r="A300" s="25" t="s">
        <v>1238</v>
      </c>
      <c r="B300" s="25" t="s">
        <v>613</v>
      </c>
      <c r="C300" s="25" t="s">
        <v>614</v>
      </c>
      <c r="D300" s="25" t="s">
        <v>615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</v>
      </c>
      <c r="K300" s="31">
        <f>3057</f>
        <v>3057</v>
      </c>
      <c r="L300" s="32" t="s">
        <v>1239</v>
      </c>
      <c r="M300" s="31">
        <f>3072</f>
        <v>3072</v>
      </c>
      <c r="N300" s="32" t="s">
        <v>1240</v>
      </c>
      <c r="O300" s="31">
        <f>2695</f>
        <v>2695</v>
      </c>
      <c r="P300" s="32" t="s">
        <v>852</v>
      </c>
      <c r="Q300" s="31">
        <f>2960</f>
        <v>2960</v>
      </c>
      <c r="R300" s="32" t="s">
        <v>755</v>
      </c>
      <c r="S300" s="33">
        <f>2918.57</f>
        <v>2918.57</v>
      </c>
      <c r="T300" s="39">
        <f>1879532</f>
        <v>1879532</v>
      </c>
      <c r="U300" s="30">
        <f>1376540</f>
        <v>1376540</v>
      </c>
      <c r="V300" s="30">
        <f>5392911898</f>
        <v>5392911898</v>
      </c>
      <c r="W300" s="30">
        <f>3953927986</f>
        <v>3953927986</v>
      </c>
      <c r="X300" s="34">
        <f>21</f>
        <v>21</v>
      </c>
    </row>
    <row r="301" spans="1:24">
      <c r="A301" s="25" t="s">
        <v>1238</v>
      </c>
      <c r="B301" s="25" t="s">
        <v>616</v>
      </c>
      <c r="C301" s="25" t="s">
        <v>617</v>
      </c>
      <c r="D301" s="25" t="s">
        <v>618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10</v>
      </c>
      <c r="K301" s="31">
        <f>310</f>
        <v>310</v>
      </c>
      <c r="L301" s="32" t="s">
        <v>1239</v>
      </c>
      <c r="M301" s="31">
        <f>312.5</f>
        <v>312.5</v>
      </c>
      <c r="N301" s="32" t="s">
        <v>1240</v>
      </c>
      <c r="O301" s="31">
        <f>270</f>
        <v>270</v>
      </c>
      <c r="P301" s="32" t="s">
        <v>852</v>
      </c>
      <c r="Q301" s="31">
        <f>306.7</f>
        <v>306.7</v>
      </c>
      <c r="R301" s="32" t="s">
        <v>755</v>
      </c>
      <c r="S301" s="33">
        <f>296.78</f>
        <v>296.77999999999997</v>
      </c>
      <c r="T301" s="39">
        <f>48521360</f>
        <v>48521360</v>
      </c>
      <c r="U301" s="30">
        <f>18692700</f>
        <v>18692700</v>
      </c>
      <c r="V301" s="30">
        <f>14206152898</f>
        <v>14206152898</v>
      </c>
      <c r="W301" s="30">
        <f>5484649814</f>
        <v>5484649814</v>
      </c>
      <c r="X301" s="34">
        <f>21</f>
        <v>21</v>
      </c>
    </row>
    <row r="302" spans="1:24">
      <c r="A302" s="25" t="s">
        <v>1238</v>
      </c>
      <c r="B302" s="25" t="s">
        <v>619</v>
      </c>
      <c r="C302" s="25" t="s">
        <v>620</v>
      </c>
      <c r="D302" s="25" t="s">
        <v>621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</v>
      </c>
      <c r="K302" s="31">
        <f>2820</f>
        <v>2820</v>
      </c>
      <c r="L302" s="32" t="s">
        <v>1239</v>
      </c>
      <c r="M302" s="31">
        <f>2821</f>
        <v>2821</v>
      </c>
      <c r="N302" s="32" t="s">
        <v>1239</v>
      </c>
      <c r="O302" s="31">
        <f>2415</f>
        <v>2415</v>
      </c>
      <c r="P302" s="32" t="s">
        <v>1079</v>
      </c>
      <c r="Q302" s="31">
        <f>2697</f>
        <v>2697</v>
      </c>
      <c r="R302" s="32" t="s">
        <v>755</v>
      </c>
      <c r="S302" s="33">
        <f>2675.71</f>
        <v>2675.71</v>
      </c>
      <c r="T302" s="39">
        <f>1624169</f>
        <v>1624169</v>
      </c>
      <c r="U302" s="30">
        <f>758677</f>
        <v>758677</v>
      </c>
      <c r="V302" s="30">
        <f>4197421617</f>
        <v>4197421617</v>
      </c>
      <c r="W302" s="30">
        <f>1919751886</f>
        <v>1919751886</v>
      </c>
      <c r="X302" s="34">
        <f>21</f>
        <v>21</v>
      </c>
    </row>
    <row r="303" spans="1:24">
      <c r="A303" s="25" t="s">
        <v>1238</v>
      </c>
      <c r="B303" s="25" t="s">
        <v>622</v>
      </c>
      <c r="C303" s="25" t="s">
        <v>623</v>
      </c>
      <c r="D303" s="25" t="s">
        <v>624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</v>
      </c>
      <c r="K303" s="31">
        <f>850</f>
        <v>850</v>
      </c>
      <c r="L303" s="32" t="s">
        <v>1239</v>
      </c>
      <c r="M303" s="31">
        <f>850</f>
        <v>850</v>
      </c>
      <c r="N303" s="32" t="s">
        <v>1239</v>
      </c>
      <c r="O303" s="31">
        <f>806</f>
        <v>806</v>
      </c>
      <c r="P303" s="32" t="s">
        <v>1079</v>
      </c>
      <c r="Q303" s="31">
        <f>835</f>
        <v>835</v>
      </c>
      <c r="R303" s="32" t="s">
        <v>755</v>
      </c>
      <c r="S303" s="33">
        <f>835.29</f>
        <v>835.29</v>
      </c>
      <c r="T303" s="39">
        <f>378597</f>
        <v>378597</v>
      </c>
      <c r="U303" s="30">
        <f>6023</f>
        <v>6023</v>
      </c>
      <c r="V303" s="30">
        <f>314936781</f>
        <v>314936781</v>
      </c>
      <c r="W303" s="30">
        <f>5003482</f>
        <v>5003482</v>
      </c>
      <c r="X303" s="34">
        <f>21</f>
        <v>21</v>
      </c>
    </row>
    <row r="304" spans="1:24">
      <c r="A304" s="25" t="s">
        <v>1238</v>
      </c>
      <c r="B304" s="25" t="s">
        <v>625</v>
      </c>
      <c r="C304" s="25" t="s">
        <v>626</v>
      </c>
      <c r="D304" s="25" t="s">
        <v>627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</v>
      </c>
      <c r="K304" s="31">
        <f>965.5</f>
        <v>965.5</v>
      </c>
      <c r="L304" s="32" t="s">
        <v>1239</v>
      </c>
      <c r="M304" s="31">
        <f>973.3</f>
        <v>973.3</v>
      </c>
      <c r="N304" s="32" t="s">
        <v>1239</v>
      </c>
      <c r="O304" s="31">
        <f>916</f>
        <v>916</v>
      </c>
      <c r="P304" s="32" t="s">
        <v>1079</v>
      </c>
      <c r="Q304" s="31">
        <f>963</f>
        <v>963</v>
      </c>
      <c r="R304" s="32" t="s">
        <v>755</v>
      </c>
      <c r="S304" s="33">
        <f>956.41</f>
        <v>956.41</v>
      </c>
      <c r="T304" s="39">
        <f>39963</f>
        <v>39963</v>
      </c>
      <c r="U304" s="30">
        <f>10</f>
        <v>10</v>
      </c>
      <c r="V304" s="30">
        <f>38135670</f>
        <v>38135670</v>
      </c>
      <c r="W304" s="30">
        <f>9561</f>
        <v>9561</v>
      </c>
      <c r="X304" s="34">
        <f>21</f>
        <v>21</v>
      </c>
    </row>
    <row r="305" spans="1:24">
      <c r="A305" s="25" t="s">
        <v>1238</v>
      </c>
      <c r="B305" s="25" t="s">
        <v>628</v>
      </c>
      <c r="C305" s="25" t="s">
        <v>629</v>
      </c>
      <c r="D305" s="25" t="s">
        <v>630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10</v>
      </c>
      <c r="K305" s="31">
        <f>333</f>
        <v>333</v>
      </c>
      <c r="L305" s="32" t="s">
        <v>1204</v>
      </c>
      <c r="M305" s="31">
        <f>354.3</f>
        <v>354.3</v>
      </c>
      <c r="N305" s="32" t="s">
        <v>755</v>
      </c>
      <c r="O305" s="31">
        <f>296.8</f>
        <v>296.8</v>
      </c>
      <c r="P305" s="32" t="s">
        <v>1077</v>
      </c>
      <c r="Q305" s="31">
        <f>354.3</f>
        <v>354.3</v>
      </c>
      <c r="R305" s="32" t="s">
        <v>755</v>
      </c>
      <c r="S305" s="33">
        <f>335.21</f>
        <v>335.21</v>
      </c>
      <c r="T305" s="39">
        <f>16510</f>
        <v>16510</v>
      </c>
      <c r="U305" s="30" t="str">
        <f>"－"</f>
        <v>－</v>
      </c>
      <c r="V305" s="30">
        <f>5464288</f>
        <v>5464288</v>
      </c>
      <c r="W305" s="30" t="str">
        <f>"－"</f>
        <v>－</v>
      </c>
      <c r="X305" s="34">
        <f>18</f>
        <v>18</v>
      </c>
    </row>
    <row r="306" spans="1:24">
      <c r="A306" s="25" t="s">
        <v>1238</v>
      </c>
      <c r="B306" s="25" t="s">
        <v>631</v>
      </c>
      <c r="C306" s="25" t="s">
        <v>632</v>
      </c>
      <c r="D306" s="25" t="s">
        <v>633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</v>
      </c>
      <c r="K306" s="31">
        <f>4941</f>
        <v>4941</v>
      </c>
      <c r="L306" s="32" t="s">
        <v>1239</v>
      </c>
      <c r="M306" s="31">
        <f>5003</f>
        <v>5003</v>
      </c>
      <c r="N306" s="32" t="s">
        <v>1240</v>
      </c>
      <c r="O306" s="31">
        <f>4118</f>
        <v>4118</v>
      </c>
      <c r="P306" s="32" t="s">
        <v>1079</v>
      </c>
      <c r="Q306" s="31">
        <f>4770</f>
        <v>4770</v>
      </c>
      <c r="R306" s="32" t="s">
        <v>755</v>
      </c>
      <c r="S306" s="33">
        <f>4590.19</f>
        <v>4590.1899999999996</v>
      </c>
      <c r="T306" s="39">
        <f>1087933</f>
        <v>1087933</v>
      </c>
      <c r="U306" s="30" t="str">
        <f>"－"</f>
        <v>－</v>
      </c>
      <c r="V306" s="30">
        <f>4884550970</f>
        <v>4884550970</v>
      </c>
      <c r="W306" s="30" t="str">
        <f>"－"</f>
        <v>－</v>
      </c>
      <c r="X306" s="34">
        <f>21</f>
        <v>21</v>
      </c>
    </row>
    <row r="307" spans="1:24">
      <c r="A307" s="25" t="s">
        <v>1238</v>
      </c>
      <c r="B307" s="25" t="s">
        <v>634</v>
      </c>
      <c r="C307" s="25" t="s">
        <v>635</v>
      </c>
      <c r="D307" s="25" t="s">
        <v>636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</v>
      </c>
      <c r="K307" s="31">
        <f>2941.5</f>
        <v>2941.5</v>
      </c>
      <c r="L307" s="32" t="s">
        <v>1239</v>
      </c>
      <c r="M307" s="31">
        <f>2986</f>
        <v>2986</v>
      </c>
      <c r="N307" s="32" t="s">
        <v>1240</v>
      </c>
      <c r="O307" s="31">
        <f>2534.5</f>
        <v>2534.5</v>
      </c>
      <c r="P307" s="32" t="s">
        <v>1079</v>
      </c>
      <c r="Q307" s="31">
        <f>2976</f>
        <v>2976</v>
      </c>
      <c r="R307" s="32" t="s">
        <v>755</v>
      </c>
      <c r="S307" s="33">
        <f>2842.62</f>
        <v>2842.62</v>
      </c>
      <c r="T307" s="39">
        <f>1957740</f>
        <v>1957740</v>
      </c>
      <c r="U307" s="30">
        <f>702000</f>
        <v>702000</v>
      </c>
      <c r="V307" s="30">
        <f>5512378460</f>
        <v>5512378460</v>
      </c>
      <c r="W307" s="30">
        <f>2041475998</f>
        <v>2041475998</v>
      </c>
      <c r="X307" s="34">
        <f>21</f>
        <v>21</v>
      </c>
    </row>
    <row r="308" spans="1:24">
      <c r="A308" s="25" t="s">
        <v>1238</v>
      </c>
      <c r="B308" s="25" t="s">
        <v>1158</v>
      </c>
      <c r="C308" s="25" t="s">
        <v>1159</v>
      </c>
      <c r="D308" s="25" t="s">
        <v>1160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</v>
      </c>
      <c r="K308" s="31">
        <f>2022</f>
        <v>2022</v>
      </c>
      <c r="L308" s="32" t="s">
        <v>1239</v>
      </c>
      <c r="M308" s="31">
        <f>2022</f>
        <v>2022</v>
      </c>
      <c r="N308" s="32" t="s">
        <v>1239</v>
      </c>
      <c r="O308" s="31">
        <f>1650</f>
        <v>1650</v>
      </c>
      <c r="P308" s="32" t="s">
        <v>1079</v>
      </c>
      <c r="Q308" s="31">
        <f>1986</f>
        <v>1986</v>
      </c>
      <c r="R308" s="32" t="s">
        <v>755</v>
      </c>
      <c r="S308" s="33">
        <f>1875.48</f>
        <v>1875.48</v>
      </c>
      <c r="T308" s="39">
        <f>15817</f>
        <v>15817</v>
      </c>
      <c r="U308" s="30" t="str">
        <f>"－"</f>
        <v>－</v>
      </c>
      <c r="V308" s="30">
        <f>27983019</f>
        <v>27983019</v>
      </c>
      <c r="W308" s="30" t="str">
        <f>"－"</f>
        <v>－</v>
      </c>
      <c r="X308" s="34">
        <f>21</f>
        <v>21</v>
      </c>
    </row>
    <row r="309" spans="1:24">
      <c r="A309" s="25" t="s">
        <v>1238</v>
      </c>
      <c r="B309" s="25" t="s">
        <v>1161</v>
      </c>
      <c r="C309" s="25" t="s">
        <v>1162</v>
      </c>
      <c r="D309" s="25" t="s">
        <v>1163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1980</f>
        <v>1980</v>
      </c>
      <c r="L309" s="32" t="s">
        <v>1239</v>
      </c>
      <c r="M309" s="31">
        <f>2265</f>
        <v>2265</v>
      </c>
      <c r="N309" s="32" t="s">
        <v>738</v>
      </c>
      <c r="O309" s="31">
        <f>1857</f>
        <v>1857</v>
      </c>
      <c r="P309" s="32" t="s">
        <v>1079</v>
      </c>
      <c r="Q309" s="31">
        <f>1966</f>
        <v>1966</v>
      </c>
      <c r="R309" s="32" t="s">
        <v>755</v>
      </c>
      <c r="S309" s="33">
        <f>1946.29</f>
        <v>1946.29</v>
      </c>
      <c r="T309" s="39">
        <f>9660</f>
        <v>9660</v>
      </c>
      <c r="U309" s="30" t="str">
        <f>"－"</f>
        <v>－</v>
      </c>
      <c r="V309" s="30">
        <f>18743851</f>
        <v>18743851</v>
      </c>
      <c r="W309" s="30" t="str">
        <f>"－"</f>
        <v>－</v>
      </c>
      <c r="X309" s="34">
        <f>21</f>
        <v>21</v>
      </c>
    </row>
    <row r="310" spans="1:24">
      <c r="A310" s="25" t="s">
        <v>1238</v>
      </c>
      <c r="B310" s="25" t="s">
        <v>637</v>
      </c>
      <c r="C310" s="25" t="s">
        <v>638</v>
      </c>
      <c r="D310" s="25" t="s">
        <v>639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10</v>
      </c>
      <c r="K310" s="31">
        <f>348.4</f>
        <v>348.4</v>
      </c>
      <c r="L310" s="32" t="s">
        <v>1239</v>
      </c>
      <c r="M310" s="31">
        <f>348.4</f>
        <v>348.4</v>
      </c>
      <c r="N310" s="32" t="s">
        <v>1239</v>
      </c>
      <c r="O310" s="31">
        <f>320</f>
        <v>320</v>
      </c>
      <c r="P310" s="32" t="s">
        <v>850</v>
      </c>
      <c r="Q310" s="31">
        <f>329.5</f>
        <v>329.5</v>
      </c>
      <c r="R310" s="32" t="s">
        <v>755</v>
      </c>
      <c r="S310" s="33">
        <f>333.27</f>
        <v>333.27</v>
      </c>
      <c r="T310" s="39">
        <f>17904620</f>
        <v>17904620</v>
      </c>
      <c r="U310" s="30">
        <f>15954000</f>
        <v>15954000</v>
      </c>
      <c r="V310" s="30">
        <f>6172691399</f>
        <v>6172691399</v>
      </c>
      <c r="W310" s="30">
        <f>5518810200</f>
        <v>5518810200</v>
      </c>
      <c r="X310" s="34">
        <f>21</f>
        <v>21</v>
      </c>
    </row>
    <row r="311" spans="1:24">
      <c r="A311" s="25" t="s">
        <v>1238</v>
      </c>
      <c r="B311" s="25" t="s">
        <v>640</v>
      </c>
      <c r="C311" s="25" t="s">
        <v>641</v>
      </c>
      <c r="D311" s="25" t="s">
        <v>642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1161</f>
        <v>1161</v>
      </c>
      <c r="L311" s="32" t="s">
        <v>1239</v>
      </c>
      <c r="M311" s="31">
        <f>1207</f>
        <v>1207</v>
      </c>
      <c r="N311" s="32" t="s">
        <v>1079</v>
      </c>
      <c r="O311" s="31">
        <f>1081</f>
        <v>1081</v>
      </c>
      <c r="P311" s="32" t="s">
        <v>852</v>
      </c>
      <c r="Q311" s="31">
        <f>1136</f>
        <v>1136</v>
      </c>
      <c r="R311" s="32" t="s">
        <v>755</v>
      </c>
      <c r="S311" s="33">
        <f>1127.52</f>
        <v>1127.52</v>
      </c>
      <c r="T311" s="39">
        <f>31931560</f>
        <v>31931560</v>
      </c>
      <c r="U311" s="30">
        <f>26270</f>
        <v>26270</v>
      </c>
      <c r="V311" s="30">
        <f>36596724411</f>
        <v>36596724411</v>
      </c>
      <c r="W311" s="30">
        <f>29967412</f>
        <v>29967412</v>
      </c>
      <c r="X311" s="34">
        <f>21</f>
        <v>21</v>
      </c>
    </row>
    <row r="312" spans="1:24">
      <c r="A312" s="25" t="s">
        <v>1238</v>
      </c>
      <c r="B312" s="25" t="s">
        <v>643</v>
      </c>
      <c r="C312" s="25" t="s">
        <v>644</v>
      </c>
      <c r="D312" s="25" t="s">
        <v>645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1729</f>
        <v>1729</v>
      </c>
      <c r="L312" s="32" t="s">
        <v>1239</v>
      </c>
      <c r="M312" s="31">
        <f>1745</f>
        <v>1745</v>
      </c>
      <c r="N312" s="32" t="s">
        <v>1205</v>
      </c>
      <c r="O312" s="31">
        <f>1610</f>
        <v>1610</v>
      </c>
      <c r="P312" s="32" t="s">
        <v>1208</v>
      </c>
      <c r="Q312" s="31">
        <f>1690</f>
        <v>1690</v>
      </c>
      <c r="R312" s="32" t="s">
        <v>755</v>
      </c>
      <c r="S312" s="33">
        <f>1676.24</f>
        <v>1676.24</v>
      </c>
      <c r="T312" s="39">
        <f>51540</f>
        <v>51540</v>
      </c>
      <c r="U312" s="30" t="str">
        <f>"－"</f>
        <v>－</v>
      </c>
      <c r="V312" s="30">
        <f>86014217</f>
        <v>86014217</v>
      </c>
      <c r="W312" s="30" t="str">
        <f>"－"</f>
        <v>－</v>
      </c>
      <c r="X312" s="34">
        <f>21</f>
        <v>21</v>
      </c>
    </row>
    <row r="313" spans="1:24">
      <c r="A313" s="25" t="s">
        <v>1238</v>
      </c>
      <c r="B313" s="25" t="s">
        <v>646</v>
      </c>
      <c r="C313" s="25" t="s">
        <v>647</v>
      </c>
      <c r="D313" s="25" t="s">
        <v>648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2066</f>
        <v>2066</v>
      </c>
      <c r="L313" s="32" t="s">
        <v>1239</v>
      </c>
      <c r="M313" s="31">
        <f>2110</f>
        <v>2110</v>
      </c>
      <c r="N313" s="32" t="s">
        <v>1077</v>
      </c>
      <c r="O313" s="31">
        <f>2003</f>
        <v>2003</v>
      </c>
      <c r="P313" s="32" t="s">
        <v>738</v>
      </c>
      <c r="Q313" s="31">
        <f>2035</f>
        <v>2035</v>
      </c>
      <c r="R313" s="32" t="s">
        <v>755</v>
      </c>
      <c r="S313" s="33">
        <f>2038.47</f>
        <v>2038.47</v>
      </c>
      <c r="T313" s="39">
        <f>605130</f>
        <v>605130</v>
      </c>
      <c r="U313" s="30">
        <f>591004</f>
        <v>591004</v>
      </c>
      <c r="V313" s="30">
        <f>1228010461</f>
        <v>1228010461</v>
      </c>
      <c r="W313" s="30">
        <f>1199442695</f>
        <v>1199442695</v>
      </c>
      <c r="X313" s="34">
        <f>19</f>
        <v>19</v>
      </c>
    </row>
    <row r="314" spans="1:24">
      <c r="A314" s="25" t="s">
        <v>1238</v>
      </c>
      <c r="B314" s="25" t="s">
        <v>649</v>
      </c>
      <c r="C314" s="25" t="s">
        <v>650</v>
      </c>
      <c r="D314" s="25" t="s">
        <v>920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3635</f>
        <v>3635</v>
      </c>
      <c r="L314" s="32" t="s">
        <v>1239</v>
      </c>
      <c r="M314" s="31">
        <f>3650</f>
        <v>3650</v>
      </c>
      <c r="N314" s="32" t="s">
        <v>1239</v>
      </c>
      <c r="O314" s="31">
        <f>3105</f>
        <v>3105</v>
      </c>
      <c r="P314" s="32" t="s">
        <v>1079</v>
      </c>
      <c r="Q314" s="31">
        <f>3620</f>
        <v>3620</v>
      </c>
      <c r="R314" s="32" t="s">
        <v>755</v>
      </c>
      <c r="S314" s="33">
        <f>3461.19</f>
        <v>3461.19</v>
      </c>
      <c r="T314" s="39">
        <f>1249637</f>
        <v>1249637</v>
      </c>
      <c r="U314" s="30">
        <f>196077</f>
        <v>196077</v>
      </c>
      <c r="V314" s="30">
        <f>4228249068</f>
        <v>4228249068</v>
      </c>
      <c r="W314" s="30">
        <f>665867428</f>
        <v>665867428</v>
      </c>
      <c r="X314" s="34">
        <f>21</f>
        <v>21</v>
      </c>
    </row>
    <row r="315" spans="1:24">
      <c r="A315" s="25" t="s">
        <v>1238</v>
      </c>
      <c r="B315" s="25" t="s">
        <v>651</v>
      </c>
      <c r="C315" s="25" t="s">
        <v>652</v>
      </c>
      <c r="D315" s="25" t="s">
        <v>921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2732</f>
        <v>2732</v>
      </c>
      <c r="L315" s="32" t="s">
        <v>1239</v>
      </c>
      <c r="M315" s="31">
        <f>2732</f>
        <v>2732</v>
      </c>
      <c r="N315" s="32" t="s">
        <v>1239</v>
      </c>
      <c r="O315" s="31">
        <f>2271</f>
        <v>2271</v>
      </c>
      <c r="P315" s="32" t="s">
        <v>1079</v>
      </c>
      <c r="Q315" s="31">
        <f>2672</f>
        <v>2672</v>
      </c>
      <c r="R315" s="32" t="s">
        <v>755</v>
      </c>
      <c r="S315" s="33">
        <f>2552.57</f>
        <v>2552.5700000000002</v>
      </c>
      <c r="T315" s="39">
        <f>919225</f>
        <v>919225</v>
      </c>
      <c r="U315" s="30">
        <f>436870</f>
        <v>436870</v>
      </c>
      <c r="V315" s="30">
        <f>2322812163</f>
        <v>2322812163</v>
      </c>
      <c r="W315" s="30">
        <f>1093852936</f>
        <v>1093852936</v>
      </c>
      <c r="X315" s="34">
        <f>21</f>
        <v>21</v>
      </c>
    </row>
    <row r="316" spans="1:24">
      <c r="A316" s="25" t="s">
        <v>1238</v>
      </c>
      <c r="B316" s="25" t="s">
        <v>653</v>
      </c>
      <c r="C316" s="25" t="s">
        <v>654</v>
      </c>
      <c r="D316" s="25" t="s">
        <v>655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2480</f>
        <v>2480</v>
      </c>
      <c r="L316" s="32" t="s">
        <v>1239</v>
      </c>
      <c r="M316" s="31">
        <f>2600</f>
        <v>2600</v>
      </c>
      <c r="N316" s="32" t="s">
        <v>755</v>
      </c>
      <c r="O316" s="31">
        <f>2158</f>
        <v>2158</v>
      </c>
      <c r="P316" s="32" t="s">
        <v>1079</v>
      </c>
      <c r="Q316" s="31">
        <f>2598</f>
        <v>2598</v>
      </c>
      <c r="R316" s="32" t="s">
        <v>755</v>
      </c>
      <c r="S316" s="33">
        <f>2449.1</f>
        <v>2449.1</v>
      </c>
      <c r="T316" s="39">
        <f>18540</f>
        <v>18540</v>
      </c>
      <c r="U316" s="30" t="str">
        <f>"－"</f>
        <v>－</v>
      </c>
      <c r="V316" s="30">
        <f>43674057</f>
        <v>43674057</v>
      </c>
      <c r="W316" s="30" t="str">
        <f>"－"</f>
        <v>－</v>
      </c>
      <c r="X316" s="34">
        <f>21</f>
        <v>21</v>
      </c>
    </row>
    <row r="317" spans="1:24">
      <c r="A317" s="25" t="s">
        <v>1238</v>
      </c>
      <c r="B317" s="25" t="s">
        <v>656</v>
      </c>
      <c r="C317" s="25" t="s">
        <v>657</v>
      </c>
      <c r="D317" s="25" t="s">
        <v>658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1424</f>
        <v>1424</v>
      </c>
      <c r="L317" s="32" t="s">
        <v>1239</v>
      </c>
      <c r="M317" s="31">
        <f>1488</f>
        <v>1488</v>
      </c>
      <c r="N317" s="32" t="s">
        <v>1076</v>
      </c>
      <c r="O317" s="31">
        <f>1290</f>
        <v>1290</v>
      </c>
      <c r="P317" s="32" t="s">
        <v>1079</v>
      </c>
      <c r="Q317" s="31">
        <f>1470</f>
        <v>1470</v>
      </c>
      <c r="R317" s="32" t="s">
        <v>1078</v>
      </c>
      <c r="S317" s="33">
        <f>1414.65</f>
        <v>1414.65</v>
      </c>
      <c r="T317" s="39">
        <f>13172</f>
        <v>13172</v>
      </c>
      <c r="U317" s="30" t="str">
        <f>"－"</f>
        <v>－</v>
      </c>
      <c r="V317" s="30">
        <f>18312530</f>
        <v>18312530</v>
      </c>
      <c r="W317" s="30" t="str">
        <f>"－"</f>
        <v>－</v>
      </c>
      <c r="X317" s="34">
        <f>20</f>
        <v>20</v>
      </c>
    </row>
    <row r="318" spans="1:24">
      <c r="A318" s="25" t="s">
        <v>1238</v>
      </c>
      <c r="B318" s="25" t="s">
        <v>666</v>
      </c>
      <c r="C318" s="25" t="s">
        <v>667</v>
      </c>
      <c r="D318" s="25" t="s">
        <v>668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2040</f>
        <v>2040</v>
      </c>
      <c r="L318" s="32" t="s">
        <v>1239</v>
      </c>
      <c r="M318" s="31">
        <f>2066</f>
        <v>2066</v>
      </c>
      <c r="N318" s="32" t="s">
        <v>1239</v>
      </c>
      <c r="O318" s="31">
        <f>1654</f>
        <v>1654</v>
      </c>
      <c r="P318" s="32" t="s">
        <v>1079</v>
      </c>
      <c r="Q318" s="31">
        <f>1929</f>
        <v>1929</v>
      </c>
      <c r="R318" s="32" t="s">
        <v>755</v>
      </c>
      <c r="S318" s="33">
        <f>1910.38</f>
        <v>1910.38</v>
      </c>
      <c r="T318" s="39">
        <f>579442</f>
        <v>579442</v>
      </c>
      <c r="U318" s="30" t="str">
        <f>"－"</f>
        <v>－</v>
      </c>
      <c r="V318" s="30">
        <f>1087154284</f>
        <v>1087154284</v>
      </c>
      <c r="W318" s="30" t="str">
        <f>"－"</f>
        <v>－</v>
      </c>
      <c r="X318" s="34">
        <f>21</f>
        <v>21</v>
      </c>
    </row>
    <row r="319" spans="1:24">
      <c r="A319" s="25" t="s">
        <v>1238</v>
      </c>
      <c r="B319" s="25" t="s">
        <v>669</v>
      </c>
      <c r="C319" s="25" t="s">
        <v>670</v>
      </c>
      <c r="D319" s="25" t="s">
        <v>671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2866</f>
        <v>2866</v>
      </c>
      <c r="L319" s="32" t="s">
        <v>1239</v>
      </c>
      <c r="M319" s="31">
        <f>2919</f>
        <v>2919</v>
      </c>
      <c r="N319" s="32" t="s">
        <v>1239</v>
      </c>
      <c r="O319" s="31">
        <f>2371</f>
        <v>2371</v>
      </c>
      <c r="P319" s="32" t="s">
        <v>852</v>
      </c>
      <c r="Q319" s="31">
        <f>2620</f>
        <v>2620</v>
      </c>
      <c r="R319" s="32" t="s">
        <v>755</v>
      </c>
      <c r="S319" s="33">
        <f>2639.57</f>
        <v>2639.57</v>
      </c>
      <c r="T319" s="39">
        <f>75459</f>
        <v>75459</v>
      </c>
      <c r="U319" s="30" t="str">
        <f>"－"</f>
        <v>－</v>
      </c>
      <c r="V319" s="30">
        <f>196615616</f>
        <v>196615616</v>
      </c>
      <c r="W319" s="30" t="str">
        <f>"－"</f>
        <v>－</v>
      </c>
      <c r="X319" s="34">
        <f>21</f>
        <v>21</v>
      </c>
    </row>
    <row r="320" spans="1:24">
      <c r="A320" s="25" t="s">
        <v>1238</v>
      </c>
      <c r="B320" s="25" t="s">
        <v>672</v>
      </c>
      <c r="C320" s="25" t="s">
        <v>673</v>
      </c>
      <c r="D320" s="25" t="s">
        <v>674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12300</f>
        <v>12300</v>
      </c>
      <c r="L320" s="32" t="s">
        <v>1239</v>
      </c>
      <c r="M320" s="31">
        <f>12445</f>
        <v>12445</v>
      </c>
      <c r="N320" s="32" t="s">
        <v>1239</v>
      </c>
      <c r="O320" s="31">
        <f>10700</f>
        <v>10700</v>
      </c>
      <c r="P320" s="32" t="s">
        <v>852</v>
      </c>
      <c r="Q320" s="31">
        <f>12105</f>
        <v>12105</v>
      </c>
      <c r="R320" s="32" t="s">
        <v>755</v>
      </c>
      <c r="S320" s="33">
        <f>11765</f>
        <v>11765</v>
      </c>
      <c r="T320" s="39">
        <f>1259301</f>
        <v>1259301</v>
      </c>
      <c r="U320" s="30">
        <f>943929</f>
        <v>943929</v>
      </c>
      <c r="V320" s="30">
        <f>14859568013</f>
        <v>14859568013</v>
      </c>
      <c r="W320" s="30">
        <f>11171069088</f>
        <v>11171069088</v>
      </c>
      <c r="X320" s="34">
        <f>21</f>
        <v>21</v>
      </c>
    </row>
    <row r="321" spans="1:24">
      <c r="A321" s="25" t="s">
        <v>1238</v>
      </c>
      <c r="B321" s="25" t="s">
        <v>675</v>
      </c>
      <c r="C321" s="25" t="s">
        <v>676</v>
      </c>
      <c r="D321" s="25" t="s">
        <v>677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</v>
      </c>
      <c r="K321" s="31">
        <f>20625</f>
        <v>20625</v>
      </c>
      <c r="L321" s="32" t="s">
        <v>1239</v>
      </c>
      <c r="M321" s="31">
        <f>20910</f>
        <v>20910</v>
      </c>
      <c r="N321" s="32" t="s">
        <v>1240</v>
      </c>
      <c r="O321" s="31">
        <f>17195</f>
        <v>17195</v>
      </c>
      <c r="P321" s="32" t="s">
        <v>1079</v>
      </c>
      <c r="Q321" s="31">
        <f>19860</f>
        <v>19860</v>
      </c>
      <c r="R321" s="32" t="s">
        <v>755</v>
      </c>
      <c r="S321" s="33">
        <f>19166.67</f>
        <v>19166.669999999998</v>
      </c>
      <c r="T321" s="39">
        <f>485145</f>
        <v>485145</v>
      </c>
      <c r="U321" s="30">
        <f>1</f>
        <v>1</v>
      </c>
      <c r="V321" s="30">
        <f>9135953380</f>
        <v>9135953380</v>
      </c>
      <c r="W321" s="30">
        <f>20870</f>
        <v>20870</v>
      </c>
      <c r="X321" s="34">
        <f>21</f>
        <v>21</v>
      </c>
    </row>
    <row r="322" spans="1:24">
      <c r="A322" s="25" t="s">
        <v>1238</v>
      </c>
      <c r="B322" s="25" t="s">
        <v>678</v>
      </c>
      <c r="C322" s="25" t="s">
        <v>679</v>
      </c>
      <c r="D322" s="25" t="s">
        <v>680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</v>
      </c>
      <c r="K322" s="31">
        <f>12275</f>
        <v>12275</v>
      </c>
      <c r="L322" s="32" t="s">
        <v>1239</v>
      </c>
      <c r="M322" s="31">
        <f>12435</f>
        <v>12435</v>
      </c>
      <c r="N322" s="32" t="s">
        <v>1240</v>
      </c>
      <c r="O322" s="31">
        <f>10575</f>
        <v>10575</v>
      </c>
      <c r="P322" s="32" t="s">
        <v>1079</v>
      </c>
      <c r="Q322" s="31">
        <f>12415</f>
        <v>12415</v>
      </c>
      <c r="R322" s="32" t="s">
        <v>755</v>
      </c>
      <c r="S322" s="33">
        <f>11837.62</f>
        <v>11837.62</v>
      </c>
      <c r="T322" s="39">
        <f>351513</f>
        <v>351513</v>
      </c>
      <c r="U322" s="30">
        <f>64246</f>
        <v>64246</v>
      </c>
      <c r="V322" s="30">
        <f>4071233726</f>
        <v>4071233726</v>
      </c>
      <c r="W322" s="30">
        <f>741230166</f>
        <v>741230166</v>
      </c>
      <c r="X322" s="34">
        <f>21</f>
        <v>21</v>
      </c>
    </row>
    <row r="323" spans="1:24">
      <c r="A323" s="25" t="s">
        <v>1238</v>
      </c>
      <c r="B323" s="25" t="s">
        <v>681</v>
      </c>
      <c r="C323" s="25" t="s">
        <v>682</v>
      </c>
      <c r="D323" s="25" t="s">
        <v>683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386.6</f>
        <v>386.6</v>
      </c>
      <c r="L323" s="32" t="s">
        <v>1239</v>
      </c>
      <c r="M323" s="31">
        <f>389.4</f>
        <v>389.4</v>
      </c>
      <c r="N323" s="32" t="s">
        <v>1240</v>
      </c>
      <c r="O323" s="31">
        <f>323.5</f>
        <v>323.5</v>
      </c>
      <c r="P323" s="32" t="s">
        <v>852</v>
      </c>
      <c r="Q323" s="31">
        <f>364.7</f>
        <v>364.7</v>
      </c>
      <c r="R323" s="32" t="s">
        <v>755</v>
      </c>
      <c r="S323" s="33">
        <f>355.91</f>
        <v>355.91</v>
      </c>
      <c r="T323" s="39">
        <f>16764990</f>
        <v>16764990</v>
      </c>
      <c r="U323" s="30">
        <f>361000</f>
        <v>361000</v>
      </c>
      <c r="V323" s="30">
        <f>5833162411</f>
        <v>5833162411</v>
      </c>
      <c r="W323" s="30">
        <f>125808690</f>
        <v>125808690</v>
      </c>
      <c r="X323" s="34">
        <f>21</f>
        <v>21</v>
      </c>
    </row>
    <row r="324" spans="1:24">
      <c r="A324" s="25" t="s">
        <v>1238</v>
      </c>
      <c r="B324" s="25" t="s">
        <v>684</v>
      </c>
      <c r="C324" s="25" t="s">
        <v>685</v>
      </c>
      <c r="D324" s="25" t="s">
        <v>686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10</v>
      </c>
      <c r="K324" s="31">
        <f>2418.5</f>
        <v>2418.5</v>
      </c>
      <c r="L324" s="32" t="s">
        <v>1239</v>
      </c>
      <c r="M324" s="31">
        <f>2440.5</f>
        <v>2440.5</v>
      </c>
      <c r="N324" s="32" t="s">
        <v>1240</v>
      </c>
      <c r="O324" s="31">
        <f>2105.5</f>
        <v>2105.5</v>
      </c>
      <c r="P324" s="32" t="s">
        <v>852</v>
      </c>
      <c r="Q324" s="31">
        <f>2394</f>
        <v>2394</v>
      </c>
      <c r="R324" s="32" t="s">
        <v>755</v>
      </c>
      <c r="S324" s="33">
        <f>2314.86</f>
        <v>2314.86</v>
      </c>
      <c r="T324" s="39">
        <f>2065270</f>
        <v>2065270</v>
      </c>
      <c r="U324" s="30">
        <f>548010</f>
        <v>548010</v>
      </c>
      <c r="V324" s="30">
        <f>4687010243</f>
        <v>4687010243</v>
      </c>
      <c r="W324" s="30">
        <f>1240666213</f>
        <v>1240666213</v>
      </c>
      <c r="X324" s="34">
        <f>21</f>
        <v>21</v>
      </c>
    </row>
    <row r="325" spans="1:24">
      <c r="A325" s="25" t="s">
        <v>1238</v>
      </c>
      <c r="B325" s="25" t="s">
        <v>687</v>
      </c>
      <c r="C325" s="25" t="s">
        <v>1216</v>
      </c>
      <c r="D325" s="25" t="s">
        <v>1215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10</v>
      </c>
      <c r="K325" s="31">
        <f>3926</f>
        <v>3926</v>
      </c>
      <c r="L325" s="32" t="s">
        <v>1239</v>
      </c>
      <c r="M325" s="31">
        <f>3956</f>
        <v>3956</v>
      </c>
      <c r="N325" s="32" t="s">
        <v>1240</v>
      </c>
      <c r="O325" s="31">
        <f>3292</f>
        <v>3292</v>
      </c>
      <c r="P325" s="32" t="s">
        <v>852</v>
      </c>
      <c r="Q325" s="31">
        <f>3686</f>
        <v>3686</v>
      </c>
      <c r="R325" s="32" t="s">
        <v>755</v>
      </c>
      <c r="S325" s="33">
        <f>3613.14</f>
        <v>3613.14</v>
      </c>
      <c r="T325" s="39">
        <f>243600</f>
        <v>243600</v>
      </c>
      <c r="U325" s="30" t="str">
        <f>"－"</f>
        <v>－</v>
      </c>
      <c r="V325" s="30">
        <f>855778120</f>
        <v>855778120</v>
      </c>
      <c r="W325" s="30" t="str">
        <f>"－"</f>
        <v>－</v>
      </c>
      <c r="X325" s="34">
        <f>21</f>
        <v>21</v>
      </c>
    </row>
    <row r="326" spans="1:24">
      <c r="A326" s="25" t="s">
        <v>1238</v>
      </c>
      <c r="B326" s="25" t="s">
        <v>690</v>
      </c>
      <c r="C326" s="25" t="s">
        <v>691</v>
      </c>
      <c r="D326" s="25" t="s">
        <v>692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3170</f>
        <v>3170</v>
      </c>
      <c r="L326" s="32" t="s">
        <v>1239</v>
      </c>
      <c r="M326" s="31">
        <f>3220</f>
        <v>3220</v>
      </c>
      <c r="N326" s="32" t="s">
        <v>1078</v>
      </c>
      <c r="O326" s="31">
        <f>2762</f>
        <v>2762</v>
      </c>
      <c r="P326" s="32" t="s">
        <v>1079</v>
      </c>
      <c r="Q326" s="31">
        <f>3205</f>
        <v>3205</v>
      </c>
      <c r="R326" s="32" t="s">
        <v>755</v>
      </c>
      <c r="S326" s="33">
        <f>3040.1</f>
        <v>3040.1</v>
      </c>
      <c r="T326" s="39">
        <f>14327</f>
        <v>14327</v>
      </c>
      <c r="U326" s="30" t="str">
        <f>"－"</f>
        <v>－</v>
      </c>
      <c r="V326" s="30">
        <f>42749219</f>
        <v>42749219</v>
      </c>
      <c r="W326" s="30" t="str">
        <f>"－"</f>
        <v>－</v>
      </c>
      <c r="X326" s="34">
        <f>21</f>
        <v>21</v>
      </c>
    </row>
    <row r="327" spans="1:24">
      <c r="A327" s="25" t="s">
        <v>1238</v>
      </c>
      <c r="B327" s="25" t="s">
        <v>693</v>
      </c>
      <c r="C327" s="25" t="s">
        <v>1007</v>
      </c>
      <c r="D327" s="25" t="s">
        <v>1006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1415</f>
        <v>1415</v>
      </c>
      <c r="L327" s="32" t="s">
        <v>1239</v>
      </c>
      <c r="M327" s="31">
        <f>1425</f>
        <v>1425</v>
      </c>
      <c r="N327" s="32" t="s">
        <v>1240</v>
      </c>
      <c r="O327" s="31">
        <f>1190</f>
        <v>1190</v>
      </c>
      <c r="P327" s="32" t="s">
        <v>1079</v>
      </c>
      <c r="Q327" s="31">
        <f>1380</f>
        <v>1380</v>
      </c>
      <c r="R327" s="32" t="s">
        <v>755</v>
      </c>
      <c r="S327" s="33">
        <f>1321.57</f>
        <v>1321.57</v>
      </c>
      <c r="T327" s="39">
        <f>28234</f>
        <v>28234</v>
      </c>
      <c r="U327" s="30" t="str">
        <f>"－"</f>
        <v>－</v>
      </c>
      <c r="V327" s="30">
        <f>37487123</f>
        <v>37487123</v>
      </c>
      <c r="W327" s="30" t="str">
        <f>"－"</f>
        <v>－</v>
      </c>
      <c r="X327" s="34">
        <f>21</f>
        <v>21</v>
      </c>
    </row>
    <row r="328" spans="1:24">
      <c r="A328" s="25" t="s">
        <v>1238</v>
      </c>
      <c r="B328" s="25" t="s">
        <v>694</v>
      </c>
      <c r="C328" s="25" t="s">
        <v>695</v>
      </c>
      <c r="D328" s="25" t="s">
        <v>696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1974</f>
        <v>1974</v>
      </c>
      <c r="L328" s="32" t="s">
        <v>1239</v>
      </c>
      <c r="M328" s="31">
        <f>1974</f>
        <v>1974</v>
      </c>
      <c r="N328" s="32" t="s">
        <v>1239</v>
      </c>
      <c r="O328" s="31">
        <f>1600</f>
        <v>1600</v>
      </c>
      <c r="P328" s="32" t="s">
        <v>1079</v>
      </c>
      <c r="Q328" s="31">
        <f>1903</f>
        <v>1903</v>
      </c>
      <c r="R328" s="32" t="s">
        <v>755</v>
      </c>
      <c r="S328" s="33">
        <f>1826.86</f>
        <v>1826.86</v>
      </c>
      <c r="T328" s="39">
        <f>139104</f>
        <v>139104</v>
      </c>
      <c r="U328" s="30" t="str">
        <f>"－"</f>
        <v>－</v>
      </c>
      <c r="V328" s="30">
        <f>247062403</f>
        <v>247062403</v>
      </c>
      <c r="W328" s="30" t="str">
        <f>"－"</f>
        <v>－</v>
      </c>
      <c r="X328" s="34">
        <f>21</f>
        <v>21</v>
      </c>
    </row>
    <row r="329" spans="1:24">
      <c r="A329" s="25" t="s">
        <v>1238</v>
      </c>
      <c r="B329" s="25" t="s">
        <v>697</v>
      </c>
      <c r="C329" s="25" t="s">
        <v>698</v>
      </c>
      <c r="D329" s="25" t="s">
        <v>699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1611</f>
        <v>1611</v>
      </c>
      <c r="L329" s="32" t="s">
        <v>1239</v>
      </c>
      <c r="M329" s="31">
        <f>1620</f>
        <v>1620</v>
      </c>
      <c r="N329" s="32" t="s">
        <v>1239</v>
      </c>
      <c r="O329" s="31">
        <f>1448</f>
        <v>1448</v>
      </c>
      <c r="P329" s="32" t="s">
        <v>1079</v>
      </c>
      <c r="Q329" s="31">
        <f>1583</f>
        <v>1583</v>
      </c>
      <c r="R329" s="32" t="s">
        <v>755</v>
      </c>
      <c r="S329" s="33">
        <f>1544.67</f>
        <v>1544.67</v>
      </c>
      <c r="T329" s="39">
        <f>22034</f>
        <v>22034</v>
      </c>
      <c r="U329" s="30" t="str">
        <f>"－"</f>
        <v>－</v>
      </c>
      <c r="V329" s="30">
        <f>34498357</f>
        <v>34498357</v>
      </c>
      <c r="W329" s="30" t="str">
        <f>"－"</f>
        <v>－</v>
      </c>
      <c r="X329" s="34">
        <f>21</f>
        <v>21</v>
      </c>
    </row>
    <row r="330" spans="1:24">
      <c r="A330" s="25" t="s">
        <v>1238</v>
      </c>
      <c r="B330" s="25" t="s">
        <v>700</v>
      </c>
      <c r="C330" s="25" t="s">
        <v>701</v>
      </c>
      <c r="D330" s="25" t="s">
        <v>702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3950</f>
        <v>3950</v>
      </c>
      <c r="L330" s="32" t="s">
        <v>1239</v>
      </c>
      <c r="M330" s="31">
        <f>4250</f>
        <v>4250</v>
      </c>
      <c r="N330" s="32" t="s">
        <v>755</v>
      </c>
      <c r="O330" s="31">
        <f>3255</f>
        <v>3255</v>
      </c>
      <c r="P330" s="32" t="s">
        <v>1079</v>
      </c>
      <c r="Q330" s="31">
        <f>4250</f>
        <v>4250</v>
      </c>
      <c r="R330" s="32" t="s">
        <v>755</v>
      </c>
      <c r="S330" s="33">
        <f>3941.67</f>
        <v>3941.67</v>
      </c>
      <c r="T330" s="39">
        <f>271535</f>
        <v>271535</v>
      </c>
      <c r="U330" s="30">
        <f>16490</f>
        <v>16490</v>
      </c>
      <c r="V330" s="30">
        <f>1043781877</f>
        <v>1043781877</v>
      </c>
      <c r="W330" s="30">
        <f>64109687</f>
        <v>64109687</v>
      </c>
      <c r="X330" s="34">
        <f>21</f>
        <v>21</v>
      </c>
    </row>
    <row r="331" spans="1:24">
      <c r="A331" s="25" t="s">
        <v>1238</v>
      </c>
      <c r="B331" s="25" t="s">
        <v>703</v>
      </c>
      <c r="C331" s="25" t="s">
        <v>1005</v>
      </c>
      <c r="D331" s="25" t="s">
        <v>1004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3225</f>
        <v>3225</v>
      </c>
      <c r="L331" s="32" t="s">
        <v>1239</v>
      </c>
      <c r="M331" s="31">
        <f>3260</f>
        <v>3260</v>
      </c>
      <c r="N331" s="32" t="s">
        <v>755</v>
      </c>
      <c r="O331" s="31">
        <f>2469</f>
        <v>2469</v>
      </c>
      <c r="P331" s="32" t="s">
        <v>1079</v>
      </c>
      <c r="Q331" s="31">
        <f>3245</f>
        <v>3245</v>
      </c>
      <c r="R331" s="32" t="s">
        <v>755</v>
      </c>
      <c r="S331" s="33">
        <f>3035.43</f>
        <v>3035.43</v>
      </c>
      <c r="T331" s="39">
        <f>756404</f>
        <v>756404</v>
      </c>
      <c r="U331" s="30">
        <f>245340</f>
        <v>245340</v>
      </c>
      <c r="V331" s="30">
        <f>2347488021</f>
        <v>2347488021</v>
      </c>
      <c r="W331" s="30">
        <f>795714745</f>
        <v>795714745</v>
      </c>
      <c r="X331" s="34">
        <f>21</f>
        <v>21</v>
      </c>
    </row>
    <row r="332" spans="1:24">
      <c r="A332" s="25" t="s">
        <v>1238</v>
      </c>
      <c r="B332" s="25" t="s">
        <v>704</v>
      </c>
      <c r="C332" s="25" t="s">
        <v>705</v>
      </c>
      <c r="D332" s="25" t="s">
        <v>706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35430</f>
        <v>35430</v>
      </c>
      <c r="L332" s="32" t="s">
        <v>1240</v>
      </c>
      <c r="M332" s="31">
        <f>35870</f>
        <v>35870</v>
      </c>
      <c r="N332" s="32" t="s">
        <v>1078</v>
      </c>
      <c r="O332" s="31">
        <f>31000</f>
        <v>31000</v>
      </c>
      <c r="P332" s="32" t="s">
        <v>1079</v>
      </c>
      <c r="Q332" s="31">
        <f>35870</f>
        <v>35870</v>
      </c>
      <c r="R332" s="32" t="s">
        <v>1078</v>
      </c>
      <c r="S332" s="33">
        <f>33939.41</f>
        <v>33939.410000000003</v>
      </c>
      <c r="T332" s="39">
        <f>68</f>
        <v>68</v>
      </c>
      <c r="U332" s="30" t="str">
        <f>"－"</f>
        <v>－</v>
      </c>
      <c r="V332" s="30">
        <f>2222950</f>
        <v>2222950</v>
      </c>
      <c r="W332" s="30" t="str">
        <f>"－"</f>
        <v>－</v>
      </c>
      <c r="X332" s="34">
        <f>17</f>
        <v>17</v>
      </c>
    </row>
    <row r="333" spans="1:24">
      <c r="A333" s="25" t="s">
        <v>1238</v>
      </c>
      <c r="B333" s="25" t="s">
        <v>707</v>
      </c>
      <c r="C333" s="25" t="s">
        <v>1214</v>
      </c>
      <c r="D333" s="25" t="s">
        <v>1213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2789</f>
        <v>2789</v>
      </c>
      <c r="L333" s="32" t="s">
        <v>1239</v>
      </c>
      <c r="M333" s="31">
        <f>2789</f>
        <v>2789</v>
      </c>
      <c r="N333" s="32" t="s">
        <v>1239</v>
      </c>
      <c r="O333" s="31">
        <f>2386</f>
        <v>2386</v>
      </c>
      <c r="P333" s="32" t="s">
        <v>1079</v>
      </c>
      <c r="Q333" s="31">
        <f>2741</f>
        <v>2741</v>
      </c>
      <c r="R333" s="32" t="s">
        <v>755</v>
      </c>
      <c r="S333" s="33">
        <f>2621.14</f>
        <v>2621.14</v>
      </c>
      <c r="T333" s="39">
        <f>16270</f>
        <v>16270</v>
      </c>
      <c r="U333" s="30" t="str">
        <f>"－"</f>
        <v>－</v>
      </c>
      <c r="V333" s="30">
        <f>42362793</f>
        <v>42362793</v>
      </c>
      <c r="W333" s="30" t="str">
        <f>"－"</f>
        <v>－</v>
      </c>
      <c r="X333" s="34">
        <f>21</f>
        <v>21</v>
      </c>
    </row>
    <row r="334" spans="1:24">
      <c r="A334" s="25" t="s">
        <v>1238</v>
      </c>
      <c r="B334" s="25" t="s">
        <v>710</v>
      </c>
      <c r="C334" s="25" t="s">
        <v>711</v>
      </c>
      <c r="D334" s="25" t="s">
        <v>712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1563</f>
        <v>1563</v>
      </c>
      <c r="L334" s="32" t="s">
        <v>1239</v>
      </c>
      <c r="M334" s="31">
        <f>1574</f>
        <v>1574</v>
      </c>
      <c r="N334" s="32" t="s">
        <v>1239</v>
      </c>
      <c r="O334" s="31">
        <f>1187</f>
        <v>1187</v>
      </c>
      <c r="P334" s="32" t="s">
        <v>1079</v>
      </c>
      <c r="Q334" s="31">
        <f>1478</f>
        <v>1478</v>
      </c>
      <c r="R334" s="32" t="s">
        <v>755</v>
      </c>
      <c r="S334" s="33">
        <f>1419</f>
        <v>1419</v>
      </c>
      <c r="T334" s="39">
        <f>18611970</f>
        <v>18611970</v>
      </c>
      <c r="U334" s="30">
        <f>690285</f>
        <v>690285</v>
      </c>
      <c r="V334" s="30">
        <f>25934152141</f>
        <v>25934152141</v>
      </c>
      <c r="W334" s="30">
        <f>908014766</f>
        <v>908014766</v>
      </c>
      <c r="X334" s="34">
        <f>21</f>
        <v>21</v>
      </c>
    </row>
    <row r="335" spans="1:24">
      <c r="A335" s="25" t="s">
        <v>1238</v>
      </c>
      <c r="B335" s="25" t="s">
        <v>713</v>
      </c>
      <c r="C335" s="25" t="s">
        <v>714</v>
      </c>
      <c r="D335" s="25" t="s">
        <v>715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</v>
      </c>
      <c r="K335" s="31">
        <f>2534</f>
        <v>2534</v>
      </c>
      <c r="L335" s="32" t="s">
        <v>1239</v>
      </c>
      <c r="M335" s="31">
        <f>2638</f>
        <v>2638</v>
      </c>
      <c r="N335" s="32" t="s">
        <v>1220</v>
      </c>
      <c r="O335" s="31">
        <f>2201</f>
        <v>2201</v>
      </c>
      <c r="P335" s="32" t="s">
        <v>1079</v>
      </c>
      <c r="Q335" s="31">
        <f>2517</f>
        <v>2517</v>
      </c>
      <c r="R335" s="32" t="s">
        <v>755</v>
      </c>
      <c r="S335" s="33">
        <f>2453</f>
        <v>2453</v>
      </c>
      <c r="T335" s="39">
        <f>66361</f>
        <v>66361</v>
      </c>
      <c r="U335" s="30">
        <f>40414</f>
        <v>40414</v>
      </c>
      <c r="V335" s="30">
        <f>164422479</f>
        <v>164422479</v>
      </c>
      <c r="W335" s="30">
        <f>100426769</f>
        <v>100426769</v>
      </c>
      <c r="X335" s="34">
        <f>21</f>
        <v>21</v>
      </c>
    </row>
    <row r="336" spans="1:24">
      <c r="A336" s="25" t="s">
        <v>1238</v>
      </c>
      <c r="B336" s="25" t="s">
        <v>716</v>
      </c>
      <c r="C336" s="25" t="s">
        <v>717</v>
      </c>
      <c r="D336" s="25" t="s">
        <v>718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</v>
      </c>
      <c r="K336" s="31">
        <f>1644</f>
        <v>1644</v>
      </c>
      <c r="L336" s="32" t="s">
        <v>1239</v>
      </c>
      <c r="M336" s="31">
        <f>1644</f>
        <v>1644</v>
      </c>
      <c r="N336" s="32" t="s">
        <v>1239</v>
      </c>
      <c r="O336" s="31">
        <f>1350</f>
        <v>1350</v>
      </c>
      <c r="P336" s="32" t="s">
        <v>1079</v>
      </c>
      <c r="Q336" s="31">
        <f>1563</f>
        <v>1563</v>
      </c>
      <c r="R336" s="32" t="s">
        <v>755</v>
      </c>
      <c r="S336" s="33">
        <f>1508.57</f>
        <v>1508.57</v>
      </c>
      <c r="T336" s="39">
        <f>7287</f>
        <v>7287</v>
      </c>
      <c r="U336" s="30" t="str">
        <f>"－"</f>
        <v>－</v>
      </c>
      <c r="V336" s="30">
        <f>10976834</f>
        <v>10976834</v>
      </c>
      <c r="W336" s="30" t="str">
        <f>"－"</f>
        <v>－</v>
      </c>
      <c r="X336" s="34">
        <f>21</f>
        <v>21</v>
      </c>
    </row>
    <row r="337" spans="1:24">
      <c r="A337" s="25" t="s">
        <v>1238</v>
      </c>
      <c r="B337" s="25" t="s">
        <v>719</v>
      </c>
      <c r="C337" s="25" t="s">
        <v>720</v>
      </c>
      <c r="D337" s="25" t="s">
        <v>721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5641</f>
        <v>5641</v>
      </c>
      <c r="L337" s="32" t="s">
        <v>1239</v>
      </c>
      <c r="M337" s="31">
        <f>5644</f>
        <v>5644</v>
      </c>
      <c r="N337" s="32" t="s">
        <v>1240</v>
      </c>
      <c r="O337" s="31">
        <f>5211</f>
        <v>5211</v>
      </c>
      <c r="P337" s="32" t="s">
        <v>850</v>
      </c>
      <c r="Q337" s="31">
        <f>5400</f>
        <v>5400</v>
      </c>
      <c r="R337" s="32" t="s">
        <v>755</v>
      </c>
      <c r="S337" s="33">
        <f>5422.14</f>
        <v>5422.14</v>
      </c>
      <c r="T337" s="39">
        <f>584820</f>
        <v>584820</v>
      </c>
      <c r="U337" s="30">
        <f>548020</f>
        <v>548020</v>
      </c>
      <c r="V337" s="30">
        <f>3224020880</f>
        <v>3224020880</v>
      </c>
      <c r="W337" s="30">
        <f>3029062740</f>
        <v>3029062740</v>
      </c>
      <c r="X337" s="34">
        <f>21</f>
        <v>21</v>
      </c>
    </row>
    <row r="338" spans="1:24">
      <c r="A338" s="25" t="s">
        <v>1238</v>
      </c>
      <c r="B338" s="25" t="s">
        <v>722</v>
      </c>
      <c r="C338" s="25" t="s">
        <v>723</v>
      </c>
      <c r="D338" s="25" t="s">
        <v>724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10</v>
      </c>
      <c r="K338" s="31">
        <f>3605</f>
        <v>3605</v>
      </c>
      <c r="L338" s="32" t="s">
        <v>1239</v>
      </c>
      <c r="M338" s="31">
        <f>3700</f>
        <v>3700</v>
      </c>
      <c r="N338" s="32" t="s">
        <v>1208</v>
      </c>
      <c r="O338" s="31">
        <f>3530</f>
        <v>3530</v>
      </c>
      <c r="P338" s="32" t="s">
        <v>852</v>
      </c>
      <c r="Q338" s="31">
        <f>3609</f>
        <v>3609</v>
      </c>
      <c r="R338" s="32" t="s">
        <v>755</v>
      </c>
      <c r="S338" s="33">
        <f>3584.84</f>
        <v>3584.84</v>
      </c>
      <c r="T338" s="39">
        <f>355960</f>
        <v>355960</v>
      </c>
      <c r="U338" s="30">
        <f>175510</f>
        <v>175510</v>
      </c>
      <c r="V338" s="30">
        <f>1284183560</f>
        <v>1284183560</v>
      </c>
      <c r="W338" s="30">
        <f>632994350</f>
        <v>632994350</v>
      </c>
      <c r="X338" s="34">
        <f>19</f>
        <v>19</v>
      </c>
    </row>
    <row r="339" spans="1:24">
      <c r="A339" s="25" t="s">
        <v>1238</v>
      </c>
      <c r="B339" s="25" t="s">
        <v>725</v>
      </c>
      <c r="C339" s="25" t="s">
        <v>726</v>
      </c>
      <c r="D339" s="25" t="s">
        <v>727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10</v>
      </c>
      <c r="K339" s="31">
        <f>616.8</f>
        <v>616.79999999999995</v>
      </c>
      <c r="L339" s="32" t="s">
        <v>1239</v>
      </c>
      <c r="M339" s="31">
        <f>626</f>
        <v>626</v>
      </c>
      <c r="N339" s="32" t="s">
        <v>1079</v>
      </c>
      <c r="O339" s="31">
        <f>595.2</f>
        <v>595.20000000000005</v>
      </c>
      <c r="P339" s="32" t="s">
        <v>738</v>
      </c>
      <c r="Q339" s="31">
        <f>608.7</f>
        <v>608.70000000000005</v>
      </c>
      <c r="R339" s="32" t="s">
        <v>755</v>
      </c>
      <c r="S339" s="33">
        <f>607.68</f>
        <v>607.67999999999995</v>
      </c>
      <c r="T339" s="39">
        <f>42670</f>
        <v>42670</v>
      </c>
      <c r="U339" s="30">
        <f>40</f>
        <v>40</v>
      </c>
      <c r="V339" s="30">
        <f>26105837</f>
        <v>26105837</v>
      </c>
      <c r="W339" s="30">
        <f>24481</f>
        <v>24481</v>
      </c>
      <c r="X339" s="34">
        <f>19</f>
        <v>19</v>
      </c>
    </row>
    <row r="340" spans="1:24">
      <c r="A340" s="25" t="s">
        <v>1238</v>
      </c>
      <c r="B340" s="25" t="s">
        <v>1166</v>
      </c>
      <c r="C340" s="25" t="s">
        <v>1165</v>
      </c>
      <c r="D340" s="25" t="s">
        <v>1164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9799</f>
        <v>9799</v>
      </c>
      <c r="L340" s="32" t="s">
        <v>1239</v>
      </c>
      <c r="M340" s="31">
        <f>9862</f>
        <v>9862</v>
      </c>
      <c r="N340" s="32" t="s">
        <v>1240</v>
      </c>
      <c r="O340" s="31">
        <f>8220</f>
        <v>8220</v>
      </c>
      <c r="P340" s="32" t="s">
        <v>1079</v>
      </c>
      <c r="Q340" s="31">
        <f>9145</f>
        <v>9145</v>
      </c>
      <c r="R340" s="32" t="s">
        <v>755</v>
      </c>
      <c r="S340" s="33">
        <f>9075.48</f>
        <v>9075.48</v>
      </c>
      <c r="T340" s="39">
        <f>10642</f>
        <v>10642</v>
      </c>
      <c r="U340" s="30" t="str">
        <f>"－"</f>
        <v>－</v>
      </c>
      <c r="V340" s="30">
        <f>97400330</f>
        <v>97400330</v>
      </c>
      <c r="W340" s="30" t="str">
        <f>"－"</f>
        <v>－</v>
      </c>
      <c r="X340" s="34">
        <f>21</f>
        <v>21</v>
      </c>
    </row>
    <row r="341" spans="1:24">
      <c r="A341" s="25" t="s">
        <v>1238</v>
      </c>
      <c r="B341" s="25" t="s">
        <v>1167</v>
      </c>
      <c r="C341" s="25" t="s">
        <v>1168</v>
      </c>
      <c r="D341" s="25" t="s">
        <v>1169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852</f>
        <v>852</v>
      </c>
      <c r="L341" s="32" t="s">
        <v>1239</v>
      </c>
      <c r="M341" s="31">
        <f>852</f>
        <v>852</v>
      </c>
      <c r="N341" s="32" t="s">
        <v>1239</v>
      </c>
      <c r="O341" s="31">
        <f>646</f>
        <v>646</v>
      </c>
      <c r="P341" s="32" t="s">
        <v>1079</v>
      </c>
      <c r="Q341" s="31">
        <f>794</f>
        <v>794</v>
      </c>
      <c r="R341" s="32" t="s">
        <v>755</v>
      </c>
      <c r="S341" s="33">
        <f>760.71</f>
        <v>760.71</v>
      </c>
      <c r="T341" s="39">
        <f>2170784</f>
        <v>2170784</v>
      </c>
      <c r="U341" s="30">
        <f>814000</f>
        <v>814000</v>
      </c>
      <c r="V341" s="30">
        <f>1647733190</f>
        <v>1647733190</v>
      </c>
      <c r="W341" s="30">
        <f>604898919</f>
        <v>604898919</v>
      </c>
      <c r="X341" s="34">
        <f>21</f>
        <v>21</v>
      </c>
    </row>
    <row r="342" spans="1:24">
      <c r="A342" s="25" t="s">
        <v>1238</v>
      </c>
      <c r="B342" s="25" t="s">
        <v>728</v>
      </c>
      <c r="C342" s="25" t="s">
        <v>729</v>
      </c>
      <c r="D342" s="25" t="s">
        <v>730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2746</f>
        <v>2746</v>
      </c>
      <c r="L342" s="32" t="s">
        <v>1239</v>
      </c>
      <c r="M342" s="31">
        <f>2925</f>
        <v>2925</v>
      </c>
      <c r="N342" s="32" t="s">
        <v>755</v>
      </c>
      <c r="O342" s="31">
        <f>2500</f>
        <v>2500</v>
      </c>
      <c r="P342" s="32" t="s">
        <v>1079</v>
      </c>
      <c r="Q342" s="31">
        <f>2908</f>
        <v>2908</v>
      </c>
      <c r="R342" s="32" t="s">
        <v>755</v>
      </c>
      <c r="S342" s="33">
        <f>2773.81</f>
        <v>2773.81</v>
      </c>
      <c r="T342" s="39">
        <f>3154</f>
        <v>3154</v>
      </c>
      <c r="U342" s="30" t="str">
        <f>"－"</f>
        <v>－</v>
      </c>
      <c r="V342" s="30">
        <f>8653323</f>
        <v>8653323</v>
      </c>
      <c r="W342" s="30" t="str">
        <f>"－"</f>
        <v>－</v>
      </c>
      <c r="X342" s="34">
        <f>21</f>
        <v>21</v>
      </c>
    </row>
    <row r="343" spans="1:24">
      <c r="A343" s="25" t="s">
        <v>1238</v>
      </c>
      <c r="B343" s="25" t="s">
        <v>731</v>
      </c>
      <c r="C343" s="25" t="s">
        <v>1003</v>
      </c>
      <c r="D343" s="25" t="s">
        <v>1002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2247</f>
        <v>2247</v>
      </c>
      <c r="L343" s="32" t="s">
        <v>1239</v>
      </c>
      <c r="M343" s="31">
        <f>2368</f>
        <v>2368</v>
      </c>
      <c r="N343" s="32" t="s">
        <v>755</v>
      </c>
      <c r="O343" s="31">
        <f>1673</f>
        <v>1673</v>
      </c>
      <c r="P343" s="32" t="s">
        <v>1079</v>
      </c>
      <c r="Q343" s="31">
        <f>2368</f>
        <v>2368</v>
      </c>
      <c r="R343" s="32" t="s">
        <v>755</v>
      </c>
      <c r="S343" s="33">
        <f>2248.05</f>
        <v>2248.0500000000002</v>
      </c>
      <c r="T343" s="39">
        <f>26745</f>
        <v>26745</v>
      </c>
      <c r="U343" s="30">
        <f>153</f>
        <v>153</v>
      </c>
      <c r="V343" s="30">
        <f>59355607</f>
        <v>59355607</v>
      </c>
      <c r="W343" s="30">
        <f>358566</f>
        <v>358566</v>
      </c>
      <c r="X343" s="34">
        <f>21</f>
        <v>21</v>
      </c>
    </row>
    <row r="344" spans="1:24">
      <c r="A344" s="25" t="s">
        <v>1238</v>
      </c>
      <c r="B344" s="25" t="s">
        <v>732</v>
      </c>
      <c r="C344" s="25" t="s">
        <v>733</v>
      </c>
      <c r="D344" s="25" t="s">
        <v>734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8434</f>
        <v>8434</v>
      </c>
      <c r="L344" s="32" t="s">
        <v>1239</v>
      </c>
      <c r="M344" s="31">
        <f>8456</f>
        <v>8456</v>
      </c>
      <c r="N344" s="32" t="s">
        <v>1240</v>
      </c>
      <c r="O344" s="31">
        <f>7787</f>
        <v>7787</v>
      </c>
      <c r="P344" s="32" t="s">
        <v>851</v>
      </c>
      <c r="Q344" s="31">
        <f>8077</f>
        <v>8077</v>
      </c>
      <c r="R344" s="32" t="s">
        <v>755</v>
      </c>
      <c r="S344" s="33">
        <f>8117.62</f>
        <v>8117.62</v>
      </c>
      <c r="T344" s="39">
        <f>557432</f>
        <v>557432</v>
      </c>
      <c r="U344" s="30">
        <f>545000</f>
        <v>545000</v>
      </c>
      <c r="V344" s="30">
        <f>4663396785</f>
        <v>4663396785</v>
      </c>
      <c r="W344" s="30">
        <f>4564348300</f>
        <v>4564348300</v>
      </c>
      <c r="X344" s="34">
        <f>21</f>
        <v>21</v>
      </c>
    </row>
    <row r="345" spans="1:24">
      <c r="A345" s="25" t="s">
        <v>1238</v>
      </c>
      <c r="B345" s="25" t="s">
        <v>735</v>
      </c>
      <c r="C345" s="25" t="s">
        <v>736</v>
      </c>
      <c r="D345" s="25" t="s">
        <v>737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5381</f>
        <v>5381</v>
      </c>
      <c r="L345" s="32" t="s">
        <v>1239</v>
      </c>
      <c r="M345" s="31">
        <f>5523</f>
        <v>5523</v>
      </c>
      <c r="N345" s="32" t="s">
        <v>1079</v>
      </c>
      <c r="O345" s="31">
        <f>5206</f>
        <v>5206</v>
      </c>
      <c r="P345" s="32" t="s">
        <v>1080</v>
      </c>
      <c r="Q345" s="31">
        <f>5409</f>
        <v>5409</v>
      </c>
      <c r="R345" s="32" t="s">
        <v>755</v>
      </c>
      <c r="S345" s="33">
        <f>5368.1</f>
        <v>5368.1</v>
      </c>
      <c r="T345" s="39">
        <f>161370</f>
        <v>161370</v>
      </c>
      <c r="U345" s="30" t="str">
        <f>"－"</f>
        <v>－</v>
      </c>
      <c r="V345" s="30">
        <f>871764175</f>
        <v>871764175</v>
      </c>
      <c r="W345" s="30" t="str">
        <f>"－"</f>
        <v>－</v>
      </c>
      <c r="X345" s="34">
        <f>21</f>
        <v>21</v>
      </c>
    </row>
    <row r="346" spans="1:24">
      <c r="A346" s="25" t="s">
        <v>1238</v>
      </c>
      <c r="B346" s="25" t="s">
        <v>1170</v>
      </c>
      <c r="C346" s="25" t="s">
        <v>1171</v>
      </c>
      <c r="D346" s="25" t="s">
        <v>1172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922</f>
        <v>922</v>
      </c>
      <c r="L346" s="32" t="s">
        <v>1239</v>
      </c>
      <c r="M346" s="31">
        <f>940</f>
        <v>940</v>
      </c>
      <c r="N346" s="32" t="s">
        <v>1240</v>
      </c>
      <c r="O346" s="31">
        <f>749</f>
        <v>749</v>
      </c>
      <c r="P346" s="32" t="s">
        <v>852</v>
      </c>
      <c r="Q346" s="31">
        <f>861</f>
        <v>861</v>
      </c>
      <c r="R346" s="32" t="s">
        <v>755</v>
      </c>
      <c r="S346" s="33">
        <f>833.19</f>
        <v>833.19</v>
      </c>
      <c r="T346" s="39">
        <f>591665</f>
        <v>591665</v>
      </c>
      <c r="U346" s="30" t="str">
        <f>"－"</f>
        <v>－</v>
      </c>
      <c r="V346" s="30">
        <f>496406574</f>
        <v>496406574</v>
      </c>
      <c r="W346" s="30" t="str">
        <f>"－"</f>
        <v>－</v>
      </c>
      <c r="X346" s="34">
        <f>21</f>
        <v>21</v>
      </c>
    </row>
    <row r="347" spans="1:24">
      <c r="A347" s="25" t="s">
        <v>1238</v>
      </c>
      <c r="B347" s="25" t="s">
        <v>740</v>
      </c>
      <c r="C347" s="25" t="s">
        <v>741</v>
      </c>
      <c r="D347" s="25" t="s">
        <v>742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1658</f>
        <v>1658</v>
      </c>
      <c r="L347" s="32" t="s">
        <v>1239</v>
      </c>
      <c r="M347" s="31">
        <f>1682</f>
        <v>1682</v>
      </c>
      <c r="N347" s="32" t="s">
        <v>1240</v>
      </c>
      <c r="O347" s="31">
        <f>1380</f>
        <v>1380</v>
      </c>
      <c r="P347" s="32" t="s">
        <v>1079</v>
      </c>
      <c r="Q347" s="31">
        <f>1602</f>
        <v>1602</v>
      </c>
      <c r="R347" s="32" t="s">
        <v>755</v>
      </c>
      <c r="S347" s="33">
        <f>1545.24</f>
        <v>1545.24</v>
      </c>
      <c r="T347" s="39">
        <f>4624750</f>
        <v>4624750</v>
      </c>
      <c r="U347" s="30">
        <f>464150</f>
        <v>464150</v>
      </c>
      <c r="V347" s="30">
        <f>6974703840</f>
        <v>6974703840</v>
      </c>
      <c r="W347" s="30">
        <f>711580879</f>
        <v>711580879</v>
      </c>
      <c r="X347" s="34">
        <f>21</f>
        <v>21</v>
      </c>
    </row>
    <row r="348" spans="1:24">
      <c r="A348" s="25" t="s">
        <v>1238</v>
      </c>
      <c r="B348" s="25" t="s">
        <v>743</v>
      </c>
      <c r="C348" s="25" t="s">
        <v>744</v>
      </c>
      <c r="D348" s="25" t="s">
        <v>745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</v>
      </c>
      <c r="K348" s="31">
        <f>1152</f>
        <v>1152</v>
      </c>
      <c r="L348" s="32" t="s">
        <v>1239</v>
      </c>
      <c r="M348" s="31">
        <f>1175</f>
        <v>1175</v>
      </c>
      <c r="N348" s="32" t="s">
        <v>1240</v>
      </c>
      <c r="O348" s="31">
        <f>982</f>
        <v>982</v>
      </c>
      <c r="P348" s="32" t="s">
        <v>1079</v>
      </c>
      <c r="Q348" s="31">
        <f>1165</f>
        <v>1165</v>
      </c>
      <c r="R348" s="32" t="s">
        <v>755</v>
      </c>
      <c r="S348" s="33">
        <f>1112.48</f>
        <v>1112.48</v>
      </c>
      <c r="T348" s="39">
        <f>4386707</f>
        <v>4386707</v>
      </c>
      <c r="U348" s="30">
        <f>621800</f>
        <v>621800</v>
      </c>
      <c r="V348" s="30">
        <f>4799383719</f>
        <v>4799383719</v>
      </c>
      <c r="W348" s="30">
        <f>704837675</f>
        <v>704837675</v>
      </c>
      <c r="X348" s="34">
        <f>21</f>
        <v>21</v>
      </c>
    </row>
    <row r="349" spans="1:24">
      <c r="A349" s="25" t="s">
        <v>1238</v>
      </c>
      <c r="B349" s="25" t="s">
        <v>746</v>
      </c>
      <c r="C349" s="25" t="s">
        <v>747</v>
      </c>
      <c r="D349" s="25" t="s">
        <v>748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</v>
      </c>
      <c r="K349" s="31">
        <f>19245</f>
        <v>19245</v>
      </c>
      <c r="L349" s="32" t="s">
        <v>1239</v>
      </c>
      <c r="M349" s="31">
        <f>22100</f>
        <v>22100</v>
      </c>
      <c r="N349" s="32" t="s">
        <v>1079</v>
      </c>
      <c r="O349" s="31">
        <f>18320</f>
        <v>18320</v>
      </c>
      <c r="P349" s="32" t="s">
        <v>755</v>
      </c>
      <c r="Q349" s="31">
        <f>18340</f>
        <v>18340</v>
      </c>
      <c r="R349" s="32" t="s">
        <v>755</v>
      </c>
      <c r="S349" s="33">
        <f>19565.48</f>
        <v>19565.48</v>
      </c>
      <c r="T349" s="39">
        <f>455886</f>
        <v>455886</v>
      </c>
      <c r="U349" s="30">
        <f>80</f>
        <v>80</v>
      </c>
      <c r="V349" s="30">
        <f>9081570235</f>
        <v>9081570235</v>
      </c>
      <c r="W349" s="30">
        <f>1552550</f>
        <v>1552550</v>
      </c>
      <c r="X349" s="34">
        <f>21</f>
        <v>21</v>
      </c>
    </row>
    <row r="350" spans="1:24">
      <c r="A350" s="25" t="s">
        <v>1238</v>
      </c>
      <c r="B350" s="25" t="s">
        <v>749</v>
      </c>
      <c r="C350" s="25" t="s">
        <v>750</v>
      </c>
      <c r="D350" s="25" t="s">
        <v>751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3996</f>
        <v>3996</v>
      </c>
      <c r="L350" s="32" t="s">
        <v>1239</v>
      </c>
      <c r="M350" s="31">
        <f>4173</f>
        <v>4173</v>
      </c>
      <c r="N350" s="32" t="s">
        <v>1205</v>
      </c>
      <c r="O350" s="31">
        <f>3986</f>
        <v>3986</v>
      </c>
      <c r="P350" s="32" t="s">
        <v>852</v>
      </c>
      <c r="Q350" s="31">
        <f>4108</f>
        <v>4108</v>
      </c>
      <c r="R350" s="32" t="s">
        <v>755</v>
      </c>
      <c r="S350" s="33">
        <f>4045.21</f>
        <v>4045.21</v>
      </c>
      <c r="T350" s="39">
        <f>1685120</f>
        <v>1685120</v>
      </c>
      <c r="U350" s="30">
        <f>1607000</f>
        <v>1607000</v>
      </c>
      <c r="V350" s="30">
        <f>6828995990</f>
        <v>6828995990</v>
      </c>
      <c r="W350" s="30">
        <f>6515902900</f>
        <v>6515902900</v>
      </c>
      <c r="X350" s="34">
        <f>19</f>
        <v>19</v>
      </c>
    </row>
    <row r="351" spans="1:24">
      <c r="A351" s="25" t="s">
        <v>1238</v>
      </c>
      <c r="B351" s="25" t="s">
        <v>752</v>
      </c>
      <c r="C351" s="25" t="s">
        <v>753</v>
      </c>
      <c r="D351" s="25" t="s">
        <v>754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4901</f>
        <v>4901</v>
      </c>
      <c r="L351" s="32" t="s">
        <v>1239</v>
      </c>
      <c r="M351" s="31">
        <f>4945</f>
        <v>4945</v>
      </c>
      <c r="N351" s="32" t="s">
        <v>1240</v>
      </c>
      <c r="O351" s="31">
        <f>4512</f>
        <v>4512</v>
      </c>
      <c r="P351" s="32" t="s">
        <v>852</v>
      </c>
      <c r="Q351" s="31">
        <f>4860</f>
        <v>4860</v>
      </c>
      <c r="R351" s="32" t="s">
        <v>755</v>
      </c>
      <c r="S351" s="33">
        <f>4790</f>
        <v>4790</v>
      </c>
      <c r="T351" s="39">
        <f>155340</f>
        <v>155340</v>
      </c>
      <c r="U351" s="30">
        <f>41200</f>
        <v>41200</v>
      </c>
      <c r="V351" s="30">
        <f>732482858</f>
        <v>732482858</v>
      </c>
      <c r="W351" s="30">
        <f>193666888</f>
        <v>193666888</v>
      </c>
      <c r="X351" s="34">
        <f>21</f>
        <v>21</v>
      </c>
    </row>
    <row r="352" spans="1:24">
      <c r="A352" s="25" t="s">
        <v>1238</v>
      </c>
      <c r="B352" s="25" t="s">
        <v>764</v>
      </c>
      <c r="C352" s="25" t="s">
        <v>765</v>
      </c>
      <c r="D352" s="25" t="s">
        <v>766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10</v>
      </c>
      <c r="K352" s="31">
        <f>2414.5</f>
        <v>2414.5</v>
      </c>
      <c r="L352" s="32" t="s">
        <v>1239</v>
      </c>
      <c r="M352" s="31">
        <f>2451.5</f>
        <v>2451.5</v>
      </c>
      <c r="N352" s="32" t="s">
        <v>1240</v>
      </c>
      <c r="O352" s="31">
        <f>2077</f>
        <v>2077</v>
      </c>
      <c r="P352" s="32" t="s">
        <v>1079</v>
      </c>
      <c r="Q352" s="31">
        <f>2437.5</f>
        <v>2437.5</v>
      </c>
      <c r="R352" s="32" t="s">
        <v>755</v>
      </c>
      <c r="S352" s="33">
        <f>2331.14</f>
        <v>2331.14</v>
      </c>
      <c r="T352" s="39">
        <f>2460790</f>
        <v>2460790</v>
      </c>
      <c r="U352" s="30">
        <f>112300</f>
        <v>112300</v>
      </c>
      <c r="V352" s="30">
        <f>5602855686</f>
        <v>5602855686</v>
      </c>
      <c r="W352" s="30">
        <f>241230906</f>
        <v>241230906</v>
      </c>
      <c r="X352" s="34">
        <f>21</f>
        <v>21</v>
      </c>
    </row>
    <row r="353" spans="1:24">
      <c r="A353" s="25" t="s">
        <v>1238</v>
      </c>
      <c r="B353" s="25" t="s">
        <v>767</v>
      </c>
      <c r="C353" s="25" t="s">
        <v>768</v>
      </c>
      <c r="D353" s="25" t="s">
        <v>769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10</v>
      </c>
      <c r="K353" s="31">
        <f>2127</f>
        <v>2127</v>
      </c>
      <c r="L353" s="32" t="s">
        <v>1239</v>
      </c>
      <c r="M353" s="31">
        <f>2127</f>
        <v>2127</v>
      </c>
      <c r="N353" s="32" t="s">
        <v>1239</v>
      </c>
      <c r="O353" s="31">
        <f>1860</f>
        <v>1860</v>
      </c>
      <c r="P353" s="32" t="s">
        <v>852</v>
      </c>
      <c r="Q353" s="31">
        <f>2040.5</f>
        <v>2040.5</v>
      </c>
      <c r="R353" s="32" t="s">
        <v>755</v>
      </c>
      <c r="S353" s="33">
        <f>2012.43</f>
        <v>2012.43</v>
      </c>
      <c r="T353" s="39">
        <f>1854740</f>
        <v>1854740</v>
      </c>
      <c r="U353" s="30">
        <f>1232390</f>
        <v>1232390</v>
      </c>
      <c r="V353" s="30">
        <f>3731784129</f>
        <v>3731784129</v>
      </c>
      <c r="W353" s="30">
        <f>2493060629</f>
        <v>2493060629</v>
      </c>
      <c r="X353" s="34">
        <f>21</f>
        <v>21</v>
      </c>
    </row>
    <row r="354" spans="1:24">
      <c r="A354" s="25" t="s">
        <v>1238</v>
      </c>
      <c r="B354" s="25" t="s">
        <v>770</v>
      </c>
      <c r="C354" s="25" t="s">
        <v>771</v>
      </c>
      <c r="D354" s="25" t="s">
        <v>772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1840</f>
        <v>1840</v>
      </c>
      <c r="L354" s="32" t="s">
        <v>1239</v>
      </c>
      <c r="M354" s="31">
        <f>1877</f>
        <v>1877</v>
      </c>
      <c r="N354" s="32" t="s">
        <v>755</v>
      </c>
      <c r="O354" s="31">
        <f>1393</f>
        <v>1393</v>
      </c>
      <c r="P354" s="32" t="s">
        <v>1079</v>
      </c>
      <c r="Q354" s="31">
        <f>1876</f>
        <v>1876</v>
      </c>
      <c r="R354" s="32" t="s">
        <v>755</v>
      </c>
      <c r="S354" s="33">
        <f>1762.86</f>
        <v>1762.86</v>
      </c>
      <c r="T354" s="39">
        <f>4259</f>
        <v>4259</v>
      </c>
      <c r="U354" s="30" t="str">
        <f>"－"</f>
        <v>－</v>
      </c>
      <c r="V354" s="30">
        <f>6955058</f>
        <v>6955058</v>
      </c>
      <c r="W354" s="30" t="str">
        <f>"－"</f>
        <v>－</v>
      </c>
      <c r="X354" s="34">
        <f>21</f>
        <v>21</v>
      </c>
    </row>
    <row r="355" spans="1:24">
      <c r="A355" s="25" t="s">
        <v>1238</v>
      </c>
      <c r="B355" s="25" t="s">
        <v>773</v>
      </c>
      <c r="C355" s="25" t="s">
        <v>774</v>
      </c>
      <c r="D355" s="25" t="s">
        <v>775</v>
      </c>
      <c r="E355" s="26" t="s">
        <v>43</v>
      </c>
      <c r="F355" s="27" t="s">
        <v>43</v>
      </c>
      <c r="G355" s="28" t="s">
        <v>43</v>
      </c>
      <c r="H355" s="29"/>
      <c r="I355" s="29" t="s">
        <v>44</v>
      </c>
      <c r="J355" s="30">
        <v>1</v>
      </c>
      <c r="K355" s="31">
        <f>2058</f>
        <v>2058</v>
      </c>
      <c r="L355" s="32" t="s">
        <v>1239</v>
      </c>
      <c r="M355" s="31">
        <f>2286</f>
        <v>2286</v>
      </c>
      <c r="N355" s="32" t="s">
        <v>1220</v>
      </c>
      <c r="O355" s="31">
        <f>1792</f>
        <v>1792</v>
      </c>
      <c r="P355" s="32" t="s">
        <v>1079</v>
      </c>
      <c r="Q355" s="31">
        <f>2046</f>
        <v>2046</v>
      </c>
      <c r="R355" s="32" t="s">
        <v>755</v>
      </c>
      <c r="S355" s="33">
        <f>1951.24</f>
        <v>1951.24</v>
      </c>
      <c r="T355" s="39">
        <f>23965</f>
        <v>23965</v>
      </c>
      <c r="U355" s="30" t="str">
        <f>"－"</f>
        <v>－</v>
      </c>
      <c r="V355" s="30">
        <f>49143107</f>
        <v>49143107</v>
      </c>
      <c r="W355" s="30" t="str">
        <f>"－"</f>
        <v>－</v>
      </c>
      <c r="X355" s="34">
        <f>21</f>
        <v>21</v>
      </c>
    </row>
    <row r="356" spans="1:24">
      <c r="A356" s="25" t="s">
        <v>1238</v>
      </c>
      <c r="B356" s="25" t="s">
        <v>776</v>
      </c>
      <c r="C356" s="25" t="s">
        <v>777</v>
      </c>
      <c r="D356" s="25" t="s">
        <v>778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</v>
      </c>
      <c r="K356" s="31">
        <f>4390</f>
        <v>4390</v>
      </c>
      <c r="L356" s="32" t="s">
        <v>1239</v>
      </c>
      <c r="M356" s="31">
        <f>4435</f>
        <v>4435</v>
      </c>
      <c r="N356" s="32" t="s">
        <v>1239</v>
      </c>
      <c r="O356" s="31">
        <f>4000</f>
        <v>4000</v>
      </c>
      <c r="P356" s="32" t="s">
        <v>1079</v>
      </c>
      <c r="Q356" s="31">
        <f>4360</f>
        <v>4360</v>
      </c>
      <c r="R356" s="32" t="s">
        <v>755</v>
      </c>
      <c r="S356" s="33">
        <f>4278.33</f>
        <v>4278.33</v>
      </c>
      <c r="T356" s="39">
        <f>151925</f>
        <v>151925</v>
      </c>
      <c r="U356" s="30">
        <f>100004</f>
        <v>100004</v>
      </c>
      <c r="V356" s="30">
        <f>652940820</f>
        <v>652940820</v>
      </c>
      <c r="W356" s="30">
        <f>432038085</f>
        <v>432038085</v>
      </c>
      <c r="X356" s="34">
        <f>21</f>
        <v>21</v>
      </c>
    </row>
    <row r="357" spans="1:24">
      <c r="A357" s="25" t="s">
        <v>1238</v>
      </c>
      <c r="B357" s="25" t="s">
        <v>779</v>
      </c>
      <c r="C357" s="25" t="s">
        <v>780</v>
      </c>
      <c r="D357" s="25" t="s">
        <v>781</v>
      </c>
      <c r="E357" s="26" t="s">
        <v>43</v>
      </c>
      <c r="F357" s="27" t="s">
        <v>43</v>
      </c>
      <c r="G357" s="28" t="s">
        <v>43</v>
      </c>
      <c r="H357" s="29" t="s">
        <v>1241</v>
      </c>
      <c r="I357" s="29" t="s">
        <v>44</v>
      </c>
      <c r="J357" s="30">
        <v>10</v>
      </c>
      <c r="K357" s="31">
        <f>1926.5</f>
        <v>1926.5</v>
      </c>
      <c r="L357" s="32" t="s">
        <v>1239</v>
      </c>
      <c r="M357" s="31">
        <f>1942.5</f>
        <v>1942.5</v>
      </c>
      <c r="N357" s="32" t="s">
        <v>1240</v>
      </c>
      <c r="O357" s="31">
        <f>1639.5</f>
        <v>1639.5</v>
      </c>
      <c r="P357" s="32" t="s">
        <v>1079</v>
      </c>
      <c r="Q357" s="31">
        <f>1920.5</f>
        <v>1920.5</v>
      </c>
      <c r="R357" s="32" t="s">
        <v>755</v>
      </c>
      <c r="S357" s="33">
        <f>1815.88</f>
        <v>1815.88</v>
      </c>
      <c r="T357" s="39">
        <f>25680</f>
        <v>25680</v>
      </c>
      <c r="U357" s="30">
        <f>30</f>
        <v>30</v>
      </c>
      <c r="V357" s="30">
        <f>45379504</f>
        <v>45379504</v>
      </c>
      <c r="W357" s="30">
        <f>54109</f>
        <v>54109</v>
      </c>
      <c r="X357" s="34">
        <f>21</f>
        <v>21</v>
      </c>
    </row>
    <row r="358" spans="1:24">
      <c r="A358" s="25" t="s">
        <v>1238</v>
      </c>
      <c r="B358" s="25" t="s">
        <v>788</v>
      </c>
      <c r="C358" s="25" t="s">
        <v>789</v>
      </c>
      <c r="D358" s="25" t="s">
        <v>790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273.6</f>
        <v>273.60000000000002</v>
      </c>
      <c r="L358" s="32" t="s">
        <v>1239</v>
      </c>
      <c r="M358" s="31">
        <f>274.1</f>
        <v>274.10000000000002</v>
      </c>
      <c r="N358" s="32" t="s">
        <v>1240</v>
      </c>
      <c r="O358" s="31">
        <f>230.1</f>
        <v>230.1</v>
      </c>
      <c r="P358" s="32" t="s">
        <v>1079</v>
      </c>
      <c r="Q358" s="31">
        <f>269.5</f>
        <v>269.5</v>
      </c>
      <c r="R358" s="32" t="s">
        <v>755</v>
      </c>
      <c r="S358" s="33">
        <f>257.36</f>
        <v>257.36</v>
      </c>
      <c r="T358" s="39">
        <f>196900</f>
        <v>196900</v>
      </c>
      <c r="U358" s="30" t="str">
        <f>"－"</f>
        <v>－</v>
      </c>
      <c r="V358" s="30">
        <f>51410696</f>
        <v>51410696</v>
      </c>
      <c r="W358" s="30" t="str">
        <f>"－"</f>
        <v>－</v>
      </c>
      <c r="X358" s="34">
        <f>20</f>
        <v>20</v>
      </c>
    </row>
    <row r="359" spans="1:24">
      <c r="A359" s="25" t="s">
        <v>1238</v>
      </c>
      <c r="B359" s="25" t="s">
        <v>782</v>
      </c>
      <c r="C359" s="25" t="s">
        <v>783</v>
      </c>
      <c r="D359" s="25" t="s">
        <v>784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10</v>
      </c>
      <c r="K359" s="31">
        <f>168.5</f>
        <v>168.5</v>
      </c>
      <c r="L359" s="32" t="s">
        <v>1239</v>
      </c>
      <c r="M359" s="31">
        <f>171.8</f>
        <v>171.8</v>
      </c>
      <c r="N359" s="32" t="s">
        <v>756</v>
      </c>
      <c r="O359" s="31">
        <f>161</f>
        <v>161</v>
      </c>
      <c r="P359" s="32" t="s">
        <v>1079</v>
      </c>
      <c r="Q359" s="31">
        <f>170.8</f>
        <v>170.8</v>
      </c>
      <c r="R359" s="32" t="s">
        <v>755</v>
      </c>
      <c r="S359" s="33">
        <f>169.05</f>
        <v>169.05</v>
      </c>
      <c r="T359" s="39">
        <f>170910</f>
        <v>170910</v>
      </c>
      <c r="U359" s="30" t="str">
        <f>"－"</f>
        <v>－</v>
      </c>
      <c r="V359" s="30">
        <f>28574636</f>
        <v>28574636</v>
      </c>
      <c r="W359" s="30" t="str">
        <f>"－"</f>
        <v>－</v>
      </c>
      <c r="X359" s="34">
        <f>21</f>
        <v>21</v>
      </c>
    </row>
    <row r="360" spans="1:24">
      <c r="A360" s="25" t="s">
        <v>1238</v>
      </c>
      <c r="B360" s="25" t="s">
        <v>785</v>
      </c>
      <c r="C360" s="25" t="s">
        <v>786</v>
      </c>
      <c r="D360" s="25" t="s">
        <v>787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10</v>
      </c>
      <c r="K360" s="31">
        <f>649.9</f>
        <v>649.9</v>
      </c>
      <c r="L360" s="32" t="s">
        <v>1240</v>
      </c>
      <c r="M360" s="31">
        <f>700</f>
        <v>700</v>
      </c>
      <c r="N360" s="32" t="s">
        <v>1076</v>
      </c>
      <c r="O360" s="31">
        <f>609.9</f>
        <v>609.9</v>
      </c>
      <c r="P360" s="32" t="s">
        <v>1204</v>
      </c>
      <c r="Q360" s="31">
        <f>667.6</f>
        <v>667.6</v>
      </c>
      <c r="R360" s="32" t="s">
        <v>755</v>
      </c>
      <c r="S360" s="33">
        <f>660.77</f>
        <v>660.77</v>
      </c>
      <c r="T360" s="39">
        <f>2730</f>
        <v>2730</v>
      </c>
      <c r="U360" s="30" t="str">
        <f>"－"</f>
        <v>－</v>
      </c>
      <c r="V360" s="30">
        <f>1778970</f>
        <v>1778970</v>
      </c>
      <c r="W360" s="30" t="str">
        <f>"－"</f>
        <v>－</v>
      </c>
      <c r="X360" s="34">
        <f>18</f>
        <v>18</v>
      </c>
    </row>
    <row r="361" spans="1:24">
      <c r="A361" s="25" t="s">
        <v>1238</v>
      </c>
      <c r="B361" s="25" t="s">
        <v>791</v>
      </c>
      <c r="C361" s="25" t="s">
        <v>792</v>
      </c>
      <c r="D361" s="25" t="s">
        <v>793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</v>
      </c>
      <c r="K361" s="31">
        <f>1476</f>
        <v>1476</v>
      </c>
      <c r="L361" s="32" t="s">
        <v>1239</v>
      </c>
      <c r="M361" s="31">
        <f>1495</f>
        <v>1495</v>
      </c>
      <c r="N361" s="32" t="s">
        <v>755</v>
      </c>
      <c r="O361" s="31">
        <f>1207</f>
        <v>1207</v>
      </c>
      <c r="P361" s="32" t="s">
        <v>1079</v>
      </c>
      <c r="Q361" s="31">
        <f>1495</f>
        <v>1495</v>
      </c>
      <c r="R361" s="32" t="s">
        <v>755</v>
      </c>
      <c r="S361" s="33">
        <f>1394.24</f>
        <v>1394.24</v>
      </c>
      <c r="T361" s="39">
        <f>268250</f>
        <v>268250</v>
      </c>
      <c r="U361" s="30">
        <f>270</f>
        <v>270</v>
      </c>
      <c r="V361" s="30">
        <f>364935678</f>
        <v>364935678</v>
      </c>
      <c r="W361" s="30">
        <f>378578</f>
        <v>378578</v>
      </c>
      <c r="X361" s="34">
        <f>21</f>
        <v>21</v>
      </c>
    </row>
    <row r="362" spans="1:24">
      <c r="A362" s="25" t="s">
        <v>1238</v>
      </c>
      <c r="B362" s="25" t="s">
        <v>794</v>
      </c>
      <c r="C362" s="25" t="s">
        <v>795</v>
      </c>
      <c r="D362" s="25" t="s">
        <v>796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</v>
      </c>
      <c r="K362" s="31">
        <f>896</f>
        <v>896</v>
      </c>
      <c r="L362" s="32" t="s">
        <v>1239</v>
      </c>
      <c r="M362" s="31">
        <f>925</f>
        <v>925</v>
      </c>
      <c r="N362" s="32" t="s">
        <v>1220</v>
      </c>
      <c r="O362" s="31">
        <f>854</f>
        <v>854</v>
      </c>
      <c r="P362" s="32" t="s">
        <v>1077</v>
      </c>
      <c r="Q362" s="31">
        <f>898</f>
        <v>898</v>
      </c>
      <c r="R362" s="32" t="s">
        <v>755</v>
      </c>
      <c r="S362" s="33">
        <f>898.14</f>
        <v>898.14</v>
      </c>
      <c r="T362" s="39">
        <f>51976</f>
        <v>51976</v>
      </c>
      <c r="U362" s="30">
        <f>3</f>
        <v>3</v>
      </c>
      <c r="V362" s="30">
        <f>46876982</f>
        <v>46876982</v>
      </c>
      <c r="W362" s="30">
        <f>2714</f>
        <v>2714</v>
      </c>
      <c r="X362" s="34">
        <f>21</f>
        <v>21</v>
      </c>
    </row>
    <row r="363" spans="1:24">
      <c r="A363" s="25" t="s">
        <v>1238</v>
      </c>
      <c r="B363" s="25" t="s">
        <v>797</v>
      </c>
      <c r="C363" s="25" t="s">
        <v>798</v>
      </c>
      <c r="D363" s="25" t="s">
        <v>799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10</v>
      </c>
      <c r="K363" s="31">
        <f>689.8</f>
        <v>689.8</v>
      </c>
      <c r="L363" s="32" t="s">
        <v>1239</v>
      </c>
      <c r="M363" s="31">
        <f>703.6</f>
        <v>703.6</v>
      </c>
      <c r="N363" s="32" t="s">
        <v>1079</v>
      </c>
      <c r="O363" s="31">
        <f>678.9</f>
        <v>678.9</v>
      </c>
      <c r="P363" s="32" t="s">
        <v>1080</v>
      </c>
      <c r="Q363" s="31">
        <f>690</f>
        <v>690</v>
      </c>
      <c r="R363" s="32" t="s">
        <v>755</v>
      </c>
      <c r="S363" s="33">
        <f>687.66</f>
        <v>687.66</v>
      </c>
      <c r="T363" s="39">
        <f>2752840</f>
        <v>2752840</v>
      </c>
      <c r="U363" s="30">
        <f>2140430</f>
        <v>2140430</v>
      </c>
      <c r="V363" s="30">
        <f>1920291554</f>
        <v>1920291554</v>
      </c>
      <c r="W363" s="30">
        <f>1497408185</f>
        <v>1497408185</v>
      </c>
      <c r="X363" s="34">
        <f>21</f>
        <v>21</v>
      </c>
    </row>
    <row r="364" spans="1:24">
      <c r="A364" s="25" t="s">
        <v>1238</v>
      </c>
      <c r="B364" s="25" t="s">
        <v>800</v>
      </c>
      <c r="C364" s="25" t="s">
        <v>801</v>
      </c>
      <c r="D364" s="25" t="s">
        <v>802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661.1</f>
        <v>661.1</v>
      </c>
      <c r="L364" s="32" t="s">
        <v>1239</v>
      </c>
      <c r="M364" s="31">
        <f>675</f>
        <v>675</v>
      </c>
      <c r="N364" s="32" t="s">
        <v>756</v>
      </c>
      <c r="O364" s="31">
        <f>656.7</f>
        <v>656.7</v>
      </c>
      <c r="P364" s="32" t="s">
        <v>738</v>
      </c>
      <c r="Q364" s="31">
        <f>665.2</f>
        <v>665.2</v>
      </c>
      <c r="R364" s="32" t="s">
        <v>755</v>
      </c>
      <c r="S364" s="33">
        <f>665.44</f>
        <v>665.44</v>
      </c>
      <c r="T364" s="39">
        <f>3870460</f>
        <v>3870460</v>
      </c>
      <c r="U364" s="30">
        <f>3443040</f>
        <v>3443040</v>
      </c>
      <c r="V364" s="30">
        <f>2584584408</f>
        <v>2584584408</v>
      </c>
      <c r="W364" s="30">
        <f>2299261960</f>
        <v>2299261960</v>
      </c>
      <c r="X364" s="34">
        <f>21</f>
        <v>21</v>
      </c>
    </row>
    <row r="365" spans="1:24">
      <c r="A365" s="25" t="s">
        <v>1238</v>
      </c>
      <c r="B365" s="25" t="s">
        <v>803</v>
      </c>
      <c r="C365" s="25" t="s">
        <v>804</v>
      </c>
      <c r="D365" s="25" t="s">
        <v>805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</v>
      </c>
      <c r="K365" s="31">
        <f>1195</f>
        <v>1195</v>
      </c>
      <c r="L365" s="32" t="s">
        <v>1239</v>
      </c>
      <c r="M365" s="31">
        <f>1195</f>
        <v>1195</v>
      </c>
      <c r="N365" s="32" t="s">
        <v>1239</v>
      </c>
      <c r="O365" s="31">
        <f>1022</f>
        <v>1022</v>
      </c>
      <c r="P365" s="32" t="s">
        <v>1079</v>
      </c>
      <c r="Q365" s="31">
        <f>1157</f>
        <v>1157</v>
      </c>
      <c r="R365" s="32" t="s">
        <v>755</v>
      </c>
      <c r="S365" s="33">
        <f>1131.43</f>
        <v>1131.43</v>
      </c>
      <c r="T365" s="39">
        <f>26490</f>
        <v>26490</v>
      </c>
      <c r="U365" s="30" t="str">
        <f>"－"</f>
        <v>－</v>
      </c>
      <c r="V365" s="30">
        <f>29449824</f>
        <v>29449824</v>
      </c>
      <c r="W365" s="30" t="str">
        <f>"－"</f>
        <v>－</v>
      </c>
      <c r="X365" s="34">
        <f>21</f>
        <v>21</v>
      </c>
    </row>
    <row r="366" spans="1:24">
      <c r="A366" s="25" t="s">
        <v>1238</v>
      </c>
      <c r="B366" s="25" t="s">
        <v>812</v>
      </c>
      <c r="C366" s="25" t="s">
        <v>813</v>
      </c>
      <c r="D366" s="25" t="s">
        <v>814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10</v>
      </c>
      <c r="K366" s="31">
        <f>2720</f>
        <v>2720</v>
      </c>
      <c r="L366" s="32" t="s">
        <v>1239</v>
      </c>
      <c r="M366" s="31">
        <f>2780</f>
        <v>2780</v>
      </c>
      <c r="N366" s="32" t="s">
        <v>1078</v>
      </c>
      <c r="O366" s="31">
        <f>2330</f>
        <v>2330</v>
      </c>
      <c r="P366" s="32" t="s">
        <v>852</v>
      </c>
      <c r="Q366" s="31">
        <f>2658.5</f>
        <v>2658.5</v>
      </c>
      <c r="R366" s="32" t="s">
        <v>755</v>
      </c>
      <c r="S366" s="33">
        <f>2572.5</f>
        <v>2572.5</v>
      </c>
      <c r="T366" s="39">
        <f>720160</f>
        <v>720160</v>
      </c>
      <c r="U366" s="30">
        <f>10</f>
        <v>10</v>
      </c>
      <c r="V366" s="30">
        <f>1828583240</f>
        <v>1828583240</v>
      </c>
      <c r="W366" s="30">
        <f>26420</f>
        <v>26420</v>
      </c>
      <c r="X366" s="34">
        <f>21</f>
        <v>21</v>
      </c>
    </row>
    <row r="367" spans="1:24">
      <c r="A367" s="25" t="s">
        <v>1238</v>
      </c>
      <c r="B367" s="25" t="s">
        <v>815</v>
      </c>
      <c r="C367" s="25" t="s">
        <v>816</v>
      </c>
      <c r="D367" s="25" t="s">
        <v>817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10</v>
      </c>
      <c r="K367" s="31">
        <f>2978.5</f>
        <v>2978.5</v>
      </c>
      <c r="L367" s="32" t="s">
        <v>1239</v>
      </c>
      <c r="M367" s="31">
        <f>3040</f>
        <v>3040</v>
      </c>
      <c r="N367" s="32" t="s">
        <v>755</v>
      </c>
      <c r="O367" s="31">
        <f>2594</f>
        <v>2594</v>
      </c>
      <c r="P367" s="32" t="s">
        <v>852</v>
      </c>
      <c r="Q367" s="31">
        <f>3009</f>
        <v>3009</v>
      </c>
      <c r="R367" s="32" t="s">
        <v>755</v>
      </c>
      <c r="S367" s="33">
        <f>2875.36</f>
        <v>2875.36</v>
      </c>
      <c r="T367" s="39">
        <f>3105240</f>
        <v>3105240</v>
      </c>
      <c r="U367" s="30">
        <f>600</f>
        <v>600</v>
      </c>
      <c r="V367" s="30">
        <f>8710781050</f>
        <v>8710781050</v>
      </c>
      <c r="W367" s="30">
        <f>1629870</f>
        <v>1629870</v>
      </c>
      <c r="X367" s="34">
        <f>21</f>
        <v>21</v>
      </c>
    </row>
    <row r="368" spans="1:24">
      <c r="A368" s="25" t="s">
        <v>1238</v>
      </c>
      <c r="B368" s="25" t="s">
        <v>806</v>
      </c>
      <c r="C368" s="25" t="s">
        <v>807</v>
      </c>
      <c r="D368" s="25" t="s">
        <v>808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5232</f>
        <v>5232</v>
      </c>
      <c r="L368" s="32" t="s">
        <v>1239</v>
      </c>
      <c r="M368" s="31">
        <f>5414</f>
        <v>5414</v>
      </c>
      <c r="N368" s="32" t="s">
        <v>850</v>
      </c>
      <c r="O368" s="31">
        <f>5174</f>
        <v>5174</v>
      </c>
      <c r="P368" s="32" t="s">
        <v>852</v>
      </c>
      <c r="Q368" s="31">
        <f>5379</f>
        <v>5379</v>
      </c>
      <c r="R368" s="32" t="s">
        <v>1078</v>
      </c>
      <c r="S368" s="33">
        <f>5289.08</f>
        <v>5289.08</v>
      </c>
      <c r="T368" s="39">
        <f>132560</f>
        <v>132560</v>
      </c>
      <c r="U368" s="30" t="str">
        <f>"－"</f>
        <v>－</v>
      </c>
      <c r="V368" s="30">
        <f>689586320</f>
        <v>689586320</v>
      </c>
      <c r="W368" s="30" t="str">
        <f>"－"</f>
        <v>－</v>
      </c>
      <c r="X368" s="34">
        <f>12</f>
        <v>12</v>
      </c>
    </row>
    <row r="369" spans="1:24">
      <c r="A369" s="25" t="s">
        <v>1238</v>
      </c>
      <c r="B369" s="25" t="s">
        <v>809</v>
      </c>
      <c r="C369" s="25" t="s">
        <v>810</v>
      </c>
      <c r="D369" s="25" t="s">
        <v>811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10</v>
      </c>
      <c r="K369" s="31">
        <f>4098</f>
        <v>4098</v>
      </c>
      <c r="L369" s="32" t="s">
        <v>852</v>
      </c>
      <c r="M369" s="31">
        <f>4185</f>
        <v>4185</v>
      </c>
      <c r="N369" s="32" t="s">
        <v>756</v>
      </c>
      <c r="O369" s="31">
        <f>4083</f>
        <v>4083</v>
      </c>
      <c r="P369" s="32" t="s">
        <v>852</v>
      </c>
      <c r="Q369" s="31">
        <f>4164</f>
        <v>4164</v>
      </c>
      <c r="R369" s="32" t="s">
        <v>1078</v>
      </c>
      <c r="S369" s="33">
        <f>4136.5</f>
        <v>4136.5</v>
      </c>
      <c r="T369" s="39">
        <f>100</f>
        <v>100</v>
      </c>
      <c r="U369" s="30" t="str">
        <f>"－"</f>
        <v>－</v>
      </c>
      <c r="V369" s="30">
        <f>412210</f>
        <v>412210</v>
      </c>
      <c r="W369" s="30" t="str">
        <f>"－"</f>
        <v>－</v>
      </c>
      <c r="X369" s="34">
        <f>4</f>
        <v>4</v>
      </c>
    </row>
    <row r="370" spans="1:24">
      <c r="A370" s="25" t="s">
        <v>1238</v>
      </c>
      <c r="B370" s="25" t="s">
        <v>818</v>
      </c>
      <c r="C370" s="25" t="s">
        <v>819</v>
      </c>
      <c r="D370" s="25" t="s">
        <v>820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10</v>
      </c>
      <c r="K370" s="31">
        <f>1862.5</f>
        <v>1862.5</v>
      </c>
      <c r="L370" s="32" t="s">
        <v>1239</v>
      </c>
      <c r="M370" s="31">
        <f>1874.5</f>
        <v>1874.5</v>
      </c>
      <c r="N370" s="32" t="s">
        <v>1204</v>
      </c>
      <c r="O370" s="31">
        <f>1795.5</f>
        <v>1795.5</v>
      </c>
      <c r="P370" s="32" t="s">
        <v>738</v>
      </c>
      <c r="Q370" s="31">
        <f>1859</f>
        <v>1859</v>
      </c>
      <c r="R370" s="32" t="s">
        <v>1078</v>
      </c>
      <c r="S370" s="33">
        <f>1845.59</f>
        <v>1845.59</v>
      </c>
      <c r="T370" s="39">
        <f>1010</f>
        <v>1010</v>
      </c>
      <c r="U370" s="30" t="str">
        <f>"－"</f>
        <v>－</v>
      </c>
      <c r="V370" s="30">
        <f>1861075</f>
        <v>1861075</v>
      </c>
      <c r="W370" s="30" t="str">
        <f>"－"</f>
        <v>－</v>
      </c>
      <c r="X370" s="34">
        <f>11</f>
        <v>11</v>
      </c>
    </row>
    <row r="371" spans="1:24">
      <c r="A371" s="25" t="s">
        <v>1238</v>
      </c>
      <c r="B371" s="25" t="s">
        <v>821</v>
      </c>
      <c r="C371" s="25" t="s">
        <v>822</v>
      </c>
      <c r="D371" s="25" t="s">
        <v>823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1220</f>
        <v>1220</v>
      </c>
      <c r="L371" s="32" t="s">
        <v>1239</v>
      </c>
      <c r="M371" s="31">
        <f>1220</f>
        <v>1220</v>
      </c>
      <c r="N371" s="32" t="s">
        <v>1239</v>
      </c>
      <c r="O371" s="31">
        <f>956</f>
        <v>956</v>
      </c>
      <c r="P371" s="32" t="s">
        <v>852</v>
      </c>
      <c r="Q371" s="31">
        <f>1092</f>
        <v>1092</v>
      </c>
      <c r="R371" s="32" t="s">
        <v>755</v>
      </c>
      <c r="S371" s="33">
        <f>1082.57</f>
        <v>1082.57</v>
      </c>
      <c r="T371" s="39">
        <f>19736</f>
        <v>19736</v>
      </c>
      <c r="U371" s="30" t="str">
        <f>"－"</f>
        <v>－</v>
      </c>
      <c r="V371" s="30">
        <f>21158661</f>
        <v>21158661</v>
      </c>
      <c r="W371" s="30" t="str">
        <f>"－"</f>
        <v>－</v>
      </c>
      <c r="X371" s="34">
        <f>21</f>
        <v>21</v>
      </c>
    </row>
    <row r="372" spans="1:24">
      <c r="A372" s="25" t="s">
        <v>1238</v>
      </c>
      <c r="B372" s="25" t="s">
        <v>824</v>
      </c>
      <c r="C372" s="25" t="s">
        <v>825</v>
      </c>
      <c r="D372" s="25" t="s">
        <v>826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1097</f>
        <v>1097</v>
      </c>
      <c r="L372" s="32" t="s">
        <v>1239</v>
      </c>
      <c r="M372" s="31">
        <f>1103</f>
        <v>1103</v>
      </c>
      <c r="N372" s="32" t="s">
        <v>1240</v>
      </c>
      <c r="O372" s="31">
        <f>920</f>
        <v>920</v>
      </c>
      <c r="P372" s="32" t="s">
        <v>852</v>
      </c>
      <c r="Q372" s="31">
        <f>1023</f>
        <v>1023</v>
      </c>
      <c r="R372" s="32" t="s">
        <v>755</v>
      </c>
      <c r="S372" s="33">
        <f>1018.67</f>
        <v>1018.67</v>
      </c>
      <c r="T372" s="39">
        <f>10220664</f>
        <v>10220664</v>
      </c>
      <c r="U372" s="30">
        <f>1247</f>
        <v>1247</v>
      </c>
      <c r="V372" s="30">
        <f>10175174107</f>
        <v>10175174107</v>
      </c>
      <c r="W372" s="30">
        <f>1162953</f>
        <v>1162953</v>
      </c>
      <c r="X372" s="34">
        <f>21</f>
        <v>21</v>
      </c>
    </row>
    <row r="373" spans="1:24">
      <c r="A373" s="25" t="s">
        <v>1238</v>
      </c>
      <c r="B373" s="25" t="s">
        <v>827</v>
      </c>
      <c r="C373" s="25" t="s">
        <v>828</v>
      </c>
      <c r="D373" s="25" t="s">
        <v>829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962</f>
        <v>962</v>
      </c>
      <c r="L373" s="32" t="s">
        <v>1239</v>
      </c>
      <c r="M373" s="31">
        <f>962</f>
        <v>962</v>
      </c>
      <c r="N373" s="32" t="s">
        <v>1239</v>
      </c>
      <c r="O373" s="31">
        <f>855</f>
        <v>855</v>
      </c>
      <c r="P373" s="32" t="s">
        <v>850</v>
      </c>
      <c r="Q373" s="31">
        <f>900</f>
        <v>900</v>
      </c>
      <c r="R373" s="32" t="s">
        <v>755</v>
      </c>
      <c r="S373" s="33">
        <f>898.95</f>
        <v>898.95</v>
      </c>
      <c r="T373" s="39">
        <f>2309639</f>
        <v>2309639</v>
      </c>
      <c r="U373" s="30">
        <f>240</f>
        <v>240</v>
      </c>
      <c r="V373" s="30">
        <f>2071362976</f>
        <v>2071362976</v>
      </c>
      <c r="W373" s="30">
        <f>199530</f>
        <v>199530</v>
      </c>
      <c r="X373" s="34">
        <f>21</f>
        <v>21</v>
      </c>
    </row>
    <row r="374" spans="1:24">
      <c r="A374" s="25" t="s">
        <v>1238</v>
      </c>
      <c r="B374" s="25" t="s">
        <v>834</v>
      </c>
      <c r="C374" s="25" t="s">
        <v>835</v>
      </c>
      <c r="D374" s="25" t="s">
        <v>836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990</f>
        <v>990</v>
      </c>
      <c r="L374" s="32" t="s">
        <v>1239</v>
      </c>
      <c r="M374" s="31">
        <f>1201</f>
        <v>1201</v>
      </c>
      <c r="N374" s="32" t="s">
        <v>1080</v>
      </c>
      <c r="O374" s="31">
        <f>798</f>
        <v>798</v>
      </c>
      <c r="P374" s="32" t="s">
        <v>852</v>
      </c>
      <c r="Q374" s="31">
        <f>944</f>
        <v>944</v>
      </c>
      <c r="R374" s="32" t="s">
        <v>755</v>
      </c>
      <c r="S374" s="33">
        <f>933.57</f>
        <v>933.57</v>
      </c>
      <c r="T374" s="39">
        <f>35512</f>
        <v>35512</v>
      </c>
      <c r="U374" s="30" t="str">
        <f>"－"</f>
        <v>－</v>
      </c>
      <c r="V374" s="30">
        <f>33801541</f>
        <v>33801541</v>
      </c>
      <c r="W374" s="30" t="str">
        <f>"－"</f>
        <v>－</v>
      </c>
      <c r="X374" s="34">
        <f>21</f>
        <v>21</v>
      </c>
    </row>
    <row r="375" spans="1:24">
      <c r="A375" s="25" t="s">
        <v>1238</v>
      </c>
      <c r="B375" s="25" t="s">
        <v>837</v>
      </c>
      <c r="C375" s="25" t="s">
        <v>838</v>
      </c>
      <c r="D375" s="25" t="s">
        <v>839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1026</f>
        <v>1026</v>
      </c>
      <c r="L375" s="32" t="s">
        <v>1239</v>
      </c>
      <c r="M375" s="31">
        <f>1029</f>
        <v>1029</v>
      </c>
      <c r="N375" s="32" t="s">
        <v>1240</v>
      </c>
      <c r="O375" s="31">
        <f>865</f>
        <v>865</v>
      </c>
      <c r="P375" s="32" t="s">
        <v>852</v>
      </c>
      <c r="Q375" s="31">
        <f>950</f>
        <v>950</v>
      </c>
      <c r="R375" s="32" t="s">
        <v>755</v>
      </c>
      <c r="S375" s="33">
        <f>945.52</f>
        <v>945.52</v>
      </c>
      <c r="T375" s="39">
        <f>2572527</f>
        <v>2572527</v>
      </c>
      <c r="U375" s="30">
        <f>131</f>
        <v>131</v>
      </c>
      <c r="V375" s="30">
        <f>2408334838</f>
        <v>2408334838</v>
      </c>
      <c r="W375" s="30">
        <f>113694</f>
        <v>113694</v>
      </c>
      <c r="X375" s="34">
        <f>21</f>
        <v>21</v>
      </c>
    </row>
    <row r="376" spans="1:24">
      <c r="A376" s="25" t="s">
        <v>1238</v>
      </c>
      <c r="B376" s="25" t="s">
        <v>840</v>
      </c>
      <c r="C376" s="25" t="s">
        <v>841</v>
      </c>
      <c r="D376" s="25" t="s">
        <v>922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37490</f>
        <v>37490</v>
      </c>
      <c r="L376" s="32" t="s">
        <v>1239</v>
      </c>
      <c r="M376" s="31">
        <f>38490</f>
        <v>38490</v>
      </c>
      <c r="N376" s="32" t="s">
        <v>1240</v>
      </c>
      <c r="O376" s="31">
        <f>27850</f>
        <v>27850</v>
      </c>
      <c r="P376" s="32" t="s">
        <v>1079</v>
      </c>
      <c r="Q376" s="31">
        <f>37550</f>
        <v>37550</v>
      </c>
      <c r="R376" s="32" t="s">
        <v>755</v>
      </c>
      <c r="S376" s="33">
        <f>34371.67</f>
        <v>34371.67</v>
      </c>
      <c r="T376" s="39">
        <f>753226</f>
        <v>753226</v>
      </c>
      <c r="U376" s="30">
        <f>1104</f>
        <v>1104</v>
      </c>
      <c r="V376" s="30">
        <f>24961914780</f>
        <v>24961914780</v>
      </c>
      <c r="W376" s="30">
        <f>36469120</f>
        <v>36469120</v>
      </c>
      <c r="X376" s="34">
        <f>21</f>
        <v>21</v>
      </c>
    </row>
    <row r="377" spans="1:24">
      <c r="A377" s="25" t="s">
        <v>1238</v>
      </c>
      <c r="B377" s="25" t="s">
        <v>842</v>
      </c>
      <c r="C377" s="25" t="s">
        <v>843</v>
      </c>
      <c r="D377" s="25" t="s">
        <v>923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20800</f>
        <v>20800</v>
      </c>
      <c r="L377" s="32" t="s">
        <v>1239</v>
      </c>
      <c r="M377" s="31">
        <f>27160</f>
        <v>27160</v>
      </c>
      <c r="N377" s="32" t="s">
        <v>1079</v>
      </c>
      <c r="O377" s="31">
        <f>18105</f>
        <v>18105</v>
      </c>
      <c r="P377" s="32" t="s">
        <v>755</v>
      </c>
      <c r="Q377" s="31">
        <f>18135</f>
        <v>18135</v>
      </c>
      <c r="R377" s="32" t="s">
        <v>755</v>
      </c>
      <c r="S377" s="33">
        <f>21037.14</f>
        <v>21037.14</v>
      </c>
      <c r="T377" s="39">
        <f>1197325</f>
        <v>1197325</v>
      </c>
      <c r="U377" s="30">
        <f>117</f>
        <v>117</v>
      </c>
      <c r="V377" s="30">
        <f>26649937540</f>
        <v>26649937540</v>
      </c>
      <c r="W377" s="30">
        <f>2502175</f>
        <v>2502175</v>
      </c>
      <c r="X377" s="34">
        <f>21</f>
        <v>21</v>
      </c>
    </row>
    <row r="378" spans="1:24">
      <c r="A378" s="25" t="s">
        <v>1238</v>
      </c>
      <c r="B378" s="25" t="s">
        <v>1173</v>
      </c>
      <c r="C378" s="25" t="s">
        <v>1174</v>
      </c>
      <c r="D378" s="25" t="s">
        <v>1175</v>
      </c>
      <c r="E378" s="26" t="s">
        <v>43</v>
      </c>
      <c r="F378" s="27" t="s">
        <v>43</v>
      </c>
      <c r="G378" s="28" t="s">
        <v>43</v>
      </c>
      <c r="H378" s="29"/>
      <c r="I378" s="29" t="s">
        <v>44</v>
      </c>
      <c r="J378" s="30">
        <v>1</v>
      </c>
      <c r="K378" s="31">
        <f>1999</f>
        <v>1999</v>
      </c>
      <c r="L378" s="32" t="s">
        <v>1239</v>
      </c>
      <c r="M378" s="31">
        <f>2226</f>
        <v>2226</v>
      </c>
      <c r="N378" s="32" t="s">
        <v>1079</v>
      </c>
      <c r="O378" s="31">
        <f>1706</f>
        <v>1706</v>
      </c>
      <c r="P378" s="32" t="s">
        <v>1079</v>
      </c>
      <c r="Q378" s="31">
        <f>1997</f>
        <v>1997</v>
      </c>
      <c r="R378" s="32" t="s">
        <v>755</v>
      </c>
      <c r="S378" s="33">
        <f>1880.39</f>
        <v>1880.39</v>
      </c>
      <c r="T378" s="39">
        <f>1237</f>
        <v>1237</v>
      </c>
      <c r="U378" s="30" t="str">
        <f>"－"</f>
        <v>－</v>
      </c>
      <c r="V378" s="30">
        <f>2260199</f>
        <v>2260199</v>
      </c>
      <c r="W378" s="30" t="str">
        <f>"－"</f>
        <v>－</v>
      </c>
      <c r="X378" s="34">
        <f>18</f>
        <v>18</v>
      </c>
    </row>
    <row r="379" spans="1:24">
      <c r="A379" s="25" t="s">
        <v>1238</v>
      </c>
      <c r="B379" s="25" t="s">
        <v>1176</v>
      </c>
      <c r="C379" s="25" t="s">
        <v>1177</v>
      </c>
      <c r="D379" s="25" t="s">
        <v>1178</v>
      </c>
      <c r="E379" s="26" t="s">
        <v>43</v>
      </c>
      <c r="F379" s="27" t="s">
        <v>43</v>
      </c>
      <c r="G379" s="28" t="s">
        <v>43</v>
      </c>
      <c r="H379" s="29"/>
      <c r="I379" s="29" t="s">
        <v>44</v>
      </c>
      <c r="J379" s="30">
        <v>1</v>
      </c>
      <c r="K379" s="31">
        <f>10060</f>
        <v>10060</v>
      </c>
      <c r="L379" s="32" t="s">
        <v>1239</v>
      </c>
      <c r="M379" s="31">
        <f>10060</f>
        <v>10060</v>
      </c>
      <c r="N379" s="32" t="s">
        <v>1239</v>
      </c>
      <c r="O379" s="31">
        <f>8030</f>
        <v>8030</v>
      </c>
      <c r="P379" s="32" t="s">
        <v>1079</v>
      </c>
      <c r="Q379" s="31">
        <f>9245</f>
        <v>9245</v>
      </c>
      <c r="R379" s="32" t="s">
        <v>755</v>
      </c>
      <c r="S379" s="33">
        <f>9282.62</f>
        <v>9282.6200000000008</v>
      </c>
      <c r="T379" s="39">
        <f>5274</f>
        <v>5274</v>
      </c>
      <c r="U379" s="30">
        <f>1</f>
        <v>1</v>
      </c>
      <c r="V379" s="30">
        <f>47567703</f>
        <v>47567703</v>
      </c>
      <c r="W379" s="30">
        <f>9970</f>
        <v>9970</v>
      </c>
      <c r="X379" s="34">
        <f>21</f>
        <v>21</v>
      </c>
    </row>
    <row r="380" spans="1:24">
      <c r="A380" s="25" t="s">
        <v>1238</v>
      </c>
      <c r="B380" s="25" t="s">
        <v>1180</v>
      </c>
      <c r="C380" s="25" t="s">
        <v>1181</v>
      </c>
      <c r="D380" s="25" t="s">
        <v>1182</v>
      </c>
      <c r="E380" s="26" t="s">
        <v>43</v>
      </c>
      <c r="F380" s="27" t="s">
        <v>43</v>
      </c>
      <c r="G380" s="28" t="s">
        <v>43</v>
      </c>
      <c r="H380" s="29"/>
      <c r="I380" s="29" t="s">
        <v>44</v>
      </c>
      <c r="J380" s="30">
        <v>10</v>
      </c>
      <c r="K380" s="31">
        <f>175</f>
        <v>175</v>
      </c>
      <c r="L380" s="32" t="s">
        <v>1239</v>
      </c>
      <c r="M380" s="31">
        <f>177.2</f>
        <v>177.2</v>
      </c>
      <c r="N380" s="32" t="s">
        <v>1240</v>
      </c>
      <c r="O380" s="31">
        <f>146.1</f>
        <v>146.1</v>
      </c>
      <c r="P380" s="32" t="s">
        <v>1079</v>
      </c>
      <c r="Q380" s="31">
        <f>167.6</f>
        <v>167.6</v>
      </c>
      <c r="R380" s="32" t="s">
        <v>755</v>
      </c>
      <c r="S380" s="33">
        <f>162.87</f>
        <v>162.87</v>
      </c>
      <c r="T380" s="39">
        <f>16638870</f>
        <v>16638870</v>
      </c>
      <c r="U380" s="30">
        <f>3120</f>
        <v>3120</v>
      </c>
      <c r="V380" s="30">
        <f>2669799403</f>
        <v>2669799403</v>
      </c>
      <c r="W380" s="30">
        <f>520325</f>
        <v>520325</v>
      </c>
      <c r="X380" s="34">
        <f>21</f>
        <v>21</v>
      </c>
    </row>
    <row r="381" spans="1:24">
      <c r="A381" s="25" t="s">
        <v>1238</v>
      </c>
      <c r="B381" s="25" t="s">
        <v>1184</v>
      </c>
      <c r="C381" s="25" t="s">
        <v>1185</v>
      </c>
      <c r="D381" s="25" t="s">
        <v>1186</v>
      </c>
      <c r="E381" s="26" t="s">
        <v>43</v>
      </c>
      <c r="F381" s="27" t="s">
        <v>43</v>
      </c>
      <c r="G381" s="28" t="s">
        <v>43</v>
      </c>
      <c r="H381" s="29"/>
      <c r="I381" s="29" t="s">
        <v>44</v>
      </c>
      <c r="J381" s="30">
        <v>10</v>
      </c>
      <c r="K381" s="31">
        <f>223.6</f>
        <v>223.6</v>
      </c>
      <c r="L381" s="32" t="s">
        <v>1239</v>
      </c>
      <c r="M381" s="31">
        <f>233.2</f>
        <v>233.2</v>
      </c>
      <c r="N381" s="32" t="s">
        <v>850</v>
      </c>
      <c r="O381" s="31">
        <f>205.2</f>
        <v>205.2</v>
      </c>
      <c r="P381" s="32" t="s">
        <v>1079</v>
      </c>
      <c r="Q381" s="31">
        <f>224.1</f>
        <v>224.1</v>
      </c>
      <c r="R381" s="32" t="s">
        <v>755</v>
      </c>
      <c r="S381" s="33">
        <f>221.15</f>
        <v>221.15</v>
      </c>
      <c r="T381" s="39">
        <f>33545440</f>
        <v>33545440</v>
      </c>
      <c r="U381" s="30">
        <f>8144290</f>
        <v>8144290</v>
      </c>
      <c r="V381" s="30">
        <f>7453907918</f>
        <v>7453907918</v>
      </c>
      <c r="W381" s="30">
        <f>1829659315</f>
        <v>1829659315</v>
      </c>
      <c r="X381" s="34">
        <f>21</f>
        <v>21</v>
      </c>
    </row>
    <row r="382" spans="1:24">
      <c r="A382" s="25" t="s">
        <v>1238</v>
      </c>
      <c r="B382" s="25" t="s">
        <v>1187</v>
      </c>
      <c r="C382" s="25" t="s">
        <v>1188</v>
      </c>
      <c r="D382" s="25" t="s">
        <v>1189</v>
      </c>
      <c r="E382" s="26" t="s">
        <v>43</v>
      </c>
      <c r="F382" s="27" t="s">
        <v>43</v>
      </c>
      <c r="G382" s="28" t="s">
        <v>43</v>
      </c>
      <c r="H382" s="29"/>
      <c r="I382" s="29" t="s">
        <v>44</v>
      </c>
      <c r="J382" s="30">
        <v>1</v>
      </c>
      <c r="K382" s="31">
        <f>1054</f>
        <v>1054</v>
      </c>
      <c r="L382" s="32" t="s">
        <v>1239</v>
      </c>
      <c r="M382" s="31">
        <f>1054</f>
        <v>1054</v>
      </c>
      <c r="N382" s="32" t="s">
        <v>1239</v>
      </c>
      <c r="O382" s="31">
        <f>711</f>
        <v>711</v>
      </c>
      <c r="P382" s="32" t="s">
        <v>1079</v>
      </c>
      <c r="Q382" s="31">
        <f>925</f>
        <v>925</v>
      </c>
      <c r="R382" s="32" t="s">
        <v>755</v>
      </c>
      <c r="S382" s="33">
        <f>888.62</f>
        <v>888.62</v>
      </c>
      <c r="T382" s="39">
        <f>2351936</f>
        <v>2351936</v>
      </c>
      <c r="U382" s="30">
        <f>360443</f>
        <v>360443</v>
      </c>
      <c r="V382" s="30">
        <f>2092941979</f>
        <v>2092941979</v>
      </c>
      <c r="W382" s="30">
        <f>310178560</f>
        <v>310178560</v>
      </c>
      <c r="X382" s="34">
        <f>21</f>
        <v>21</v>
      </c>
    </row>
    <row r="383" spans="1:24">
      <c r="A383" s="25" t="s">
        <v>1238</v>
      </c>
      <c r="B383" s="25" t="s">
        <v>1191</v>
      </c>
      <c r="C383" s="25" t="s">
        <v>1192</v>
      </c>
      <c r="D383" s="25" t="s">
        <v>1193</v>
      </c>
      <c r="E383" s="26" t="s">
        <v>43</v>
      </c>
      <c r="F383" s="27" t="s">
        <v>43</v>
      </c>
      <c r="G383" s="28" t="s">
        <v>43</v>
      </c>
      <c r="H383" s="29"/>
      <c r="I383" s="29" t="s">
        <v>44</v>
      </c>
      <c r="J383" s="30">
        <v>1</v>
      </c>
      <c r="K383" s="31">
        <f>1593</f>
        <v>1593</v>
      </c>
      <c r="L383" s="32" t="s">
        <v>1239</v>
      </c>
      <c r="M383" s="31">
        <f>1645</f>
        <v>1645</v>
      </c>
      <c r="N383" s="32" t="s">
        <v>1210</v>
      </c>
      <c r="O383" s="31">
        <f>1307</f>
        <v>1307</v>
      </c>
      <c r="P383" s="32" t="s">
        <v>1079</v>
      </c>
      <c r="Q383" s="31">
        <f>1630</f>
        <v>1630</v>
      </c>
      <c r="R383" s="32" t="s">
        <v>755</v>
      </c>
      <c r="S383" s="33">
        <f>1520.71</f>
        <v>1520.71</v>
      </c>
      <c r="T383" s="39">
        <f>17195418</f>
        <v>17195418</v>
      </c>
      <c r="U383" s="30">
        <f>2587</f>
        <v>2587</v>
      </c>
      <c r="V383" s="30">
        <f>25719925960</f>
        <v>25719925960</v>
      </c>
      <c r="W383" s="30">
        <f>3988491</f>
        <v>3988491</v>
      </c>
      <c r="X383" s="34">
        <f>21</f>
        <v>21</v>
      </c>
    </row>
    <row r="384" spans="1:24">
      <c r="A384" s="25" t="s">
        <v>1238</v>
      </c>
      <c r="B384" s="25" t="s">
        <v>1195</v>
      </c>
      <c r="C384" s="25" t="s">
        <v>1196</v>
      </c>
      <c r="D384" s="25" t="s">
        <v>1197</v>
      </c>
      <c r="E384" s="26" t="s">
        <v>43</v>
      </c>
      <c r="F384" s="27" t="s">
        <v>43</v>
      </c>
      <c r="G384" s="28" t="s">
        <v>43</v>
      </c>
      <c r="H384" s="29"/>
      <c r="I384" s="29" t="s">
        <v>44</v>
      </c>
      <c r="J384" s="30">
        <v>10</v>
      </c>
      <c r="K384" s="31">
        <f>1030</f>
        <v>1030</v>
      </c>
      <c r="L384" s="32" t="s">
        <v>1239</v>
      </c>
      <c r="M384" s="31">
        <f>1710</f>
        <v>1710</v>
      </c>
      <c r="N384" s="32" t="s">
        <v>852</v>
      </c>
      <c r="O384" s="31">
        <f>1016.5</f>
        <v>1016.5</v>
      </c>
      <c r="P384" s="32" t="s">
        <v>1240</v>
      </c>
      <c r="Q384" s="31">
        <f>1190</f>
        <v>1190</v>
      </c>
      <c r="R384" s="32" t="s">
        <v>755</v>
      </c>
      <c r="S384" s="33">
        <f>1305.31</f>
        <v>1305.31</v>
      </c>
      <c r="T384" s="39">
        <f>8866420</f>
        <v>8866420</v>
      </c>
      <c r="U384" s="30">
        <f>540</f>
        <v>540</v>
      </c>
      <c r="V384" s="30">
        <f>11608525030</f>
        <v>11608525030</v>
      </c>
      <c r="W384" s="30">
        <f>636890</f>
        <v>636890</v>
      </c>
      <c r="X384" s="34">
        <f>21</f>
        <v>21</v>
      </c>
    </row>
    <row r="385" spans="1:24">
      <c r="A385" s="25" t="s">
        <v>1238</v>
      </c>
      <c r="B385" s="25" t="s">
        <v>1202</v>
      </c>
      <c r="C385" s="25" t="s">
        <v>1201</v>
      </c>
      <c r="D385" s="25" t="s">
        <v>1200</v>
      </c>
      <c r="E385" s="26" t="s">
        <v>43</v>
      </c>
      <c r="F385" s="27" t="s">
        <v>43</v>
      </c>
      <c r="G385" s="28" t="s">
        <v>43</v>
      </c>
      <c r="H385" s="29"/>
      <c r="I385" s="29" t="s">
        <v>44</v>
      </c>
      <c r="J385" s="30">
        <v>1</v>
      </c>
      <c r="K385" s="31">
        <f>1027</f>
        <v>1027</v>
      </c>
      <c r="L385" s="32" t="s">
        <v>1239</v>
      </c>
      <c r="M385" s="31">
        <f>1084</f>
        <v>1084</v>
      </c>
      <c r="N385" s="32" t="s">
        <v>755</v>
      </c>
      <c r="O385" s="31">
        <f>920</f>
        <v>920</v>
      </c>
      <c r="P385" s="32" t="s">
        <v>1079</v>
      </c>
      <c r="Q385" s="31">
        <f>1080</f>
        <v>1080</v>
      </c>
      <c r="R385" s="32" t="s">
        <v>755</v>
      </c>
      <c r="S385" s="33">
        <f>1011.71</f>
        <v>1011.71</v>
      </c>
      <c r="T385" s="39">
        <f>176190</f>
        <v>176190</v>
      </c>
      <c r="U385" s="30">
        <f>80000</f>
        <v>80000</v>
      </c>
      <c r="V385" s="30">
        <f>178811359</f>
        <v>178811359</v>
      </c>
      <c r="W385" s="30">
        <f>82239704</f>
        <v>82239704</v>
      </c>
      <c r="X385" s="34">
        <f>21</f>
        <v>21</v>
      </c>
    </row>
    <row r="386" spans="1:24">
      <c r="A386" s="25" t="s">
        <v>1238</v>
      </c>
      <c r="B386" s="25" t="s">
        <v>1223</v>
      </c>
      <c r="C386" s="25" t="s">
        <v>1224</v>
      </c>
      <c r="D386" s="25" t="s">
        <v>1225</v>
      </c>
      <c r="E386" s="26" t="s">
        <v>43</v>
      </c>
      <c r="F386" s="27" t="s">
        <v>43</v>
      </c>
      <c r="G386" s="28" t="s">
        <v>43</v>
      </c>
      <c r="H386" s="29"/>
      <c r="I386" s="29" t="s">
        <v>452</v>
      </c>
      <c r="J386" s="30">
        <v>1</v>
      </c>
      <c r="K386" s="31">
        <f>9980</f>
        <v>9980</v>
      </c>
      <c r="L386" s="32" t="s">
        <v>1239</v>
      </c>
      <c r="M386" s="31">
        <f>9980</f>
        <v>9980</v>
      </c>
      <c r="N386" s="32" t="s">
        <v>1239</v>
      </c>
      <c r="O386" s="31">
        <f>8510</f>
        <v>8510</v>
      </c>
      <c r="P386" s="32" t="s">
        <v>1079</v>
      </c>
      <c r="Q386" s="31">
        <f>9906</f>
        <v>9906</v>
      </c>
      <c r="R386" s="32" t="s">
        <v>755</v>
      </c>
      <c r="S386" s="33">
        <f>9506.76</f>
        <v>9506.76</v>
      </c>
      <c r="T386" s="39">
        <f>14109</f>
        <v>14109</v>
      </c>
      <c r="U386" s="30" t="str">
        <f>"－"</f>
        <v>－</v>
      </c>
      <c r="V386" s="30">
        <f>131828534</f>
        <v>131828534</v>
      </c>
      <c r="W386" s="30" t="str">
        <f>"－"</f>
        <v>－</v>
      </c>
      <c r="X386" s="34">
        <f>21</f>
        <v>21</v>
      </c>
    </row>
    <row r="387" spans="1:24">
      <c r="A387" s="25" t="s">
        <v>1238</v>
      </c>
      <c r="B387" s="25" t="s">
        <v>1227</v>
      </c>
      <c r="C387" s="25" t="s">
        <v>1228</v>
      </c>
      <c r="D387" s="25" t="s">
        <v>1229</v>
      </c>
      <c r="E387" s="26" t="s">
        <v>43</v>
      </c>
      <c r="F387" s="27" t="s">
        <v>43</v>
      </c>
      <c r="G387" s="28" t="s">
        <v>43</v>
      </c>
      <c r="H387" s="29"/>
      <c r="I387" s="29" t="s">
        <v>44</v>
      </c>
      <c r="J387" s="30">
        <v>1</v>
      </c>
      <c r="K387" s="31">
        <f>1823</f>
        <v>1823</v>
      </c>
      <c r="L387" s="32" t="s">
        <v>1239</v>
      </c>
      <c r="M387" s="31">
        <f>1840</f>
        <v>1840</v>
      </c>
      <c r="N387" s="32" t="s">
        <v>1240</v>
      </c>
      <c r="O387" s="31">
        <f>1366</f>
        <v>1366</v>
      </c>
      <c r="P387" s="32" t="s">
        <v>1079</v>
      </c>
      <c r="Q387" s="31">
        <f>1739</f>
        <v>1739</v>
      </c>
      <c r="R387" s="32" t="s">
        <v>755</v>
      </c>
      <c r="S387" s="33">
        <f>1677.71</f>
        <v>1677.71</v>
      </c>
      <c r="T387" s="39">
        <f>2017454</f>
        <v>2017454</v>
      </c>
      <c r="U387" s="30" t="str">
        <f>"－"</f>
        <v>－</v>
      </c>
      <c r="V387" s="30">
        <f>3344502757</f>
        <v>3344502757</v>
      </c>
      <c r="W387" s="30" t="str">
        <f>"－"</f>
        <v>－</v>
      </c>
      <c r="X387" s="34">
        <f>21</f>
        <v>21</v>
      </c>
    </row>
    <row r="388" spans="1:24">
      <c r="A388" s="25" t="s">
        <v>1238</v>
      </c>
      <c r="B388" s="25" t="s">
        <v>1231</v>
      </c>
      <c r="C388" s="25" t="s">
        <v>1232</v>
      </c>
      <c r="D388" s="25" t="s">
        <v>1233</v>
      </c>
      <c r="E388" s="26" t="s">
        <v>43</v>
      </c>
      <c r="F388" s="27" t="s">
        <v>43</v>
      </c>
      <c r="G388" s="28" t="s">
        <v>43</v>
      </c>
      <c r="H388" s="29"/>
      <c r="I388" s="29" t="s">
        <v>44</v>
      </c>
      <c r="J388" s="30">
        <v>10</v>
      </c>
      <c r="K388" s="31">
        <f>198</f>
        <v>198</v>
      </c>
      <c r="L388" s="32" t="s">
        <v>1239</v>
      </c>
      <c r="M388" s="31">
        <f>198</f>
        <v>198</v>
      </c>
      <c r="N388" s="32" t="s">
        <v>1239</v>
      </c>
      <c r="O388" s="31">
        <f>165.1</f>
        <v>165.1</v>
      </c>
      <c r="P388" s="32" t="s">
        <v>1079</v>
      </c>
      <c r="Q388" s="31">
        <f>192.8</f>
        <v>192.8</v>
      </c>
      <c r="R388" s="32" t="s">
        <v>755</v>
      </c>
      <c r="S388" s="33">
        <f>185.75</f>
        <v>185.75</v>
      </c>
      <c r="T388" s="39">
        <f>3015110</f>
        <v>3015110</v>
      </c>
      <c r="U388" s="30">
        <f>280</f>
        <v>280</v>
      </c>
      <c r="V388" s="30">
        <f>558538659</f>
        <v>558538659</v>
      </c>
      <c r="W388" s="30">
        <f>48950</f>
        <v>48950</v>
      </c>
      <c r="X388" s="34">
        <f>21</f>
        <v>21</v>
      </c>
    </row>
    <row r="389" spans="1:24">
      <c r="A389" s="25" t="s">
        <v>1238</v>
      </c>
      <c r="B389" s="25" t="s">
        <v>1234</v>
      </c>
      <c r="C389" s="25" t="s">
        <v>1235</v>
      </c>
      <c r="D389" s="25" t="s">
        <v>1236</v>
      </c>
      <c r="E389" s="26" t="s">
        <v>43</v>
      </c>
      <c r="F389" s="27" t="s">
        <v>43</v>
      </c>
      <c r="G389" s="28" t="s">
        <v>43</v>
      </c>
      <c r="H389" s="29"/>
      <c r="I389" s="29" t="s">
        <v>44</v>
      </c>
      <c r="J389" s="30">
        <v>10</v>
      </c>
      <c r="K389" s="31">
        <f>486.2</f>
        <v>486.2</v>
      </c>
      <c r="L389" s="32" t="s">
        <v>1239</v>
      </c>
      <c r="M389" s="31">
        <f>487</f>
        <v>487</v>
      </c>
      <c r="N389" s="32" t="s">
        <v>1239</v>
      </c>
      <c r="O389" s="31">
        <f>387</f>
        <v>387</v>
      </c>
      <c r="P389" s="32" t="s">
        <v>1079</v>
      </c>
      <c r="Q389" s="31">
        <f>481.4</f>
        <v>481.4</v>
      </c>
      <c r="R389" s="32" t="s">
        <v>755</v>
      </c>
      <c r="S389" s="33">
        <f>457.21</f>
        <v>457.21</v>
      </c>
      <c r="T389" s="39">
        <f>957620</f>
        <v>957620</v>
      </c>
      <c r="U389" s="30" t="str">
        <f>"－"</f>
        <v>－</v>
      </c>
      <c r="V389" s="30">
        <f>439517464</f>
        <v>439517464</v>
      </c>
      <c r="W389" s="30" t="str">
        <f>"－"</f>
        <v>－</v>
      </c>
      <c r="X389" s="34">
        <f>21</f>
        <v>21</v>
      </c>
    </row>
    <row r="390" spans="1:24">
      <c r="A390" s="25" t="s">
        <v>1238</v>
      </c>
      <c r="B390" s="25" t="s">
        <v>1242</v>
      </c>
      <c r="C390" s="25" t="s">
        <v>1243</v>
      </c>
      <c r="D390" s="25" t="s">
        <v>1244</v>
      </c>
      <c r="E390" s="26" t="s">
        <v>659</v>
      </c>
      <c r="F390" s="27" t="s">
        <v>660</v>
      </c>
      <c r="G390" s="28" t="s">
        <v>1245</v>
      </c>
      <c r="H390" s="29"/>
      <c r="I390" s="29" t="s">
        <v>44</v>
      </c>
      <c r="J390" s="30">
        <v>1</v>
      </c>
      <c r="K390" s="31">
        <f>2011</f>
        <v>2011</v>
      </c>
      <c r="L390" s="32" t="s">
        <v>662</v>
      </c>
      <c r="M390" s="31">
        <f>2121</f>
        <v>2121</v>
      </c>
      <c r="N390" s="32" t="s">
        <v>1078</v>
      </c>
      <c r="O390" s="31">
        <f>2011</f>
        <v>2011</v>
      </c>
      <c r="P390" s="32" t="s">
        <v>662</v>
      </c>
      <c r="Q390" s="31">
        <f>2107</f>
        <v>2107</v>
      </c>
      <c r="R390" s="32" t="s">
        <v>755</v>
      </c>
      <c r="S390" s="33">
        <f>2067.67</f>
        <v>2067.67</v>
      </c>
      <c r="T390" s="39">
        <f>101740</f>
        <v>101740</v>
      </c>
      <c r="U390" s="30">
        <f>30000</f>
        <v>30000</v>
      </c>
      <c r="V390" s="30">
        <f>210843900</f>
        <v>210843900</v>
      </c>
      <c r="W390" s="30">
        <f>63155169</f>
        <v>63155169</v>
      </c>
      <c r="X390" s="34">
        <f>9</f>
        <v>9</v>
      </c>
    </row>
    <row r="391" spans="1:24">
      <c r="A391" s="25" t="s">
        <v>1238</v>
      </c>
      <c r="B391" s="25" t="s">
        <v>1246</v>
      </c>
      <c r="C391" s="25" t="s">
        <v>1247</v>
      </c>
      <c r="D391" s="25" t="s">
        <v>1248</v>
      </c>
      <c r="E391" s="26" t="s">
        <v>659</v>
      </c>
      <c r="F391" s="27" t="s">
        <v>660</v>
      </c>
      <c r="G391" s="28" t="s">
        <v>1249</v>
      </c>
      <c r="H391" s="29"/>
      <c r="I391" s="29" t="s">
        <v>44</v>
      </c>
      <c r="J391" s="30">
        <v>1</v>
      </c>
      <c r="K391" s="31">
        <f>996</f>
        <v>996</v>
      </c>
      <c r="L391" s="32" t="s">
        <v>739</v>
      </c>
      <c r="M391" s="31">
        <f>1041</f>
        <v>1041</v>
      </c>
      <c r="N391" s="32" t="s">
        <v>755</v>
      </c>
      <c r="O391" s="31">
        <f>940</f>
        <v>940</v>
      </c>
      <c r="P391" s="32" t="s">
        <v>850</v>
      </c>
      <c r="Q391" s="31">
        <f>1033</f>
        <v>1033</v>
      </c>
      <c r="R391" s="32" t="s">
        <v>755</v>
      </c>
      <c r="S391" s="33">
        <f>992</f>
        <v>992</v>
      </c>
      <c r="T391" s="39">
        <f>44772</f>
        <v>44772</v>
      </c>
      <c r="U391" s="30" t="str">
        <f>"－"</f>
        <v>－</v>
      </c>
      <c r="V391" s="30">
        <f>44412952</f>
        <v>44412952</v>
      </c>
      <c r="W391" s="30" t="str">
        <f>"－"</f>
        <v>－</v>
      </c>
      <c r="X391" s="34">
        <f>10</f>
        <v>10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01BBB-95C7-42B5-88A6-C406CE11CDC5}">
  <sheetPr>
    <pageSetUpPr fitToPage="1"/>
  </sheetPr>
  <dimension ref="A1:X389"/>
  <sheetViews>
    <sheetView showGridLines="0" view="pageBreakPreview" zoomScaleNormal="70" zoomScaleSheetLayoutView="100" workbookViewId="0">
      <pane ySplit="6" topLeftCell="A15" activePane="bottomLeft" state="frozen"/>
      <selection pane="bottomLeft"/>
    </sheetView>
  </sheetViews>
  <sheetFormatPr defaultColWidth="8.125" defaultRowHeight="17.649999999999999"/>
  <cols>
    <col min="1" max="1" width="11.75" style="3" bestFit="1" customWidth="1"/>
    <col min="2" max="2" width="9.75" style="3" bestFit="1" customWidth="1"/>
    <col min="3" max="4" width="24.875" style="3" customWidth="1"/>
    <col min="5" max="5" width="12.375" style="3" bestFit="1" customWidth="1"/>
    <col min="6" max="6" width="18.75" style="3" bestFit="1" customWidth="1"/>
    <col min="7" max="7" width="10.125" style="3" customWidth="1"/>
    <col min="8" max="8" width="7.875" style="3" bestFit="1" customWidth="1"/>
    <col min="9" max="9" width="10.625" style="3" bestFit="1" customWidth="1"/>
    <col min="10" max="10" width="11.375" style="3" bestFit="1" customWidth="1"/>
    <col min="11" max="11" width="14.625" style="3" customWidth="1"/>
    <col min="12" max="12" width="5.125" style="3" bestFit="1" customWidth="1"/>
    <col min="13" max="13" width="14.625" style="3" customWidth="1"/>
    <col min="14" max="14" width="5.125" style="3" bestFit="1" customWidth="1"/>
    <col min="15" max="15" width="14.625" style="3" customWidth="1"/>
    <col min="16" max="16" width="5.125" style="3" bestFit="1" customWidth="1"/>
    <col min="17" max="17" width="14.625" style="3" customWidth="1"/>
    <col min="18" max="18" width="5.125" style="3" bestFit="1" customWidth="1"/>
    <col min="19" max="19" width="21.5" style="3" bestFit="1" customWidth="1"/>
    <col min="20" max="20" width="14.625" style="3" customWidth="1"/>
    <col min="21" max="21" width="21.75" style="3" customWidth="1"/>
    <col min="22" max="22" width="17.875" style="3" bestFit="1" customWidth="1"/>
    <col min="23" max="23" width="22.5" style="3" bestFit="1" customWidth="1"/>
    <col min="24" max="24" width="11.75" style="3" bestFit="1" customWidth="1"/>
    <col min="25" max="16384" width="8.125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4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1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22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1219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2887.5</f>
        <v>2887.5</v>
      </c>
      <c r="L7" s="32" t="s">
        <v>1204</v>
      </c>
      <c r="M7" s="31">
        <f>2995</f>
        <v>2995</v>
      </c>
      <c r="N7" s="32" t="s">
        <v>1212</v>
      </c>
      <c r="O7" s="31">
        <f>2780</f>
        <v>2780</v>
      </c>
      <c r="P7" s="32" t="s">
        <v>1220</v>
      </c>
      <c r="Q7" s="31">
        <f>2857</f>
        <v>2857</v>
      </c>
      <c r="R7" s="32" t="s">
        <v>661</v>
      </c>
      <c r="S7" s="33">
        <f>2914.45</f>
        <v>2914.45</v>
      </c>
      <c r="T7" s="30">
        <f>12947350</f>
        <v>12947350</v>
      </c>
      <c r="U7" s="30">
        <f>10685920</f>
        <v>10685920</v>
      </c>
      <c r="V7" s="30">
        <f>37811976057</f>
        <v>37811976057</v>
      </c>
      <c r="W7" s="30">
        <f>31269726962</f>
        <v>31269726962</v>
      </c>
      <c r="X7" s="34">
        <f>20</f>
        <v>20</v>
      </c>
    </row>
    <row r="8" spans="1:24">
      <c r="A8" s="25" t="s">
        <v>1219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2850.5</f>
        <v>2850.5</v>
      </c>
      <c r="L8" s="32" t="s">
        <v>1204</v>
      </c>
      <c r="M8" s="31">
        <f>2964</f>
        <v>2964</v>
      </c>
      <c r="N8" s="32" t="s">
        <v>1212</v>
      </c>
      <c r="O8" s="31">
        <f>2751.5</f>
        <v>2751.5</v>
      </c>
      <c r="P8" s="32" t="s">
        <v>1220</v>
      </c>
      <c r="Q8" s="31">
        <f>2824</f>
        <v>2824</v>
      </c>
      <c r="R8" s="32" t="s">
        <v>661</v>
      </c>
      <c r="S8" s="33">
        <f>2884.35</f>
        <v>2884.35</v>
      </c>
      <c r="T8" s="30">
        <f>51928630</f>
        <v>51928630</v>
      </c>
      <c r="U8" s="30">
        <f>13958770</f>
        <v>13958770</v>
      </c>
      <c r="V8" s="30">
        <f>150079453711</f>
        <v>150079453711</v>
      </c>
      <c r="W8" s="30">
        <f>40571769001</f>
        <v>40571769001</v>
      </c>
      <c r="X8" s="34">
        <f>20</f>
        <v>20</v>
      </c>
    </row>
    <row r="9" spans="1:24">
      <c r="A9" s="25" t="s">
        <v>1219</v>
      </c>
      <c r="B9" s="25" t="s">
        <v>48</v>
      </c>
      <c r="C9" s="25" t="s">
        <v>49</v>
      </c>
      <c r="D9" s="25" t="s">
        <v>1218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2817</f>
        <v>2817</v>
      </c>
      <c r="L9" s="32" t="s">
        <v>1204</v>
      </c>
      <c r="M9" s="31">
        <f>2928</f>
        <v>2928</v>
      </c>
      <c r="N9" s="32" t="s">
        <v>1212</v>
      </c>
      <c r="O9" s="31">
        <f>2719</f>
        <v>2719</v>
      </c>
      <c r="P9" s="32" t="s">
        <v>1220</v>
      </c>
      <c r="Q9" s="31">
        <f>2786</f>
        <v>2786</v>
      </c>
      <c r="R9" s="32" t="s">
        <v>661</v>
      </c>
      <c r="S9" s="33">
        <f>2849.1</f>
        <v>2849.1</v>
      </c>
      <c r="T9" s="30">
        <f>17178053</f>
        <v>17178053</v>
      </c>
      <c r="U9" s="30">
        <f>9498644</f>
        <v>9498644</v>
      </c>
      <c r="V9" s="30">
        <f>49032009583</f>
        <v>49032009583</v>
      </c>
      <c r="W9" s="30">
        <f>27378052572</f>
        <v>27378052572</v>
      </c>
      <c r="X9" s="34">
        <f>20</f>
        <v>20</v>
      </c>
    </row>
    <row r="10" spans="1:24">
      <c r="A10" s="25" t="s">
        <v>1219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43840</f>
        <v>43840</v>
      </c>
      <c r="L10" s="32" t="s">
        <v>1204</v>
      </c>
      <c r="M10" s="31">
        <f>45740</f>
        <v>45740</v>
      </c>
      <c r="N10" s="32" t="s">
        <v>1205</v>
      </c>
      <c r="O10" s="31">
        <f>42400</f>
        <v>42400</v>
      </c>
      <c r="P10" s="32" t="s">
        <v>1208</v>
      </c>
      <c r="Q10" s="31">
        <f>43300</f>
        <v>43300</v>
      </c>
      <c r="R10" s="32" t="s">
        <v>661</v>
      </c>
      <c r="S10" s="33">
        <f>43877</f>
        <v>43877</v>
      </c>
      <c r="T10" s="30">
        <f>5217</f>
        <v>5217</v>
      </c>
      <c r="U10" s="30" t="str">
        <f>"－"</f>
        <v>－</v>
      </c>
      <c r="V10" s="30">
        <f>228826320</f>
        <v>228826320</v>
      </c>
      <c r="W10" s="30" t="str">
        <f>"－"</f>
        <v>－</v>
      </c>
      <c r="X10" s="34">
        <f>20</f>
        <v>20</v>
      </c>
    </row>
    <row r="11" spans="1:24">
      <c r="A11" s="25" t="s">
        <v>1219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1421</f>
        <v>1421</v>
      </c>
      <c r="L11" s="32" t="s">
        <v>1204</v>
      </c>
      <c r="M11" s="31">
        <f>1493</f>
        <v>1493</v>
      </c>
      <c r="N11" s="32" t="s">
        <v>1210</v>
      </c>
      <c r="O11" s="31">
        <f>1364</f>
        <v>1364</v>
      </c>
      <c r="P11" s="32" t="s">
        <v>1220</v>
      </c>
      <c r="Q11" s="31">
        <f>1410</f>
        <v>1410</v>
      </c>
      <c r="R11" s="32" t="s">
        <v>661</v>
      </c>
      <c r="S11" s="33">
        <f>1442.5</f>
        <v>1442.5</v>
      </c>
      <c r="T11" s="30">
        <f>271320</f>
        <v>271320</v>
      </c>
      <c r="U11" s="30">
        <f>36250</f>
        <v>36250</v>
      </c>
      <c r="V11" s="30">
        <f>386624025</f>
        <v>386624025</v>
      </c>
      <c r="W11" s="30">
        <f>51105090</f>
        <v>51105090</v>
      </c>
      <c r="X11" s="34">
        <f>20</f>
        <v>20</v>
      </c>
    </row>
    <row r="12" spans="1:24">
      <c r="A12" s="25" t="s">
        <v>1219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530</f>
        <v>530</v>
      </c>
      <c r="L12" s="32" t="s">
        <v>1208</v>
      </c>
      <c r="M12" s="31">
        <f>543</f>
        <v>543</v>
      </c>
      <c r="N12" s="32" t="s">
        <v>1207</v>
      </c>
      <c r="O12" s="31">
        <f>517.7</f>
        <v>517.70000000000005</v>
      </c>
      <c r="P12" s="32" t="s">
        <v>1080</v>
      </c>
      <c r="Q12" s="31">
        <f>530.8</f>
        <v>530.79999999999995</v>
      </c>
      <c r="R12" s="32" t="s">
        <v>1075</v>
      </c>
      <c r="S12" s="33">
        <f>529.15</f>
        <v>529.15</v>
      </c>
      <c r="T12" s="30">
        <f>218000</f>
        <v>218000</v>
      </c>
      <c r="U12" s="30">
        <f>1000</f>
        <v>1000</v>
      </c>
      <c r="V12" s="30">
        <f>113925600</f>
        <v>113925600</v>
      </c>
      <c r="W12" s="30">
        <f>533000</f>
        <v>533000</v>
      </c>
      <c r="X12" s="34">
        <f>11</f>
        <v>11</v>
      </c>
    </row>
    <row r="13" spans="1:24">
      <c r="A13" s="25" t="s">
        <v>1219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39030</f>
        <v>39030</v>
      </c>
      <c r="L13" s="32" t="s">
        <v>1204</v>
      </c>
      <c r="M13" s="31">
        <f>39560</f>
        <v>39560</v>
      </c>
      <c r="N13" s="32" t="s">
        <v>1212</v>
      </c>
      <c r="O13" s="31">
        <f>37130</f>
        <v>37130</v>
      </c>
      <c r="P13" s="32" t="s">
        <v>661</v>
      </c>
      <c r="Q13" s="31">
        <f>37210</f>
        <v>37210</v>
      </c>
      <c r="R13" s="32" t="s">
        <v>661</v>
      </c>
      <c r="S13" s="33">
        <f>38671</f>
        <v>38671</v>
      </c>
      <c r="T13" s="30">
        <f>1498143</f>
        <v>1498143</v>
      </c>
      <c r="U13" s="30">
        <f>767885</f>
        <v>767885</v>
      </c>
      <c r="V13" s="30">
        <f>57813243792</f>
        <v>57813243792</v>
      </c>
      <c r="W13" s="30">
        <f>29802252102</f>
        <v>29802252102</v>
      </c>
      <c r="X13" s="34">
        <f>20</f>
        <v>20</v>
      </c>
    </row>
    <row r="14" spans="1:24">
      <c r="A14" s="25" t="s">
        <v>1219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39170</f>
        <v>39170</v>
      </c>
      <c r="L14" s="32" t="s">
        <v>1204</v>
      </c>
      <c r="M14" s="31">
        <f>39700</f>
        <v>39700</v>
      </c>
      <c r="N14" s="32" t="s">
        <v>1212</v>
      </c>
      <c r="O14" s="31">
        <f>37240</f>
        <v>37240</v>
      </c>
      <c r="P14" s="32" t="s">
        <v>661</v>
      </c>
      <c r="Q14" s="31">
        <f>37360</f>
        <v>37360</v>
      </c>
      <c r="R14" s="32" t="s">
        <v>661</v>
      </c>
      <c r="S14" s="33">
        <f>38809</f>
        <v>38809</v>
      </c>
      <c r="T14" s="30">
        <f>8026878</f>
        <v>8026878</v>
      </c>
      <c r="U14" s="30">
        <f>855500</f>
        <v>855500</v>
      </c>
      <c r="V14" s="30">
        <f>309912420092</f>
        <v>309912420092</v>
      </c>
      <c r="W14" s="30">
        <f>33278389792</f>
        <v>33278389792</v>
      </c>
      <c r="X14" s="34">
        <f>20</f>
        <v>20</v>
      </c>
    </row>
    <row r="15" spans="1:24">
      <c r="A15" s="25" t="s">
        <v>1219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10</v>
      </c>
      <c r="K15" s="31">
        <f>8530</f>
        <v>8530</v>
      </c>
      <c r="L15" s="32" t="s">
        <v>1204</v>
      </c>
      <c r="M15" s="31">
        <f>8834</f>
        <v>8834</v>
      </c>
      <c r="N15" s="32" t="s">
        <v>1207</v>
      </c>
      <c r="O15" s="31">
        <f>8255</f>
        <v>8255</v>
      </c>
      <c r="P15" s="32" t="s">
        <v>1220</v>
      </c>
      <c r="Q15" s="31">
        <f>8340</f>
        <v>8340</v>
      </c>
      <c r="R15" s="32" t="s">
        <v>661</v>
      </c>
      <c r="S15" s="33">
        <f>8537.85</f>
        <v>8537.85</v>
      </c>
      <c r="T15" s="30">
        <f>25020</f>
        <v>25020</v>
      </c>
      <c r="U15" s="30" t="str">
        <f>"－"</f>
        <v>－</v>
      </c>
      <c r="V15" s="30">
        <f>213011630</f>
        <v>213011630</v>
      </c>
      <c r="W15" s="30" t="str">
        <f>"－"</f>
        <v>－</v>
      </c>
      <c r="X15" s="34">
        <f>20</f>
        <v>20</v>
      </c>
    </row>
    <row r="16" spans="1:24">
      <c r="A16" s="25" t="s">
        <v>1219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190.2</f>
        <v>190.2</v>
      </c>
      <c r="L16" s="32" t="s">
        <v>1204</v>
      </c>
      <c r="M16" s="31">
        <f>209.7</f>
        <v>209.7</v>
      </c>
      <c r="N16" s="32" t="s">
        <v>1078</v>
      </c>
      <c r="O16" s="31">
        <f>185</f>
        <v>185</v>
      </c>
      <c r="P16" s="32" t="s">
        <v>1220</v>
      </c>
      <c r="Q16" s="31">
        <f>200</f>
        <v>200</v>
      </c>
      <c r="R16" s="32" t="s">
        <v>661</v>
      </c>
      <c r="S16" s="33">
        <f>197.29</f>
        <v>197.29</v>
      </c>
      <c r="T16" s="30">
        <f>522800</f>
        <v>522800</v>
      </c>
      <c r="U16" s="30">
        <f>3400</f>
        <v>3400</v>
      </c>
      <c r="V16" s="30">
        <f>103728120</f>
        <v>103728120</v>
      </c>
      <c r="W16" s="30">
        <f>699390</f>
        <v>699390</v>
      </c>
      <c r="X16" s="34">
        <f>20</f>
        <v>20</v>
      </c>
    </row>
    <row r="17" spans="1:24">
      <c r="A17" s="25" t="s">
        <v>1219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39920</f>
        <v>39920</v>
      </c>
      <c r="L17" s="32" t="s">
        <v>1204</v>
      </c>
      <c r="M17" s="31">
        <f>42950</f>
        <v>42950</v>
      </c>
      <c r="N17" s="32" t="s">
        <v>661</v>
      </c>
      <c r="O17" s="31">
        <f>38980</f>
        <v>38980</v>
      </c>
      <c r="P17" s="32" t="s">
        <v>1220</v>
      </c>
      <c r="Q17" s="31">
        <f>42830</f>
        <v>42830</v>
      </c>
      <c r="R17" s="32" t="s">
        <v>661</v>
      </c>
      <c r="S17" s="33">
        <f>40948</f>
        <v>40948</v>
      </c>
      <c r="T17" s="30">
        <f>386141</f>
        <v>386141</v>
      </c>
      <c r="U17" s="30">
        <f>91</f>
        <v>91</v>
      </c>
      <c r="V17" s="30">
        <f>15936971675</f>
        <v>15936971675</v>
      </c>
      <c r="W17" s="30">
        <f>3625965</f>
        <v>3625965</v>
      </c>
      <c r="X17" s="34">
        <f>20</f>
        <v>20</v>
      </c>
    </row>
    <row r="18" spans="1:24">
      <c r="A18" s="25" t="s">
        <v>1219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10440</f>
        <v>10440</v>
      </c>
      <c r="L18" s="32" t="s">
        <v>1204</v>
      </c>
      <c r="M18" s="31">
        <f>11250</f>
        <v>11250</v>
      </c>
      <c r="N18" s="32" t="s">
        <v>1078</v>
      </c>
      <c r="O18" s="31">
        <f>10190</f>
        <v>10190</v>
      </c>
      <c r="P18" s="32" t="s">
        <v>1220</v>
      </c>
      <c r="Q18" s="31">
        <f>11240</f>
        <v>11240</v>
      </c>
      <c r="R18" s="32" t="s">
        <v>661</v>
      </c>
      <c r="S18" s="33">
        <f>10735</f>
        <v>10735</v>
      </c>
      <c r="T18" s="30">
        <f>485510</f>
        <v>485510</v>
      </c>
      <c r="U18" s="30">
        <f>360</f>
        <v>360</v>
      </c>
      <c r="V18" s="30">
        <f>5241512200</f>
        <v>5241512200</v>
      </c>
      <c r="W18" s="30">
        <f>3891100</f>
        <v>3891100</v>
      </c>
      <c r="X18" s="34">
        <f>20</f>
        <v>20</v>
      </c>
    </row>
    <row r="19" spans="1:24">
      <c r="A19" s="25" t="s">
        <v>1219</v>
      </c>
      <c r="B19" s="25" t="s">
        <v>76</v>
      </c>
      <c r="C19" s="25" t="s">
        <v>77</v>
      </c>
      <c r="D19" s="25" t="s">
        <v>78</v>
      </c>
      <c r="E19" s="26" t="s">
        <v>43</v>
      </c>
      <c r="F19" s="27" t="s">
        <v>43</v>
      </c>
      <c r="G19" s="28" t="s">
        <v>43</v>
      </c>
      <c r="H19" s="29"/>
      <c r="I19" s="29" t="s">
        <v>44</v>
      </c>
      <c r="J19" s="30">
        <v>1</v>
      </c>
      <c r="K19" s="31">
        <f>38940</f>
        <v>38940</v>
      </c>
      <c r="L19" s="32" t="s">
        <v>1204</v>
      </c>
      <c r="M19" s="31">
        <f>39460</f>
        <v>39460</v>
      </c>
      <c r="N19" s="32" t="s">
        <v>1212</v>
      </c>
      <c r="O19" s="31">
        <f>37010</f>
        <v>37010</v>
      </c>
      <c r="P19" s="32" t="s">
        <v>661</v>
      </c>
      <c r="Q19" s="31">
        <f>37150</f>
        <v>37150</v>
      </c>
      <c r="R19" s="32" t="s">
        <v>661</v>
      </c>
      <c r="S19" s="33">
        <f>38573.5</f>
        <v>38573.5</v>
      </c>
      <c r="T19" s="30">
        <f>1937526</f>
        <v>1937526</v>
      </c>
      <c r="U19" s="30">
        <f>965065</f>
        <v>965065</v>
      </c>
      <c r="V19" s="30">
        <f>74106680493</f>
        <v>74106680493</v>
      </c>
      <c r="W19" s="30">
        <f>36983031723</f>
        <v>36983031723</v>
      </c>
      <c r="X19" s="34">
        <f>20</f>
        <v>20</v>
      </c>
    </row>
    <row r="20" spans="1:24">
      <c r="A20" s="25" t="s">
        <v>1219</v>
      </c>
      <c r="B20" s="25" t="s">
        <v>79</v>
      </c>
      <c r="C20" s="25" t="s">
        <v>80</v>
      </c>
      <c r="D20" s="25" t="s">
        <v>1217</v>
      </c>
      <c r="E20" s="26" t="s">
        <v>43</v>
      </c>
      <c r="F20" s="27" t="s">
        <v>43</v>
      </c>
      <c r="G20" s="28" t="s">
        <v>43</v>
      </c>
      <c r="H20" s="29"/>
      <c r="I20" s="29" t="s">
        <v>44</v>
      </c>
      <c r="J20" s="30">
        <v>1</v>
      </c>
      <c r="K20" s="31">
        <f>39200</f>
        <v>39200</v>
      </c>
      <c r="L20" s="32" t="s">
        <v>1204</v>
      </c>
      <c r="M20" s="31">
        <f>39740</f>
        <v>39740</v>
      </c>
      <c r="N20" s="32" t="s">
        <v>1212</v>
      </c>
      <c r="O20" s="31">
        <f>37280</f>
        <v>37280</v>
      </c>
      <c r="P20" s="32" t="s">
        <v>661</v>
      </c>
      <c r="Q20" s="31">
        <f>37350</f>
        <v>37350</v>
      </c>
      <c r="R20" s="32" t="s">
        <v>661</v>
      </c>
      <c r="S20" s="33">
        <f>38858</f>
        <v>38858</v>
      </c>
      <c r="T20" s="30">
        <f>2275224</f>
        <v>2275224</v>
      </c>
      <c r="U20" s="30">
        <f>1148353</f>
        <v>1148353</v>
      </c>
      <c r="V20" s="30">
        <f>88243507904</f>
        <v>88243507904</v>
      </c>
      <c r="W20" s="30">
        <f>44668052374</f>
        <v>44668052374</v>
      </c>
      <c r="X20" s="34">
        <f>20</f>
        <v>20</v>
      </c>
    </row>
    <row r="21" spans="1:24">
      <c r="A21" s="25" t="s">
        <v>1219</v>
      </c>
      <c r="B21" s="25" t="s">
        <v>1048</v>
      </c>
      <c r="C21" s="25" t="s">
        <v>1049</v>
      </c>
      <c r="D21" s="25" t="s">
        <v>1050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1029</f>
        <v>1029</v>
      </c>
      <c r="L21" s="32" t="s">
        <v>1204</v>
      </c>
      <c r="M21" s="31">
        <f>1030</f>
        <v>1030</v>
      </c>
      <c r="N21" s="32" t="s">
        <v>1212</v>
      </c>
      <c r="O21" s="31">
        <f>996</f>
        <v>996</v>
      </c>
      <c r="P21" s="32" t="s">
        <v>1220</v>
      </c>
      <c r="Q21" s="31">
        <f>1009</f>
        <v>1009</v>
      </c>
      <c r="R21" s="32" t="s">
        <v>661</v>
      </c>
      <c r="S21" s="33">
        <f>1014.15</f>
        <v>1014.15</v>
      </c>
      <c r="T21" s="30">
        <f>2887907</f>
        <v>2887907</v>
      </c>
      <c r="U21" s="30">
        <f>1939577</f>
        <v>1939577</v>
      </c>
      <c r="V21" s="30">
        <f>2934347051</f>
        <v>2934347051</v>
      </c>
      <c r="W21" s="30">
        <f>1970958380</f>
        <v>1970958380</v>
      </c>
      <c r="X21" s="34">
        <f>20</f>
        <v>20</v>
      </c>
    </row>
    <row r="22" spans="1:24">
      <c r="A22" s="25" t="s">
        <v>1219</v>
      </c>
      <c r="B22" s="25" t="s">
        <v>82</v>
      </c>
      <c r="C22" s="25" t="s">
        <v>939</v>
      </c>
      <c r="D22" s="25" t="s">
        <v>83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10</v>
      </c>
      <c r="K22" s="31">
        <f>1833.5</f>
        <v>1833.5</v>
      </c>
      <c r="L22" s="32" t="s">
        <v>1204</v>
      </c>
      <c r="M22" s="31">
        <f>1870.5</f>
        <v>1870.5</v>
      </c>
      <c r="N22" s="32" t="s">
        <v>1075</v>
      </c>
      <c r="O22" s="31">
        <f>1769.5</f>
        <v>1769.5</v>
      </c>
      <c r="P22" s="32" t="s">
        <v>1220</v>
      </c>
      <c r="Q22" s="31">
        <f>1831</f>
        <v>1831</v>
      </c>
      <c r="R22" s="32" t="s">
        <v>661</v>
      </c>
      <c r="S22" s="33">
        <f>1823.75</f>
        <v>1823.75</v>
      </c>
      <c r="T22" s="30">
        <f>15563310</f>
        <v>15563310</v>
      </c>
      <c r="U22" s="30">
        <f>5679360</f>
        <v>5679360</v>
      </c>
      <c r="V22" s="30">
        <f>28396699578</f>
        <v>28396699578</v>
      </c>
      <c r="W22" s="30">
        <f>10400230113</f>
        <v>10400230113</v>
      </c>
      <c r="X22" s="34">
        <f>20</f>
        <v>20</v>
      </c>
    </row>
    <row r="23" spans="1:24">
      <c r="A23" s="25" t="s">
        <v>1219</v>
      </c>
      <c r="B23" s="25" t="s">
        <v>84</v>
      </c>
      <c r="C23" s="25" t="s">
        <v>85</v>
      </c>
      <c r="D23" s="25" t="s">
        <v>940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100</v>
      </c>
      <c r="K23" s="31">
        <f>1731.5</f>
        <v>1731.5</v>
      </c>
      <c r="L23" s="32" t="s">
        <v>1204</v>
      </c>
      <c r="M23" s="31">
        <f>1751.5</f>
        <v>1751.5</v>
      </c>
      <c r="N23" s="32" t="s">
        <v>1075</v>
      </c>
      <c r="O23" s="31">
        <f>1657</f>
        <v>1657</v>
      </c>
      <c r="P23" s="32" t="s">
        <v>1220</v>
      </c>
      <c r="Q23" s="31">
        <f>1715</f>
        <v>1715</v>
      </c>
      <c r="R23" s="32" t="s">
        <v>661</v>
      </c>
      <c r="S23" s="33">
        <f>1708.9</f>
        <v>1708.9</v>
      </c>
      <c r="T23" s="30">
        <f>2661700</f>
        <v>2661700</v>
      </c>
      <c r="U23" s="30">
        <f>1867000</f>
        <v>1867000</v>
      </c>
      <c r="V23" s="30">
        <f>4575303882</f>
        <v>4575303882</v>
      </c>
      <c r="W23" s="30">
        <f>3215099132</f>
        <v>3215099132</v>
      </c>
      <c r="X23" s="34">
        <f>20</f>
        <v>20</v>
      </c>
    </row>
    <row r="24" spans="1:24">
      <c r="A24" s="25" t="s">
        <v>1219</v>
      </c>
      <c r="B24" s="25" t="s">
        <v>86</v>
      </c>
      <c r="C24" s="25" t="s">
        <v>87</v>
      </c>
      <c r="D24" s="25" t="s">
        <v>941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</v>
      </c>
      <c r="K24" s="31">
        <f>38930</f>
        <v>38930</v>
      </c>
      <c r="L24" s="32" t="s">
        <v>1204</v>
      </c>
      <c r="M24" s="31">
        <f>39430</f>
        <v>39430</v>
      </c>
      <c r="N24" s="32" t="s">
        <v>1212</v>
      </c>
      <c r="O24" s="31">
        <f>36980</f>
        <v>36980</v>
      </c>
      <c r="P24" s="32" t="s">
        <v>661</v>
      </c>
      <c r="Q24" s="31">
        <f>37120</f>
        <v>37120</v>
      </c>
      <c r="R24" s="32" t="s">
        <v>661</v>
      </c>
      <c r="S24" s="33">
        <f>38540</f>
        <v>38540</v>
      </c>
      <c r="T24" s="30">
        <f>993752</f>
        <v>993752</v>
      </c>
      <c r="U24" s="30">
        <f>605946</f>
        <v>605946</v>
      </c>
      <c r="V24" s="30">
        <f>38335073387</f>
        <v>38335073387</v>
      </c>
      <c r="W24" s="30">
        <f>23498214857</f>
        <v>23498214857</v>
      </c>
      <c r="X24" s="34">
        <f>20</f>
        <v>20</v>
      </c>
    </row>
    <row r="25" spans="1:24">
      <c r="A25" s="25" t="s">
        <v>1219</v>
      </c>
      <c r="B25" s="25" t="s">
        <v>88</v>
      </c>
      <c r="C25" s="25" t="s">
        <v>89</v>
      </c>
      <c r="D25" s="25" t="s">
        <v>90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10</v>
      </c>
      <c r="K25" s="31">
        <f>2811</f>
        <v>2811</v>
      </c>
      <c r="L25" s="32" t="s">
        <v>1204</v>
      </c>
      <c r="M25" s="31">
        <f>2921</f>
        <v>2921</v>
      </c>
      <c r="N25" s="32" t="s">
        <v>1212</v>
      </c>
      <c r="O25" s="31">
        <f>2713</f>
        <v>2713</v>
      </c>
      <c r="P25" s="32" t="s">
        <v>1220</v>
      </c>
      <c r="Q25" s="31">
        <f>2776</f>
        <v>2776</v>
      </c>
      <c r="R25" s="32" t="s">
        <v>661</v>
      </c>
      <c r="S25" s="33">
        <f>2844.55</f>
        <v>2844.55</v>
      </c>
      <c r="T25" s="30">
        <f>3569590</f>
        <v>3569590</v>
      </c>
      <c r="U25" s="30">
        <f>2636740</f>
        <v>2636740</v>
      </c>
      <c r="V25" s="30">
        <f>10177913108</f>
        <v>10177913108</v>
      </c>
      <c r="W25" s="30">
        <f>7539643438</f>
        <v>7539643438</v>
      </c>
      <c r="X25" s="34">
        <f>20</f>
        <v>20</v>
      </c>
    </row>
    <row r="26" spans="1:24">
      <c r="A26" s="25" t="s">
        <v>1219</v>
      </c>
      <c r="B26" s="25" t="s">
        <v>91</v>
      </c>
      <c r="C26" s="25" t="s">
        <v>92</v>
      </c>
      <c r="D26" s="25" t="s">
        <v>93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</v>
      </c>
      <c r="K26" s="31">
        <f>16240</f>
        <v>16240</v>
      </c>
      <c r="L26" s="32" t="s">
        <v>1204</v>
      </c>
      <c r="M26" s="31">
        <f>16430</f>
        <v>16430</v>
      </c>
      <c r="N26" s="32" t="s">
        <v>1078</v>
      </c>
      <c r="O26" s="31">
        <f>16010</f>
        <v>16010</v>
      </c>
      <c r="P26" s="32" t="s">
        <v>1220</v>
      </c>
      <c r="Q26" s="31">
        <f>16185</f>
        <v>16185</v>
      </c>
      <c r="R26" s="32" t="s">
        <v>661</v>
      </c>
      <c r="S26" s="33">
        <f>16255.53</f>
        <v>16255.53</v>
      </c>
      <c r="T26" s="30">
        <f>818</f>
        <v>818</v>
      </c>
      <c r="U26" s="30" t="str">
        <f>"－"</f>
        <v>－</v>
      </c>
      <c r="V26" s="30">
        <f>13265380</f>
        <v>13265380</v>
      </c>
      <c r="W26" s="30" t="str">
        <f>"－"</f>
        <v>－</v>
      </c>
      <c r="X26" s="34">
        <f>19</f>
        <v>19</v>
      </c>
    </row>
    <row r="27" spans="1:24">
      <c r="A27" s="25" t="s">
        <v>1219</v>
      </c>
      <c r="B27" s="25" t="s">
        <v>94</v>
      </c>
      <c r="C27" s="25" t="s">
        <v>95</v>
      </c>
      <c r="D27" s="25" t="s">
        <v>96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10</v>
      </c>
      <c r="K27" s="31">
        <f>321.3</f>
        <v>321.3</v>
      </c>
      <c r="L27" s="32" t="s">
        <v>1204</v>
      </c>
      <c r="M27" s="31">
        <f>343.6</f>
        <v>343.6</v>
      </c>
      <c r="N27" s="32" t="s">
        <v>1220</v>
      </c>
      <c r="O27" s="31">
        <f>295.8</f>
        <v>295.8</v>
      </c>
      <c r="P27" s="32" t="s">
        <v>1212</v>
      </c>
      <c r="Q27" s="31">
        <f>325.4</f>
        <v>325.39999999999998</v>
      </c>
      <c r="R27" s="32" t="s">
        <v>661</v>
      </c>
      <c r="S27" s="33">
        <f>313.37</f>
        <v>313.37</v>
      </c>
      <c r="T27" s="30">
        <f>34103880</f>
        <v>34103880</v>
      </c>
      <c r="U27" s="30">
        <f>63000</f>
        <v>63000</v>
      </c>
      <c r="V27" s="30">
        <f>10659335444</f>
        <v>10659335444</v>
      </c>
      <c r="W27" s="30">
        <f>20306310</f>
        <v>20306310</v>
      </c>
      <c r="X27" s="34">
        <f>20</f>
        <v>20</v>
      </c>
    </row>
    <row r="28" spans="1:24">
      <c r="A28" s="25" t="s">
        <v>1219</v>
      </c>
      <c r="B28" s="25" t="s">
        <v>97</v>
      </c>
      <c r="C28" s="25" t="s">
        <v>98</v>
      </c>
      <c r="D28" s="25" t="s">
        <v>942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</v>
      </c>
      <c r="K28" s="31">
        <f>12635</f>
        <v>12635</v>
      </c>
      <c r="L28" s="32" t="s">
        <v>1204</v>
      </c>
      <c r="M28" s="31">
        <f>13835</f>
        <v>13835</v>
      </c>
      <c r="N28" s="32" t="s">
        <v>661</v>
      </c>
      <c r="O28" s="31">
        <f>12210</f>
        <v>12210</v>
      </c>
      <c r="P28" s="32" t="s">
        <v>1212</v>
      </c>
      <c r="Q28" s="31">
        <f>13740</f>
        <v>13740</v>
      </c>
      <c r="R28" s="32" t="s">
        <v>661</v>
      </c>
      <c r="S28" s="33">
        <f>12814.5</f>
        <v>12814.5</v>
      </c>
      <c r="T28" s="30">
        <f>26137426</f>
        <v>26137426</v>
      </c>
      <c r="U28" s="30">
        <f>760283</f>
        <v>760283</v>
      </c>
      <c r="V28" s="30">
        <f>337032347565</f>
        <v>337032347565</v>
      </c>
      <c r="W28" s="30">
        <f>9820044735</f>
        <v>9820044735</v>
      </c>
      <c r="X28" s="34">
        <f>20</f>
        <v>20</v>
      </c>
    </row>
    <row r="29" spans="1:24">
      <c r="A29" s="25" t="s">
        <v>1219</v>
      </c>
      <c r="B29" s="25" t="s">
        <v>99</v>
      </c>
      <c r="C29" s="25" t="s">
        <v>100</v>
      </c>
      <c r="D29" s="25" t="s">
        <v>101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47000</f>
        <v>47000</v>
      </c>
      <c r="L29" s="32" t="s">
        <v>1204</v>
      </c>
      <c r="M29" s="31">
        <f>48300</f>
        <v>48300</v>
      </c>
      <c r="N29" s="32" t="s">
        <v>1212</v>
      </c>
      <c r="O29" s="31">
        <f>42370</f>
        <v>42370</v>
      </c>
      <c r="P29" s="32" t="s">
        <v>661</v>
      </c>
      <c r="Q29" s="31">
        <f>42620</f>
        <v>42620</v>
      </c>
      <c r="R29" s="32" t="s">
        <v>661</v>
      </c>
      <c r="S29" s="33">
        <f>46126</f>
        <v>46126</v>
      </c>
      <c r="T29" s="30">
        <f>402595</f>
        <v>402595</v>
      </c>
      <c r="U29" s="30">
        <f>5</f>
        <v>5</v>
      </c>
      <c r="V29" s="30">
        <f>18379148150</f>
        <v>18379148150</v>
      </c>
      <c r="W29" s="30">
        <f>224200</f>
        <v>224200</v>
      </c>
      <c r="X29" s="34">
        <f>20</f>
        <v>20</v>
      </c>
    </row>
    <row r="30" spans="1:24">
      <c r="A30" s="25" t="s">
        <v>1219</v>
      </c>
      <c r="B30" s="25" t="s">
        <v>102</v>
      </c>
      <c r="C30" s="25" t="s">
        <v>103</v>
      </c>
      <c r="D30" s="25" t="s">
        <v>104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10</v>
      </c>
      <c r="K30" s="31">
        <f>310.6</f>
        <v>310.60000000000002</v>
      </c>
      <c r="L30" s="32" t="s">
        <v>1204</v>
      </c>
      <c r="M30" s="31">
        <f>340.1</f>
        <v>340.1</v>
      </c>
      <c r="N30" s="32" t="s">
        <v>661</v>
      </c>
      <c r="O30" s="31">
        <f>300.2</f>
        <v>300.2</v>
      </c>
      <c r="P30" s="32" t="s">
        <v>1212</v>
      </c>
      <c r="Q30" s="31">
        <f>337.9</f>
        <v>337.9</v>
      </c>
      <c r="R30" s="32" t="s">
        <v>661</v>
      </c>
      <c r="S30" s="33">
        <f>315.01</f>
        <v>315.01</v>
      </c>
      <c r="T30" s="30">
        <f>846006260</f>
        <v>846006260</v>
      </c>
      <c r="U30" s="30">
        <f>6363710</f>
        <v>6363710</v>
      </c>
      <c r="V30" s="30">
        <f>267295720130</f>
        <v>267295720130</v>
      </c>
      <c r="W30" s="30">
        <f>2019946760</f>
        <v>2019946760</v>
      </c>
      <c r="X30" s="34">
        <f>20</f>
        <v>20</v>
      </c>
    </row>
    <row r="31" spans="1:24">
      <c r="A31" s="25" t="s">
        <v>1219</v>
      </c>
      <c r="B31" s="25" t="s">
        <v>105</v>
      </c>
      <c r="C31" s="25" t="s">
        <v>106</v>
      </c>
      <c r="D31" s="25" t="s">
        <v>107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</v>
      </c>
      <c r="K31" s="31">
        <f>25260</f>
        <v>25260</v>
      </c>
      <c r="L31" s="32" t="s">
        <v>1204</v>
      </c>
      <c r="M31" s="31">
        <f>26000</f>
        <v>26000</v>
      </c>
      <c r="N31" s="32" t="s">
        <v>1212</v>
      </c>
      <c r="O31" s="31">
        <f>24195</f>
        <v>24195</v>
      </c>
      <c r="P31" s="32" t="s">
        <v>1220</v>
      </c>
      <c r="Q31" s="31">
        <f>24895</f>
        <v>24895</v>
      </c>
      <c r="R31" s="32" t="s">
        <v>661</v>
      </c>
      <c r="S31" s="33">
        <f>25339</f>
        <v>25339</v>
      </c>
      <c r="T31" s="30">
        <f>88689</f>
        <v>88689</v>
      </c>
      <c r="U31" s="30">
        <f>2002</f>
        <v>2002</v>
      </c>
      <c r="V31" s="30">
        <f>2271537966</f>
        <v>2271537966</v>
      </c>
      <c r="W31" s="30">
        <f>49626776</f>
        <v>49626776</v>
      </c>
      <c r="X31" s="34">
        <f>20</f>
        <v>20</v>
      </c>
    </row>
    <row r="32" spans="1:24">
      <c r="A32" s="25" t="s">
        <v>1219</v>
      </c>
      <c r="B32" s="25" t="s">
        <v>108</v>
      </c>
      <c r="C32" s="25" t="s">
        <v>876</v>
      </c>
      <c r="D32" s="25" t="s">
        <v>877</v>
      </c>
      <c r="E32" s="26" t="s">
        <v>43</v>
      </c>
      <c r="F32" s="27" t="s">
        <v>43</v>
      </c>
      <c r="G32" s="28" t="s">
        <v>43</v>
      </c>
      <c r="H32" s="29"/>
      <c r="I32" s="29" t="s">
        <v>44</v>
      </c>
      <c r="J32" s="30">
        <v>1</v>
      </c>
      <c r="K32" s="31">
        <f>38370</f>
        <v>38370</v>
      </c>
      <c r="L32" s="32" t="s">
        <v>1204</v>
      </c>
      <c r="M32" s="31">
        <f>39400</f>
        <v>39400</v>
      </c>
      <c r="N32" s="32" t="s">
        <v>1212</v>
      </c>
      <c r="O32" s="31">
        <f>34550</f>
        <v>34550</v>
      </c>
      <c r="P32" s="32" t="s">
        <v>661</v>
      </c>
      <c r="Q32" s="31">
        <f>34700</f>
        <v>34700</v>
      </c>
      <c r="R32" s="32" t="s">
        <v>661</v>
      </c>
      <c r="S32" s="33">
        <f>37645</f>
        <v>37645</v>
      </c>
      <c r="T32" s="30">
        <f>1108918</f>
        <v>1108918</v>
      </c>
      <c r="U32" s="30">
        <f>26094</f>
        <v>26094</v>
      </c>
      <c r="V32" s="30">
        <f>41450439336</f>
        <v>41450439336</v>
      </c>
      <c r="W32" s="30">
        <f>975542356</f>
        <v>975542356</v>
      </c>
      <c r="X32" s="34">
        <f>20</f>
        <v>20</v>
      </c>
    </row>
    <row r="33" spans="1:24">
      <c r="A33" s="25" t="s">
        <v>1219</v>
      </c>
      <c r="B33" s="25" t="s">
        <v>109</v>
      </c>
      <c r="C33" s="25" t="s">
        <v>878</v>
      </c>
      <c r="D33" s="25" t="s">
        <v>879</v>
      </c>
      <c r="E33" s="26" t="s">
        <v>43</v>
      </c>
      <c r="F33" s="27" t="s">
        <v>43</v>
      </c>
      <c r="G33" s="28" t="s">
        <v>43</v>
      </c>
      <c r="H33" s="29"/>
      <c r="I33" s="29" t="s">
        <v>44</v>
      </c>
      <c r="J33" s="30">
        <v>1</v>
      </c>
      <c r="K33" s="31">
        <f>318</f>
        <v>318</v>
      </c>
      <c r="L33" s="32" t="s">
        <v>1204</v>
      </c>
      <c r="M33" s="31">
        <f>348</f>
        <v>348</v>
      </c>
      <c r="N33" s="32" t="s">
        <v>661</v>
      </c>
      <c r="O33" s="31">
        <f>306</f>
        <v>306</v>
      </c>
      <c r="P33" s="32" t="s">
        <v>1212</v>
      </c>
      <c r="Q33" s="31">
        <f>345</f>
        <v>345</v>
      </c>
      <c r="R33" s="32" t="s">
        <v>661</v>
      </c>
      <c r="S33" s="33">
        <f>321.9</f>
        <v>321.89999999999998</v>
      </c>
      <c r="T33" s="30">
        <f>31699685</f>
        <v>31699685</v>
      </c>
      <c r="U33" s="30">
        <f>800243</f>
        <v>800243</v>
      </c>
      <c r="V33" s="30">
        <f>10281673950</f>
        <v>10281673950</v>
      </c>
      <c r="W33" s="30">
        <f>259291084</f>
        <v>259291084</v>
      </c>
      <c r="X33" s="34">
        <f>20</f>
        <v>20</v>
      </c>
    </row>
    <row r="34" spans="1:24">
      <c r="A34" s="25" t="s">
        <v>1219</v>
      </c>
      <c r="B34" s="25" t="s">
        <v>110</v>
      </c>
      <c r="C34" s="25" t="s">
        <v>880</v>
      </c>
      <c r="D34" s="25" t="s">
        <v>881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35400</f>
        <v>35400</v>
      </c>
      <c r="L34" s="32" t="s">
        <v>1204</v>
      </c>
      <c r="M34" s="31">
        <f>38140</f>
        <v>38140</v>
      </c>
      <c r="N34" s="32" t="s">
        <v>1212</v>
      </c>
      <c r="O34" s="31">
        <f>32820</f>
        <v>32820</v>
      </c>
      <c r="P34" s="32" t="s">
        <v>1220</v>
      </c>
      <c r="Q34" s="31">
        <f>34740</f>
        <v>34740</v>
      </c>
      <c r="R34" s="32" t="s">
        <v>661</v>
      </c>
      <c r="S34" s="33">
        <f>36152</f>
        <v>36152</v>
      </c>
      <c r="T34" s="30">
        <f>136230</f>
        <v>136230</v>
      </c>
      <c r="U34" s="30">
        <f>6956</f>
        <v>6956</v>
      </c>
      <c r="V34" s="30">
        <f>4898497783</f>
        <v>4898497783</v>
      </c>
      <c r="W34" s="30">
        <f>252863423</f>
        <v>252863423</v>
      </c>
      <c r="X34" s="34">
        <f>20</f>
        <v>20</v>
      </c>
    </row>
    <row r="35" spans="1:24">
      <c r="A35" s="25" t="s">
        <v>1219</v>
      </c>
      <c r="B35" s="25" t="s">
        <v>111</v>
      </c>
      <c r="C35" s="25" t="s">
        <v>882</v>
      </c>
      <c r="D35" s="25" t="s">
        <v>883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461</f>
        <v>461</v>
      </c>
      <c r="L35" s="32" t="s">
        <v>1204</v>
      </c>
      <c r="M35" s="31">
        <f>496</f>
        <v>496</v>
      </c>
      <c r="N35" s="32" t="s">
        <v>1220</v>
      </c>
      <c r="O35" s="31">
        <f>426</f>
        <v>426</v>
      </c>
      <c r="P35" s="32" t="s">
        <v>1212</v>
      </c>
      <c r="Q35" s="31">
        <f>470</f>
        <v>470</v>
      </c>
      <c r="R35" s="32" t="s">
        <v>661</v>
      </c>
      <c r="S35" s="33">
        <f>451.3</f>
        <v>451.3</v>
      </c>
      <c r="T35" s="30">
        <f>2279927</f>
        <v>2279927</v>
      </c>
      <c r="U35" s="30">
        <f>6519</f>
        <v>6519</v>
      </c>
      <c r="V35" s="30">
        <f>1031113422</f>
        <v>1031113422</v>
      </c>
      <c r="W35" s="30">
        <f>2863095</f>
        <v>2863095</v>
      </c>
      <c r="X35" s="34">
        <f>20</f>
        <v>20</v>
      </c>
    </row>
    <row r="36" spans="1:24">
      <c r="A36" s="25" t="s">
        <v>1219</v>
      </c>
      <c r="B36" s="25" t="s">
        <v>112</v>
      </c>
      <c r="C36" s="25" t="s">
        <v>113</v>
      </c>
      <c r="D36" s="25" t="s">
        <v>114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37850</f>
        <v>37850</v>
      </c>
      <c r="L36" s="32" t="s">
        <v>1204</v>
      </c>
      <c r="M36" s="31">
        <f>38320</f>
        <v>38320</v>
      </c>
      <c r="N36" s="32" t="s">
        <v>1212</v>
      </c>
      <c r="O36" s="31">
        <f>35950</f>
        <v>35950</v>
      </c>
      <c r="P36" s="32" t="s">
        <v>661</v>
      </c>
      <c r="Q36" s="31">
        <f>36300</f>
        <v>36300</v>
      </c>
      <c r="R36" s="32" t="s">
        <v>661</v>
      </c>
      <c r="S36" s="33">
        <f>37453</f>
        <v>37453</v>
      </c>
      <c r="T36" s="30">
        <f>315216</f>
        <v>315216</v>
      </c>
      <c r="U36" s="30">
        <f>115069</f>
        <v>115069</v>
      </c>
      <c r="V36" s="30">
        <f>11655894812</f>
        <v>11655894812</v>
      </c>
      <c r="W36" s="30">
        <f>4272646352</f>
        <v>4272646352</v>
      </c>
      <c r="X36" s="34">
        <f>20</f>
        <v>20</v>
      </c>
    </row>
    <row r="37" spans="1:24">
      <c r="A37" s="25" t="s">
        <v>1219</v>
      </c>
      <c r="B37" s="25" t="s">
        <v>115</v>
      </c>
      <c r="C37" s="25" t="s">
        <v>116</v>
      </c>
      <c r="D37" s="25" t="s">
        <v>117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38200</f>
        <v>38200</v>
      </c>
      <c r="L37" s="32" t="s">
        <v>1204</v>
      </c>
      <c r="M37" s="31">
        <f>38660</f>
        <v>38660</v>
      </c>
      <c r="N37" s="32" t="s">
        <v>1212</v>
      </c>
      <c r="O37" s="31">
        <f>36260</f>
        <v>36260</v>
      </c>
      <c r="P37" s="32" t="s">
        <v>661</v>
      </c>
      <c r="Q37" s="31">
        <f>36580</f>
        <v>36580</v>
      </c>
      <c r="R37" s="32" t="s">
        <v>661</v>
      </c>
      <c r="S37" s="33">
        <f>37836</f>
        <v>37836</v>
      </c>
      <c r="T37" s="30">
        <f>70752</f>
        <v>70752</v>
      </c>
      <c r="U37" s="30">
        <f>34455</f>
        <v>34455</v>
      </c>
      <c r="V37" s="30">
        <f>2645536648</f>
        <v>2645536648</v>
      </c>
      <c r="W37" s="30">
        <f>1286631168</f>
        <v>1286631168</v>
      </c>
      <c r="X37" s="34">
        <f>20</f>
        <v>20</v>
      </c>
    </row>
    <row r="38" spans="1:24">
      <c r="A38" s="25" t="s">
        <v>1219</v>
      </c>
      <c r="B38" s="25" t="s">
        <v>118</v>
      </c>
      <c r="C38" s="25" t="s">
        <v>119</v>
      </c>
      <c r="D38" s="25" t="s">
        <v>120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10</v>
      </c>
      <c r="K38" s="31">
        <f>1764</f>
        <v>1764</v>
      </c>
      <c r="L38" s="32" t="s">
        <v>1204</v>
      </c>
      <c r="M38" s="31">
        <f>1772.5</f>
        <v>1772.5</v>
      </c>
      <c r="N38" s="32" t="s">
        <v>1204</v>
      </c>
      <c r="O38" s="31">
        <f>1677</f>
        <v>1677</v>
      </c>
      <c r="P38" s="32" t="s">
        <v>1220</v>
      </c>
      <c r="Q38" s="31">
        <f>1736.5</f>
        <v>1736.5</v>
      </c>
      <c r="R38" s="32" t="s">
        <v>661</v>
      </c>
      <c r="S38" s="33">
        <f>1729.65</f>
        <v>1729.65</v>
      </c>
      <c r="T38" s="30">
        <f>3850110</f>
        <v>3850110</v>
      </c>
      <c r="U38" s="30">
        <f>1677750</f>
        <v>1677750</v>
      </c>
      <c r="V38" s="30">
        <f>6634718023</f>
        <v>6634718023</v>
      </c>
      <c r="W38" s="30">
        <f>2866962828</f>
        <v>2866962828</v>
      </c>
      <c r="X38" s="34">
        <f>20</f>
        <v>20</v>
      </c>
    </row>
    <row r="39" spans="1:24">
      <c r="A39" s="25" t="s">
        <v>1219</v>
      </c>
      <c r="B39" s="25" t="s">
        <v>121</v>
      </c>
      <c r="C39" s="25" t="s">
        <v>122</v>
      </c>
      <c r="D39" s="25" t="s">
        <v>123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10</v>
      </c>
      <c r="K39" s="31">
        <f>2195</f>
        <v>2195</v>
      </c>
      <c r="L39" s="32" t="s">
        <v>1204</v>
      </c>
      <c r="M39" s="31">
        <f>2302.5</f>
        <v>2302.5</v>
      </c>
      <c r="N39" s="32" t="s">
        <v>1076</v>
      </c>
      <c r="O39" s="31">
        <f>2161.5</f>
        <v>2161.5</v>
      </c>
      <c r="P39" s="32" t="s">
        <v>1208</v>
      </c>
      <c r="Q39" s="31">
        <f>2232.5</f>
        <v>2232.5</v>
      </c>
      <c r="R39" s="32" t="s">
        <v>661</v>
      </c>
      <c r="S39" s="33">
        <f>2252.82</f>
        <v>2252.8200000000002</v>
      </c>
      <c r="T39" s="30">
        <f>57440</f>
        <v>57440</v>
      </c>
      <c r="U39" s="30">
        <f>20370</f>
        <v>20370</v>
      </c>
      <c r="V39" s="30">
        <f>128771930</f>
        <v>128771930</v>
      </c>
      <c r="W39" s="30">
        <f>46734325</f>
        <v>46734325</v>
      </c>
      <c r="X39" s="34">
        <f>19</f>
        <v>19</v>
      </c>
    </row>
    <row r="40" spans="1:24">
      <c r="A40" s="25" t="s">
        <v>1219</v>
      </c>
      <c r="B40" s="25" t="s">
        <v>1082</v>
      </c>
      <c r="C40" s="25" t="s">
        <v>1083</v>
      </c>
      <c r="D40" s="25" t="s">
        <v>1084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</v>
      </c>
      <c r="K40" s="31">
        <f>1983</f>
        <v>1983</v>
      </c>
      <c r="L40" s="32" t="s">
        <v>1204</v>
      </c>
      <c r="M40" s="31">
        <f>2015</f>
        <v>2015</v>
      </c>
      <c r="N40" s="32" t="s">
        <v>1209</v>
      </c>
      <c r="O40" s="31">
        <f>1972</f>
        <v>1972</v>
      </c>
      <c r="P40" s="32" t="s">
        <v>1208</v>
      </c>
      <c r="Q40" s="31">
        <f>1976</f>
        <v>1976</v>
      </c>
      <c r="R40" s="32" t="s">
        <v>661</v>
      </c>
      <c r="S40" s="33">
        <f>1989.3</f>
        <v>1989.3</v>
      </c>
      <c r="T40" s="30">
        <f>78577</f>
        <v>78577</v>
      </c>
      <c r="U40" s="30" t="str">
        <f>"－"</f>
        <v>－</v>
      </c>
      <c r="V40" s="30">
        <f>155173231</f>
        <v>155173231</v>
      </c>
      <c r="W40" s="30" t="str">
        <f>"－"</f>
        <v>－</v>
      </c>
      <c r="X40" s="34">
        <f>20</f>
        <v>20</v>
      </c>
    </row>
    <row r="41" spans="1:24">
      <c r="A41" s="25" t="s">
        <v>1219</v>
      </c>
      <c r="B41" s="25" t="s">
        <v>124</v>
      </c>
      <c r="C41" s="25" t="s">
        <v>884</v>
      </c>
      <c r="D41" s="25" t="s">
        <v>885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2537</f>
        <v>2537</v>
      </c>
      <c r="L41" s="32" t="s">
        <v>1204</v>
      </c>
      <c r="M41" s="31">
        <f>2661</f>
        <v>2661</v>
      </c>
      <c r="N41" s="32" t="s">
        <v>661</v>
      </c>
      <c r="O41" s="31">
        <f>2500</f>
        <v>2500</v>
      </c>
      <c r="P41" s="32" t="s">
        <v>1212</v>
      </c>
      <c r="Q41" s="31">
        <f>2653</f>
        <v>2653</v>
      </c>
      <c r="R41" s="32" t="s">
        <v>661</v>
      </c>
      <c r="S41" s="33">
        <f>2560.55</f>
        <v>2560.5500000000002</v>
      </c>
      <c r="T41" s="30">
        <f>1908083</f>
        <v>1908083</v>
      </c>
      <c r="U41" s="30">
        <f>833800</f>
        <v>833800</v>
      </c>
      <c r="V41" s="30">
        <f>4882425450</f>
        <v>4882425450</v>
      </c>
      <c r="W41" s="30">
        <f>2126959968</f>
        <v>2126959968</v>
      </c>
      <c r="X41" s="34">
        <f>20</f>
        <v>20</v>
      </c>
    </row>
    <row r="42" spans="1:24">
      <c r="A42" s="25" t="s">
        <v>1219</v>
      </c>
      <c r="B42" s="25" t="s">
        <v>125</v>
      </c>
      <c r="C42" s="25" t="s">
        <v>886</v>
      </c>
      <c r="D42" s="25" t="s">
        <v>887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2953</f>
        <v>2953</v>
      </c>
      <c r="L42" s="32" t="s">
        <v>1204</v>
      </c>
      <c r="M42" s="31">
        <f>3055</f>
        <v>3055</v>
      </c>
      <c r="N42" s="32" t="s">
        <v>1220</v>
      </c>
      <c r="O42" s="31">
        <f>2838</f>
        <v>2838</v>
      </c>
      <c r="P42" s="32" t="s">
        <v>1212</v>
      </c>
      <c r="Q42" s="31">
        <f>2980</f>
        <v>2980</v>
      </c>
      <c r="R42" s="32" t="s">
        <v>661</v>
      </c>
      <c r="S42" s="33">
        <f>2917.35</f>
        <v>2917.35</v>
      </c>
      <c r="T42" s="30">
        <f>1042582</f>
        <v>1042582</v>
      </c>
      <c r="U42" s="30">
        <f>942843</f>
        <v>942843</v>
      </c>
      <c r="V42" s="30">
        <f>3078099521</f>
        <v>3078099521</v>
      </c>
      <c r="W42" s="30">
        <f>2789475964</f>
        <v>2789475964</v>
      </c>
      <c r="X42" s="34">
        <f>20</f>
        <v>20</v>
      </c>
    </row>
    <row r="43" spans="1:24">
      <c r="A43" s="25" t="s">
        <v>1219</v>
      </c>
      <c r="B43" s="25" t="s">
        <v>126</v>
      </c>
      <c r="C43" s="25" t="s">
        <v>127</v>
      </c>
      <c r="D43" s="25" t="s">
        <v>128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29480</f>
        <v>29480</v>
      </c>
      <c r="L43" s="32" t="s">
        <v>1204</v>
      </c>
      <c r="M43" s="31">
        <f>30320</f>
        <v>30320</v>
      </c>
      <c r="N43" s="32" t="s">
        <v>1212</v>
      </c>
      <c r="O43" s="31">
        <f>26580</f>
        <v>26580</v>
      </c>
      <c r="P43" s="32" t="s">
        <v>661</v>
      </c>
      <c r="Q43" s="31">
        <f>26790</f>
        <v>26790</v>
      </c>
      <c r="R43" s="32" t="s">
        <v>661</v>
      </c>
      <c r="S43" s="33">
        <f>28957.5</f>
        <v>28957.5</v>
      </c>
      <c r="T43" s="30">
        <f>7673128</f>
        <v>7673128</v>
      </c>
      <c r="U43" s="30">
        <f>44990</f>
        <v>44990</v>
      </c>
      <c r="V43" s="30">
        <f>220988691697</f>
        <v>220988691697</v>
      </c>
      <c r="W43" s="30">
        <f>1309638232</f>
        <v>1309638232</v>
      </c>
      <c r="X43" s="34">
        <f>20</f>
        <v>20</v>
      </c>
    </row>
    <row r="44" spans="1:24">
      <c r="A44" s="25" t="s">
        <v>1219</v>
      </c>
      <c r="B44" s="25" t="s">
        <v>129</v>
      </c>
      <c r="C44" s="25" t="s">
        <v>130</v>
      </c>
      <c r="D44" s="25" t="s">
        <v>131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511</f>
        <v>511</v>
      </c>
      <c r="L44" s="32" t="s">
        <v>1204</v>
      </c>
      <c r="M44" s="31">
        <f>559</f>
        <v>559</v>
      </c>
      <c r="N44" s="32" t="s">
        <v>661</v>
      </c>
      <c r="O44" s="31">
        <f>493</f>
        <v>493</v>
      </c>
      <c r="P44" s="32" t="s">
        <v>1212</v>
      </c>
      <c r="Q44" s="31">
        <f>556</f>
        <v>556</v>
      </c>
      <c r="R44" s="32" t="s">
        <v>661</v>
      </c>
      <c r="S44" s="33">
        <f>517.25</f>
        <v>517.25</v>
      </c>
      <c r="T44" s="30">
        <f>239345829</f>
        <v>239345829</v>
      </c>
      <c r="U44" s="30">
        <f>3766547</f>
        <v>3766547</v>
      </c>
      <c r="V44" s="30">
        <f>124321772377</f>
        <v>124321772377</v>
      </c>
      <c r="W44" s="30">
        <f>1948028807</f>
        <v>1948028807</v>
      </c>
      <c r="X44" s="34">
        <f>20</f>
        <v>20</v>
      </c>
    </row>
    <row r="45" spans="1:24">
      <c r="A45" s="25" t="s">
        <v>1219</v>
      </c>
      <c r="B45" s="25" t="s">
        <v>132</v>
      </c>
      <c r="C45" s="25" t="s">
        <v>888</v>
      </c>
      <c r="D45" s="25" t="s">
        <v>889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600</f>
        <v>600</v>
      </c>
      <c r="L45" s="32" t="s">
        <v>1204</v>
      </c>
      <c r="M45" s="31">
        <f>618</f>
        <v>618</v>
      </c>
      <c r="N45" s="32" t="s">
        <v>1220</v>
      </c>
      <c r="O45" s="31">
        <f>549</f>
        <v>549</v>
      </c>
      <c r="P45" s="32" t="s">
        <v>1078</v>
      </c>
      <c r="Q45" s="31">
        <f>593</f>
        <v>593</v>
      </c>
      <c r="R45" s="32" t="s">
        <v>661</v>
      </c>
      <c r="S45" s="33">
        <f>579.6</f>
        <v>579.6</v>
      </c>
      <c r="T45" s="30">
        <f>69337</f>
        <v>69337</v>
      </c>
      <c r="U45" s="30" t="str">
        <f>"－"</f>
        <v>－</v>
      </c>
      <c r="V45" s="30">
        <f>40707829</f>
        <v>40707829</v>
      </c>
      <c r="W45" s="30" t="str">
        <f>"－"</f>
        <v>－</v>
      </c>
      <c r="X45" s="34">
        <f>20</f>
        <v>20</v>
      </c>
    </row>
    <row r="46" spans="1:24">
      <c r="A46" s="25" t="s">
        <v>1219</v>
      </c>
      <c r="B46" s="25" t="s">
        <v>133</v>
      </c>
      <c r="C46" s="25" t="s">
        <v>134</v>
      </c>
      <c r="D46" s="25" t="s">
        <v>135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10</v>
      </c>
      <c r="K46" s="31">
        <f>591</f>
        <v>591</v>
      </c>
      <c r="L46" s="32" t="s">
        <v>1204</v>
      </c>
      <c r="M46" s="31">
        <f>610.3</f>
        <v>610.29999999999995</v>
      </c>
      <c r="N46" s="32" t="s">
        <v>1220</v>
      </c>
      <c r="O46" s="31">
        <f>536</f>
        <v>536</v>
      </c>
      <c r="P46" s="32" t="s">
        <v>1075</v>
      </c>
      <c r="Q46" s="31">
        <f>599.8</f>
        <v>599.79999999999995</v>
      </c>
      <c r="R46" s="32" t="s">
        <v>661</v>
      </c>
      <c r="S46" s="33">
        <f>570.04</f>
        <v>570.04</v>
      </c>
      <c r="T46" s="30">
        <f>163370</f>
        <v>163370</v>
      </c>
      <c r="U46" s="30" t="str">
        <f>"－"</f>
        <v>－</v>
      </c>
      <c r="V46" s="30">
        <f>93506461</f>
        <v>93506461</v>
      </c>
      <c r="W46" s="30" t="str">
        <f>"－"</f>
        <v>－</v>
      </c>
      <c r="X46" s="34">
        <f>20</f>
        <v>20</v>
      </c>
    </row>
    <row r="47" spans="1:24">
      <c r="A47" s="25" t="s">
        <v>1219</v>
      </c>
      <c r="B47" s="25" t="s">
        <v>136</v>
      </c>
      <c r="C47" s="25" t="s">
        <v>137</v>
      </c>
      <c r="D47" s="25" t="s">
        <v>138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245</f>
        <v>245</v>
      </c>
      <c r="L47" s="32" t="s">
        <v>1204</v>
      </c>
      <c r="M47" s="31">
        <f>252</f>
        <v>252</v>
      </c>
      <c r="N47" s="32" t="s">
        <v>1220</v>
      </c>
      <c r="O47" s="31">
        <f>214</f>
        <v>214</v>
      </c>
      <c r="P47" s="32" t="s">
        <v>661</v>
      </c>
      <c r="Q47" s="31">
        <f>234</f>
        <v>234</v>
      </c>
      <c r="R47" s="32" t="s">
        <v>661</v>
      </c>
      <c r="S47" s="33">
        <f>231.1</f>
        <v>231.1</v>
      </c>
      <c r="T47" s="30">
        <f>188784</f>
        <v>188784</v>
      </c>
      <c r="U47" s="30" t="str">
        <f>"－"</f>
        <v>－</v>
      </c>
      <c r="V47" s="30">
        <f>43613194</f>
        <v>43613194</v>
      </c>
      <c r="W47" s="30" t="str">
        <f>"－"</f>
        <v>－</v>
      </c>
      <c r="X47" s="34">
        <f>20</f>
        <v>20</v>
      </c>
    </row>
    <row r="48" spans="1:24">
      <c r="A48" s="25" t="s">
        <v>1219</v>
      </c>
      <c r="B48" s="25" t="s">
        <v>139</v>
      </c>
      <c r="C48" s="25" t="s">
        <v>140</v>
      </c>
      <c r="D48" s="25" t="s">
        <v>141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2757.5</f>
        <v>2757.5</v>
      </c>
      <c r="L48" s="32" t="s">
        <v>1204</v>
      </c>
      <c r="M48" s="31">
        <f>2862.5</f>
        <v>2862.5</v>
      </c>
      <c r="N48" s="32" t="s">
        <v>1212</v>
      </c>
      <c r="O48" s="31">
        <f>2653.5</f>
        <v>2653.5</v>
      </c>
      <c r="P48" s="32" t="s">
        <v>1220</v>
      </c>
      <c r="Q48" s="31">
        <f>2732.5</f>
        <v>2732.5</v>
      </c>
      <c r="R48" s="32" t="s">
        <v>661</v>
      </c>
      <c r="S48" s="33">
        <f>2789.53</f>
        <v>2789.53</v>
      </c>
      <c r="T48" s="30">
        <f>1355440</f>
        <v>1355440</v>
      </c>
      <c r="U48" s="30">
        <f>128520</f>
        <v>128520</v>
      </c>
      <c r="V48" s="30">
        <f>3768551100</f>
        <v>3768551100</v>
      </c>
      <c r="W48" s="30">
        <f>364340210</f>
        <v>364340210</v>
      </c>
      <c r="X48" s="34">
        <f>20</f>
        <v>20</v>
      </c>
    </row>
    <row r="49" spans="1:24">
      <c r="A49" s="25" t="s">
        <v>1219</v>
      </c>
      <c r="B49" s="25" t="s">
        <v>142</v>
      </c>
      <c r="C49" s="25" t="s">
        <v>143</v>
      </c>
      <c r="D49" s="25" t="s">
        <v>144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24795</f>
        <v>24795</v>
      </c>
      <c r="L49" s="32" t="s">
        <v>1204</v>
      </c>
      <c r="M49" s="31">
        <f>25970</f>
        <v>25970</v>
      </c>
      <c r="N49" s="32" t="s">
        <v>1076</v>
      </c>
      <c r="O49" s="31">
        <f>24060</f>
        <v>24060</v>
      </c>
      <c r="P49" s="32" t="s">
        <v>1220</v>
      </c>
      <c r="Q49" s="31">
        <f>24595</f>
        <v>24595</v>
      </c>
      <c r="R49" s="32" t="s">
        <v>661</v>
      </c>
      <c r="S49" s="33">
        <f>25089.5</f>
        <v>25089.5</v>
      </c>
      <c r="T49" s="30">
        <f>16113</f>
        <v>16113</v>
      </c>
      <c r="U49" s="30" t="str">
        <f>"－"</f>
        <v>－</v>
      </c>
      <c r="V49" s="30">
        <f>399963165</f>
        <v>399963165</v>
      </c>
      <c r="W49" s="30" t="str">
        <f>"－"</f>
        <v>－</v>
      </c>
      <c r="X49" s="34">
        <f>20</f>
        <v>20</v>
      </c>
    </row>
    <row r="50" spans="1:24">
      <c r="A50" s="25" t="s">
        <v>1219</v>
      </c>
      <c r="B50" s="25" t="s">
        <v>145</v>
      </c>
      <c r="C50" s="25" t="s">
        <v>146</v>
      </c>
      <c r="D50" s="25" t="s">
        <v>147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278</f>
        <v>278</v>
      </c>
      <c r="L50" s="32" t="s">
        <v>1204</v>
      </c>
      <c r="M50" s="31">
        <f>288.6</f>
        <v>288.60000000000002</v>
      </c>
      <c r="N50" s="32" t="s">
        <v>1212</v>
      </c>
      <c r="O50" s="31">
        <f>267.9</f>
        <v>267.89999999999998</v>
      </c>
      <c r="P50" s="32" t="s">
        <v>1220</v>
      </c>
      <c r="Q50" s="31">
        <f>274.7</f>
        <v>274.7</v>
      </c>
      <c r="R50" s="32" t="s">
        <v>661</v>
      </c>
      <c r="S50" s="33">
        <f>280.86</f>
        <v>280.86</v>
      </c>
      <c r="T50" s="30">
        <f>79408350</f>
        <v>79408350</v>
      </c>
      <c r="U50" s="30">
        <f>44927590</f>
        <v>44927590</v>
      </c>
      <c r="V50" s="30">
        <f>22489050884</f>
        <v>22489050884</v>
      </c>
      <c r="W50" s="30">
        <f>12836688891</f>
        <v>12836688891</v>
      </c>
      <c r="X50" s="34">
        <f>20</f>
        <v>20</v>
      </c>
    </row>
    <row r="51" spans="1:24">
      <c r="A51" s="25" t="s">
        <v>1219</v>
      </c>
      <c r="B51" s="25" t="s">
        <v>148</v>
      </c>
      <c r="C51" s="25" t="s">
        <v>149</v>
      </c>
      <c r="D51" s="25" t="s">
        <v>150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1759</f>
        <v>1759</v>
      </c>
      <c r="L51" s="32" t="s">
        <v>1204</v>
      </c>
      <c r="M51" s="31">
        <f>1793</f>
        <v>1793</v>
      </c>
      <c r="N51" s="32" t="s">
        <v>1075</v>
      </c>
      <c r="O51" s="31">
        <f>1697</f>
        <v>1697</v>
      </c>
      <c r="P51" s="32" t="s">
        <v>1220</v>
      </c>
      <c r="Q51" s="31">
        <f>1760</f>
        <v>1760</v>
      </c>
      <c r="R51" s="32" t="s">
        <v>661</v>
      </c>
      <c r="S51" s="33">
        <f>1747.55</f>
        <v>1747.55</v>
      </c>
      <c r="T51" s="30">
        <f>13468616</f>
        <v>13468616</v>
      </c>
      <c r="U51" s="30">
        <f>11406108</f>
        <v>11406108</v>
      </c>
      <c r="V51" s="30">
        <f>23677735979</f>
        <v>23677735979</v>
      </c>
      <c r="W51" s="30">
        <f>20060990819</f>
        <v>20060990819</v>
      </c>
      <c r="X51" s="34">
        <f>20</f>
        <v>20</v>
      </c>
    </row>
    <row r="52" spans="1:24">
      <c r="A52" s="25" t="s">
        <v>1219</v>
      </c>
      <c r="B52" s="25" t="s">
        <v>151</v>
      </c>
      <c r="C52" s="25" t="s">
        <v>152</v>
      </c>
      <c r="D52" s="25" t="s">
        <v>153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</v>
      </c>
      <c r="K52" s="31">
        <f>2529</f>
        <v>2529</v>
      </c>
      <c r="L52" s="32" t="s">
        <v>1204</v>
      </c>
      <c r="M52" s="31">
        <f>2628</f>
        <v>2628</v>
      </c>
      <c r="N52" s="32" t="s">
        <v>1078</v>
      </c>
      <c r="O52" s="31">
        <f>2490</f>
        <v>2490</v>
      </c>
      <c r="P52" s="32" t="s">
        <v>1220</v>
      </c>
      <c r="Q52" s="31">
        <f>2537</f>
        <v>2537</v>
      </c>
      <c r="R52" s="32" t="s">
        <v>661</v>
      </c>
      <c r="S52" s="33">
        <f>2574.05</f>
        <v>2574.0500000000002</v>
      </c>
      <c r="T52" s="30">
        <f>28785</f>
        <v>28785</v>
      </c>
      <c r="U52" s="30">
        <f>3795</f>
        <v>3795</v>
      </c>
      <c r="V52" s="30">
        <f>73723459</f>
        <v>73723459</v>
      </c>
      <c r="W52" s="30">
        <f>9617828</f>
        <v>9617828</v>
      </c>
      <c r="X52" s="34">
        <f>20</f>
        <v>20</v>
      </c>
    </row>
    <row r="53" spans="1:24">
      <c r="A53" s="25" t="s">
        <v>1219</v>
      </c>
      <c r="B53" s="25" t="s">
        <v>154</v>
      </c>
      <c r="C53" s="25" t="s">
        <v>155</v>
      </c>
      <c r="D53" s="25" t="s">
        <v>156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3770</f>
        <v>3770</v>
      </c>
      <c r="L53" s="32" t="s">
        <v>1204</v>
      </c>
      <c r="M53" s="31">
        <f>3885</f>
        <v>3885</v>
      </c>
      <c r="N53" s="32" t="s">
        <v>1212</v>
      </c>
      <c r="O53" s="31">
        <f>3610</f>
        <v>3610</v>
      </c>
      <c r="P53" s="32" t="s">
        <v>1220</v>
      </c>
      <c r="Q53" s="31">
        <f>3720</f>
        <v>3720</v>
      </c>
      <c r="R53" s="32" t="s">
        <v>661</v>
      </c>
      <c r="S53" s="33">
        <f>3776.25</f>
        <v>3776.25</v>
      </c>
      <c r="T53" s="30">
        <f>776081</f>
        <v>776081</v>
      </c>
      <c r="U53" s="30">
        <f>110720</f>
        <v>110720</v>
      </c>
      <c r="V53" s="30">
        <f>2941620539</f>
        <v>2941620539</v>
      </c>
      <c r="W53" s="30">
        <f>423274164</f>
        <v>423274164</v>
      </c>
      <c r="X53" s="34">
        <f>20</f>
        <v>20</v>
      </c>
    </row>
    <row r="54" spans="1:24">
      <c r="A54" s="25" t="s">
        <v>1219</v>
      </c>
      <c r="B54" s="25" t="s">
        <v>157</v>
      </c>
      <c r="C54" s="25" t="s">
        <v>890</v>
      </c>
      <c r="D54" s="25" t="s">
        <v>891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34800</f>
        <v>34800</v>
      </c>
      <c r="L54" s="32" t="s">
        <v>1204</v>
      </c>
      <c r="M54" s="31">
        <f>35440</f>
        <v>35440</v>
      </c>
      <c r="N54" s="32" t="s">
        <v>1205</v>
      </c>
      <c r="O54" s="31">
        <f>33670</f>
        <v>33670</v>
      </c>
      <c r="P54" s="32" t="s">
        <v>1220</v>
      </c>
      <c r="Q54" s="31">
        <f>35380</f>
        <v>35380</v>
      </c>
      <c r="R54" s="32" t="s">
        <v>1205</v>
      </c>
      <c r="S54" s="33">
        <f>34672.5</f>
        <v>34672.5</v>
      </c>
      <c r="T54" s="30">
        <f>121</f>
        <v>121</v>
      </c>
      <c r="U54" s="30">
        <f>7</f>
        <v>7</v>
      </c>
      <c r="V54" s="30">
        <f>4201330</f>
        <v>4201330</v>
      </c>
      <c r="W54" s="30">
        <f>234500</f>
        <v>234500</v>
      </c>
      <c r="X54" s="34">
        <f>4</f>
        <v>4</v>
      </c>
    </row>
    <row r="55" spans="1:24">
      <c r="A55" s="25" t="s">
        <v>1219</v>
      </c>
      <c r="B55" s="25" t="s">
        <v>158</v>
      </c>
      <c r="C55" s="25" t="s">
        <v>159</v>
      </c>
      <c r="D55" s="25" t="s">
        <v>160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26755</f>
        <v>26755</v>
      </c>
      <c r="L55" s="32" t="s">
        <v>1208</v>
      </c>
      <c r="M55" s="31">
        <f>27455</f>
        <v>27455</v>
      </c>
      <c r="N55" s="32" t="s">
        <v>1207</v>
      </c>
      <c r="O55" s="31">
        <f>26260</f>
        <v>26260</v>
      </c>
      <c r="P55" s="32" t="s">
        <v>1209</v>
      </c>
      <c r="Q55" s="31">
        <f>27115</f>
        <v>27115</v>
      </c>
      <c r="R55" s="32" t="s">
        <v>663</v>
      </c>
      <c r="S55" s="33">
        <f>26984.29</f>
        <v>26984.29</v>
      </c>
      <c r="T55" s="30">
        <f>770</f>
        <v>770</v>
      </c>
      <c r="U55" s="30" t="str">
        <f>"－"</f>
        <v>－</v>
      </c>
      <c r="V55" s="30">
        <f>20916360</f>
        <v>20916360</v>
      </c>
      <c r="W55" s="30" t="str">
        <f>"－"</f>
        <v>－</v>
      </c>
      <c r="X55" s="34">
        <f>7</f>
        <v>7</v>
      </c>
    </row>
    <row r="56" spans="1:24">
      <c r="A56" s="25" t="s">
        <v>1219</v>
      </c>
      <c r="B56" s="25" t="s">
        <v>161</v>
      </c>
      <c r="C56" s="25" t="s">
        <v>162</v>
      </c>
      <c r="D56" s="25" t="s">
        <v>163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2821</f>
        <v>2821</v>
      </c>
      <c r="L56" s="32" t="s">
        <v>1204</v>
      </c>
      <c r="M56" s="31">
        <f>2875</f>
        <v>2875</v>
      </c>
      <c r="N56" s="32" t="s">
        <v>1212</v>
      </c>
      <c r="O56" s="31">
        <f>2715</f>
        <v>2715</v>
      </c>
      <c r="P56" s="32" t="s">
        <v>1220</v>
      </c>
      <c r="Q56" s="31">
        <f>2769</f>
        <v>2769</v>
      </c>
      <c r="R56" s="32" t="s">
        <v>661</v>
      </c>
      <c r="S56" s="33">
        <f>2809.24</f>
        <v>2809.24</v>
      </c>
      <c r="T56" s="30">
        <f>1491</f>
        <v>1491</v>
      </c>
      <c r="U56" s="30" t="str">
        <f>"－"</f>
        <v>－</v>
      </c>
      <c r="V56" s="30">
        <f>4194774</f>
        <v>4194774</v>
      </c>
      <c r="W56" s="30" t="str">
        <f>"－"</f>
        <v>－</v>
      </c>
      <c r="X56" s="34">
        <f>17</f>
        <v>17</v>
      </c>
    </row>
    <row r="57" spans="1:24">
      <c r="A57" s="25" t="s">
        <v>1219</v>
      </c>
      <c r="B57" s="25" t="s">
        <v>164</v>
      </c>
      <c r="C57" s="25" t="s">
        <v>165</v>
      </c>
      <c r="D57" s="25" t="s">
        <v>166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1664</f>
        <v>1664</v>
      </c>
      <c r="L57" s="32" t="s">
        <v>1204</v>
      </c>
      <c r="M57" s="31">
        <f>1682</f>
        <v>1682</v>
      </c>
      <c r="N57" s="32" t="s">
        <v>1208</v>
      </c>
      <c r="O57" s="31">
        <f>1651</f>
        <v>1651</v>
      </c>
      <c r="P57" s="32" t="s">
        <v>1085</v>
      </c>
      <c r="Q57" s="31">
        <f>1675</f>
        <v>1675</v>
      </c>
      <c r="R57" s="32" t="s">
        <v>661</v>
      </c>
      <c r="S57" s="33">
        <f>1662.6</f>
        <v>1662.6</v>
      </c>
      <c r="T57" s="30">
        <f>5915367</f>
        <v>5915367</v>
      </c>
      <c r="U57" s="30">
        <f>4838563</f>
        <v>4838563</v>
      </c>
      <c r="V57" s="30">
        <f>9847933976</f>
        <v>9847933976</v>
      </c>
      <c r="W57" s="30">
        <f>8055126354</f>
        <v>8055126354</v>
      </c>
      <c r="X57" s="34">
        <f>20</f>
        <v>20</v>
      </c>
    </row>
    <row r="58" spans="1:24">
      <c r="A58" s="25" t="s">
        <v>1219</v>
      </c>
      <c r="B58" s="25" t="s">
        <v>167</v>
      </c>
      <c r="C58" s="25" t="s">
        <v>168</v>
      </c>
      <c r="D58" s="25" t="s">
        <v>169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2768</f>
        <v>2768</v>
      </c>
      <c r="L58" s="32" t="s">
        <v>1208</v>
      </c>
      <c r="M58" s="31">
        <f>2853</f>
        <v>2853</v>
      </c>
      <c r="N58" s="32" t="s">
        <v>1212</v>
      </c>
      <c r="O58" s="31">
        <f>2700</f>
        <v>2700</v>
      </c>
      <c r="P58" s="32" t="s">
        <v>1220</v>
      </c>
      <c r="Q58" s="31">
        <f>2753</f>
        <v>2753</v>
      </c>
      <c r="R58" s="32" t="s">
        <v>661</v>
      </c>
      <c r="S58" s="33">
        <f>2793.18</f>
        <v>2793.18</v>
      </c>
      <c r="T58" s="30">
        <f>437</f>
        <v>437</v>
      </c>
      <c r="U58" s="30">
        <f>1</f>
        <v>1</v>
      </c>
      <c r="V58" s="30">
        <f>1231826</f>
        <v>1231826</v>
      </c>
      <c r="W58" s="30">
        <f>2765</f>
        <v>2765</v>
      </c>
      <c r="X58" s="34">
        <f>17</f>
        <v>17</v>
      </c>
    </row>
    <row r="59" spans="1:24">
      <c r="A59" s="25" t="s">
        <v>1219</v>
      </c>
      <c r="B59" s="25" t="s">
        <v>170</v>
      </c>
      <c r="C59" s="25" t="s">
        <v>171</v>
      </c>
      <c r="D59" s="25" t="s">
        <v>172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10</v>
      </c>
      <c r="K59" s="31">
        <f>2781.5</f>
        <v>2781.5</v>
      </c>
      <c r="L59" s="32" t="s">
        <v>1204</v>
      </c>
      <c r="M59" s="31">
        <f>2844</f>
        <v>2844</v>
      </c>
      <c r="N59" s="32" t="s">
        <v>1212</v>
      </c>
      <c r="O59" s="31">
        <f>2708.5</f>
        <v>2708.5</v>
      </c>
      <c r="P59" s="32" t="s">
        <v>1220</v>
      </c>
      <c r="Q59" s="31">
        <f>2738.5</f>
        <v>2738.5</v>
      </c>
      <c r="R59" s="32" t="s">
        <v>661</v>
      </c>
      <c r="S59" s="33">
        <f>2781.65</f>
        <v>2781.65</v>
      </c>
      <c r="T59" s="30">
        <f>2620</f>
        <v>2620</v>
      </c>
      <c r="U59" s="30" t="str">
        <f>"－"</f>
        <v>－</v>
      </c>
      <c r="V59" s="30">
        <f>7287960</f>
        <v>7287960</v>
      </c>
      <c r="W59" s="30" t="str">
        <f>"－"</f>
        <v>－</v>
      </c>
      <c r="X59" s="34">
        <f>20</f>
        <v>20</v>
      </c>
    </row>
    <row r="60" spans="1:24">
      <c r="A60" s="25" t="s">
        <v>1219</v>
      </c>
      <c r="B60" s="25" t="s">
        <v>173</v>
      </c>
      <c r="C60" s="25" t="s">
        <v>174</v>
      </c>
      <c r="D60" s="25" t="s">
        <v>175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 t="str">
        <f>"－"</f>
        <v>－</v>
      </c>
      <c r="L60" s="32"/>
      <c r="M60" s="31" t="str">
        <f>"－"</f>
        <v>－</v>
      </c>
      <c r="N60" s="32"/>
      <c r="O60" s="31" t="str">
        <f>"－"</f>
        <v>－</v>
      </c>
      <c r="P60" s="32"/>
      <c r="Q60" s="31" t="str">
        <f>"－"</f>
        <v>－</v>
      </c>
      <c r="R60" s="32"/>
      <c r="S60" s="33" t="str">
        <f>"－"</f>
        <v>－</v>
      </c>
      <c r="T60" s="30" t="str">
        <f>"－"</f>
        <v>－</v>
      </c>
      <c r="U60" s="30" t="str">
        <f>"－"</f>
        <v>－</v>
      </c>
      <c r="V60" s="30" t="str">
        <f>"－"</f>
        <v>－</v>
      </c>
      <c r="W60" s="30" t="str">
        <f>"－"</f>
        <v>－</v>
      </c>
      <c r="X60" s="34" t="str">
        <f>"－"</f>
        <v>－</v>
      </c>
    </row>
    <row r="61" spans="1:24">
      <c r="A61" s="25" t="s">
        <v>1219</v>
      </c>
      <c r="B61" s="25" t="s">
        <v>176</v>
      </c>
      <c r="C61" s="25" t="s">
        <v>177</v>
      </c>
      <c r="D61" s="25" t="s">
        <v>178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</v>
      </c>
      <c r="K61" s="31">
        <f>23485</f>
        <v>23485</v>
      </c>
      <c r="L61" s="32" t="s">
        <v>1204</v>
      </c>
      <c r="M61" s="31">
        <f>23485</f>
        <v>23485</v>
      </c>
      <c r="N61" s="32" t="s">
        <v>1204</v>
      </c>
      <c r="O61" s="31">
        <f>22775</f>
        <v>22775</v>
      </c>
      <c r="P61" s="32" t="s">
        <v>738</v>
      </c>
      <c r="Q61" s="31">
        <f>23280</f>
        <v>23280</v>
      </c>
      <c r="R61" s="32" t="s">
        <v>661</v>
      </c>
      <c r="S61" s="33">
        <f>23147.25</f>
        <v>23147.25</v>
      </c>
      <c r="T61" s="30">
        <f>8321</f>
        <v>8321</v>
      </c>
      <c r="U61" s="30">
        <f>1</f>
        <v>1</v>
      </c>
      <c r="V61" s="30">
        <f>192477685</f>
        <v>192477685</v>
      </c>
      <c r="W61" s="30">
        <f>23270</f>
        <v>23270</v>
      </c>
      <c r="X61" s="34">
        <f>20</f>
        <v>20</v>
      </c>
    </row>
    <row r="62" spans="1:24">
      <c r="A62" s="25" t="s">
        <v>1219</v>
      </c>
      <c r="B62" s="25" t="s">
        <v>179</v>
      </c>
      <c r="C62" s="25" t="s">
        <v>180</v>
      </c>
      <c r="D62" s="25" t="s">
        <v>181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12830</f>
        <v>12830</v>
      </c>
      <c r="L62" s="32" t="s">
        <v>1204</v>
      </c>
      <c r="M62" s="31">
        <f>12930</f>
        <v>12930</v>
      </c>
      <c r="N62" s="32" t="s">
        <v>1209</v>
      </c>
      <c r="O62" s="31">
        <f>12705</f>
        <v>12705</v>
      </c>
      <c r="P62" s="32" t="s">
        <v>1078</v>
      </c>
      <c r="Q62" s="31">
        <f>12865</f>
        <v>12865</v>
      </c>
      <c r="R62" s="32" t="s">
        <v>661</v>
      </c>
      <c r="S62" s="33">
        <f>12792.75</f>
        <v>12792.75</v>
      </c>
      <c r="T62" s="30">
        <f>334876</f>
        <v>334876</v>
      </c>
      <c r="U62" s="30">
        <f>311455</f>
        <v>311455</v>
      </c>
      <c r="V62" s="30">
        <f>4282811991</f>
        <v>4282811991</v>
      </c>
      <c r="W62" s="30">
        <f>3982826866</f>
        <v>3982826866</v>
      </c>
      <c r="X62" s="34">
        <f>20</f>
        <v>20</v>
      </c>
    </row>
    <row r="63" spans="1:24">
      <c r="A63" s="25" t="s">
        <v>1219</v>
      </c>
      <c r="B63" s="25" t="s">
        <v>182</v>
      </c>
      <c r="C63" s="25" t="s">
        <v>892</v>
      </c>
      <c r="D63" s="25" t="s">
        <v>893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1749</f>
        <v>1749</v>
      </c>
      <c r="L63" s="32" t="s">
        <v>1204</v>
      </c>
      <c r="M63" s="31">
        <f>1781</f>
        <v>1781</v>
      </c>
      <c r="N63" s="32" t="s">
        <v>1075</v>
      </c>
      <c r="O63" s="31">
        <f>1686</f>
        <v>1686</v>
      </c>
      <c r="P63" s="32" t="s">
        <v>1220</v>
      </c>
      <c r="Q63" s="31">
        <f>1746</f>
        <v>1746</v>
      </c>
      <c r="R63" s="32" t="s">
        <v>661</v>
      </c>
      <c r="S63" s="33">
        <f>1736.3</f>
        <v>1736.3</v>
      </c>
      <c r="T63" s="30">
        <f>9890988</f>
        <v>9890988</v>
      </c>
      <c r="U63" s="30">
        <f>2874018</f>
        <v>2874018</v>
      </c>
      <c r="V63" s="30">
        <f>16975219747</f>
        <v>16975219747</v>
      </c>
      <c r="W63" s="30">
        <f>4976605751</f>
        <v>4976605751</v>
      </c>
      <c r="X63" s="34">
        <f>20</f>
        <v>20</v>
      </c>
    </row>
    <row r="64" spans="1:24">
      <c r="A64" s="25" t="s">
        <v>1219</v>
      </c>
      <c r="B64" s="25" t="s">
        <v>183</v>
      </c>
      <c r="C64" s="25" t="s">
        <v>184</v>
      </c>
      <c r="D64" s="25" t="s">
        <v>185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2320</f>
        <v>2320</v>
      </c>
      <c r="L64" s="32" t="s">
        <v>1204</v>
      </c>
      <c r="M64" s="31">
        <f>2428</f>
        <v>2428</v>
      </c>
      <c r="N64" s="32" t="s">
        <v>1076</v>
      </c>
      <c r="O64" s="31">
        <f>2273</f>
        <v>2273</v>
      </c>
      <c r="P64" s="32" t="s">
        <v>1220</v>
      </c>
      <c r="Q64" s="31">
        <f>2327</f>
        <v>2327</v>
      </c>
      <c r="R64" s="32" t="s">
        <v>661</v>
      </c>
      <c r="S64" s="33">
        <f>2365.1</f>
        <v>2365.1</v>
      </c>
      <c r="T64" s="30">
        <f>16059630</f>
        <v>16059630</v>
      </c>
      <c r="U64" s="30">
        <f>1295269</f>
        <v>1295269</v>
      </c>
      <c r="V64" s="30">
        <f>38019135272</f>
        <v>38019135272</v>
      </c>
      <c r="W64" s="30">
        <f>3053395271</f>
        <v>3053395271</v>
      </c>
      <c r="X64" s="34">
        <f>20</f>
        <v>20</v>
      </c>
    </row>
    <row r="65" spans="1:24">
      <c r="A65" s="25" t="s">
        <v>1219</v>
      </c>
      <c r="B65" s="25" t="s">
        <v>186</v>
      </c>
      <c r="C65" s="25" t="s">
        <v>187</v>
      </c>
      <c r="D65" s="25" t="s">
        <v>188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10</v>
      </c>
      <c r="K65" s="31" t="str">
        <f>"－"</f>
        <v>－</v>
      </c>
      <c r="L65" s="32"/>
      <c r="M65" s="31" t="str">
        <f>"－"</f>
        <v>－</v>
      </c>
      <c r="N65" s="32"/>
      <c r="O65" s="31" t="str">
        <f>"－"</f>
        <v>－</v>
      </c>
      <c r="P65" s="32"/>
      <c r="Q65" s="31" t="str">
        <f>"－"</f>
        <v>－</v>
      </c>
      <c r="R65" s="32"/>
      <c r="S65" s="33" t="str">
        <f t="shared" ref="S65:X65" si="0">"－"</f>
        <v>－</v>
      </c>
      <c r="T65" s="30" t="str">
        <f t="shared" si="0"/>
        <v>－</v>
      </c>
      <c r="U65" s="30" t="str">
        <f t="shared" si="0"/>
        <v>－</v>
      </c>
      <c r="V65" s="30" t="str">
        <f t="shared" si="0"/>
        <v>－</v>
      </c>
      <c r="W65" s="30" t="str">
        <f t="shared" si="0"/>
        <v>－</v>
      </c>
      <c r="X65" s="34" t="str">
        <f t="shared" si="0"/>
        <v>－</v>
      </c>
    </row>
    <row r="66" spans="1:24">
      <c r="A66" s="25" t="s">
        <v>1219</v>
      </c>
      <c r="B66" s="25" t="s">
        <v>189</v>
      </c>
      <c r="C66" s="25" t="s">
        <v>190</v>
      </c>
      <c r="D66" s="25" t="s">
        <v>191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19270</f>
        <v>19270</v>
      </c>
      <c r="L66" s="32" t="s">
        <v>1204</v>
      </c>
      <c r="M66" s="31">
        <f>19655</f>
        <v>19655</v>
      </c>
      <c r="N66" s="32" t="s">
        <v>1078</v>
      </c>
      <c r="O66" s="31">
        <f>18670</f>
        <v>18670</v>
      </c>
      <c r="P66" s="32" t="s">
        <v>1220</v>
      </c>
      <c r="Q66" s="31">
        <f>19030</f>
        <v>19030</v>
      </c>
      <c r="R66" s="32" t="s">
        <v>661</v>
      </c>
      <c r="S66" s="33">
        <f>19259.5</f>
        <v>19259.5</v>
      </c>
      <c r="T66" s="30">
        <f>3433</f>
        <v>3433</v>
      </c>
      <c r="U66" s="30">
        <f>1080</f>
        <v>1080</v>
      </c>
      <c r="V66" s="30">
        <f>66533455</f>
        <v>66533455</v>
      </c>
      <c r="W66" s="30">
        <f>21073500</f>
        <v>21073500</v>
      </c>
      <c r="X66" s="34">
        <f>20</f>
        <v>20</v>
      </c>
    </row>
    <row r="67" spans="1:24">
      <c r="A67" s="25" t="s">
        <v>1219</v>
      </c>
      <c r="B67" s="25" t="s">
        <v>192</v>
      </c>
      <c r="C67" s="25" t="s">
        <v>193</v>
      </c>
      <c r="D67" s="25" t="s">
        <v>194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31490</f>
        <v>31490</v>
      </c>
      <c r="L67" s="32" t="s">
        <v>1204</v>
      </c>
      <c r="M67" s="31">
        <f>32530</f>
        <v>32530</v>
      </c>
      <c r="N67" s="32" t="s">
        <v>1078</v>
      </c>
      <c r="O67" s="31">
        <f>30930</f>
        <v>30930</v>
      </c>
      <c r="P67" s="32" t="s">
        <v>1220</v>
      </c>
      <c r="Q67" s="31">
        <f>31740</f>
        <v>31740</v>
      </c>
      <c r="R67" s="32" t="s">
        <v>661</v>
      </c>
      <c r="S67" s="33">
        <f>31935.5</f>
        <v>31935.5</v>
      </c>
      <c r="T67" s="30">
        <f>72467</f>
        <v>72467</v>
      </c>
      <c r="U67" s="30">
        <f>41496</f>
        <v>41496</v>
      </c>
      <c r="V67" s="30">
        <f>2298184760</f>
        <v>2298184760</v>
      </c>
      <c r="W67" s="30">
        <f>1313264320</f>
        <v>1313264320</v>
      </c>
      <c r="X67" s="34">
        <f>20</f>
        <v>20</v>
      </c>
    </row>
    <row r="68" spans="1:24">
      <c r="A68" s="25" t="s">
        <v>1219</v>
      </c>
      <c r="B68" s="25" t="s">
        <v>195</v>
      </c>
      <c r="C68" s="25" t="s">
        <v>196</v>
      </c>
      <c r="D68" s="25" t="s">
        <v>197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10</v>
      </c>
      <c r="K68" s="31">
        <f>9849</f>
        <v>9849</v>
      </c>
      <c r="L68" s="32" t="s">
        <v>1204</v>
      </c>
      <c r="M68" s="31">
        <f>10285</f>
        <v>10285</v>
      </c>
      <c r="N68" s="32" t="s">
        <v>1078</v>
      </c>
      <c r="O68" s="31">
        <f>9590</f>
        <v>9590</v>
      </c>
      <c r="P68" s="32" t="s">
        <v>1220</v>
      </c>
      <c r="Q68" s="31">
        <f>9960</f>
        <v>9960</v>
      </c>
      <c r="R68" s="32" t="s">
        <v>661</v>
      </c>
      <c r="S68" s="33">
        <f>9976.4</f>
        <v>9976.4</v>
      </c>
      <c r="T68" s="30">
        <f>15020</f>
        <v>15020</v>
      </c>
      <c r="U68" s="30">
        <f>50</f>
        <v>50</v>
      </c>
      <c r="V68" s="30">
        <f>148521230</f>
        <v>148521230</v>
      </c>
      <c r="W68" s="30">
        <f>499050</f>
        <v>499050</v>
      </c>
      <c r="X68" s="34">
        <f>20</f>
        <v>20</v>
      </c>
    </row>
    <row r="69" spans="1:24">
      <c r="A69" s="25" t="s">
        <v>1219</v>
      </c>
      <c r="B69" s="25" t="s">
        <v>198</v>
      </c>
      <c r="C69" s="25" t="s">
        <v>199</v>
      </c>
      <c r="D69" s="25" t="s">
        <v>200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1784</f>
        <v>1784</v>
      </c>
      <c r="L69" s="32" t="s">
        <v>1204</v>
      </c>
      <c r="M69" s="31">
        <f>1790</f>
        <v>1790</v>
      </c>
      <c r="N69" s="32" t="s">
        <v>1208</v>
      </c>
      <c r="O69" s="31">
        <f>1752</f>
        <v>1752</v>
      </c>
      <c r="P69" s="32" t="s">
        <v>1078</v>
      </c>
      <c r="Q69" s="31">
        <f>1768</f>
        <v>1768</v>
      </c>
      <c r="R69" s="32" t="s">
        <v>661</v>
      </c>
      <c r="S69" s="33">
        <f>1767.95</f>
        <v>1767.95</v>
      </c>
      <c r="T69" s="30">
        <f>1603226</f>
        <v>1603226</v>
      </c>
      <c r="U69" s="30">
        <f>1324021</f>
        <v>1324021</v>
      </c>
      <c r="V69" s="30">
        <f>2831612152</f>
        <v>2831612152</v>
      </c>
      <c r="W69" s="30">
        <f>2338125709</f>
        <v>2338125709</v>
      </c>
      <c r="X69" s="34">
        <f>20</f>
        <v>20</v>
      </c>
    </row>
    <row r="70" spans="1:24">
      <c r="A70" s="25" t="s">
        <v>1219</v>
      </c>
      <c r="B70" s="25" t="s">
        <v>201</v>
      </c>
      <c r="C70" s="25" t="s">
        <v>202</v>
      </c>
      <c r="D70" s="25" t="s">
        <v>203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1845</f>
        <v>1845</v>
      </c>
      <c r="L70" s="32" t="s">
        <v>1204</v>
      </c>
      <c r="M70" s="31">
        <f>1849</f>
        <v>1849</v>
      </c>
      <c r="N70" s="32" t="s">
        <v>1076</v>
      </c>
      <c r="O70" s="31">
        <f>1819</f>
        <v>1819</v>
      </c>
      <c r="P70" s="32" t="s">
        <v>662</v>
      </c>
      <c r="Q70" s="31">
        <f>1826</f>
        <v>1826</v>
      </c>
      <c r="R70" s="32" t="s">
        <v>661</v>
      </c>
      <c r="S70" s="33">
        <f>1833.55</f>
        <v>1833.55</v>
      </c>
      <c r="T70" s="30">
        <f>565702</f>
        <v>565702</v>
      </c>
      <c r="U70" s="30">
        <f>260000</f>
        <v>260000</v>
      </c>
      <c r="V70" s="30">
        <f>1033288116</f>
        <v>1033288116</v>
      </c>
      <c r="W70" s="30">
        <f>473252000</f>
        <v>473252000</v>
      </c>
      <c r="X70" s="34">
        <f>20</f>
        <v>20</v>
      </c>
    </row>
    <row r="71" spans="1:24">
      <c r="A71" s="25" t="s">
        <v>1219</v>
      </c>
      <c r="B71" s="25" t="s">
        <v>204</v>
      </c>
      <c r="C71" s="25" t="s">
        <v>205</v>
      </c>
      <c r="D71" s="25" t="s">
        <v>206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21750</f>
        <v>21750</v>
      </c>
      <c r="L71" s="32" t="s">
        <v>1204</v>
      </c>
      <c r="M71" s="31">
        <f>22265</f>
        <v>22265</v>
      </c>
      <c r="N71" s="32" t="s">
        <v>1212</v>
      </c>
      <c r="O71" s="31">
        <f>20990</f>
        <v>20990</v>
      </c>
      <c r="P71" s="32" t="s">
        <v>1220</v>
      </c>
      <c r="Q71" s="31">
        <f>21270</f>
        <v>21270</v>
      </c>
      <c r="R71" s="32" t="s">
        <v>661</v>
      </c>
      <c r="S71" s="33">
        <f>21704.25</f>
        <v>21704.25</v>
      </c>
      <c r="T71" s="30">
        <f>7789</f>
        <v>7789</v>
      </c>
      <c r="U71" s="30">
        <f>5300</f>
        <v>5300</v>
      </c>
      <c r="V71" s="30">
        <f>167569030</f>
        <v>167569030</v>
      </c>
      <c r="W71" s="30">
        <f>113530240</f>
        <v>113530240</v>
      </c>
      <c r="X71" s="34">
        <f>20</f>
        <v>20</v>
      </c>
    </row>
    <row r="72" spans="1:24">
      <c r="A72" s="25" t="s">
        <v>1219</v>
      </c>
      <c r="B72" s="25" t="s">
        <v>207</v>
      </c>
      <c r="C72" s="25" t="s">
        <v>208</v>
      </c>
      <c r="D72" s="25" t="s">
        <v>209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9280</f>
        <v>9280</v>
      </c>
      <c r="L72" s="32" t="s">
        <v>1204</v>
      </c>
      <c r="M72" s="31">
        <f>9421</f>
        <v>9421</v>
      </c>
      <c r="N72" s="32" t="s">
        <v>661</v>
      </c>
      <c r="O72" s="31">
        <f>9221</f>
        <v>9221</v>
      </c>
      <c r="P72" s="32" t="s">
        <v>1208</v>
      </c>
      <c r="Q72" s="31">
        <f>9421</f>
        <v>9421</v>
      </c>
      <c r="R72" s="32" t="s">
        <v>661</v>
      </c>
      <c r="S72" s="33">
        <f>9326.45</f>
        <v>9326.4500000000007</v>
      </c>
      <c r="T72" s="30">
        <f>1166</f>
        <v>1166</v>
      </c>
      <c r="U72" s="30">
        <f>3</f>
        <v>3</v>
      </c>
      <c r="V72" s="30">
        <f>10871560</f>
        <v>10871560</v>
      </c>
      <c r="W72" s="30">
        <f>27832</f>
        <v>27832</v>
      </c>
      <c r="X72" s="34">
        <f>20</f>
        <v>20</v>
      </c>
    </row>
    <row r="73" spans="1:24">
      <c r="A73" s="25" t="s">
        <v>1219</v>
      </c>
      <c r="B73" s="25" t="s">
        <v>210</v>
      </c>
      <c r="C73" s="25" t="s">
        <v>211</v>
      </c>
      <c r="D73" s="25" t="s">
        <v>212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13125</f>
        <v>13125</v>
      </c>
      <c r="L73" s="32" t="s">
        <v>1204</v>
      </c>
      <c r="M73" s="31">
        <f>14280</f>
        <v>14280</v>
      </c>
      <c r="N73" s="32" t="s">
        <v>661</v>
      </c>
      <c r="O73" s="31">
        <f>12805</f>
        <v>12805</v>
      </c>
      <c r="P73" s="32" t="s">
        <v>1220</v>
      </c>
      <c r="Q73" s="31">
        <f>14260</f>
        <v>14260</v>
      </c>
      <c r="R73" s="32" t="s">
        <v>661</v>
      </c>
      <c r="S73" s="33">
        <f>13479.25</f>
        <v>13479.25</v>
      </c>
      <c r="T73" s="30">
        <f>7798303</f>
        <v>7798303</v>
      </c>
      <c r="U73" s="30">
        <f>1471042</f>
        <v>1471042</v>
      </c>
      <c r="V73" s="30">
        <f>105497532186</f>
        <v>105497532186</v>
      </c>
      <c r="W73" s="30">
        <f>19803251791</f>
        <v>19803251791</v>
      </c>
      <c r="X73" s="34">
        <f>20</f>
        <v>20</v>
      </c>
    </row>
    <row r="74" spans="1:24">
      <c r="A74" s="25" t="s">
        <v>1219</v>
      </c>
      <c r="B74" s="25" t="s">
        <v>213</v>
      </c>
      <c r="C74" s="25" t="s">
        <v>214</v>
      </c>
      <c r="D74" s="25" t="s">
        <v>215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4255</f>
        <v>4255</v>
      </c>
      <c r="L74" s="32" t="s">
        <v>1204</v>
      </c>
      <c r="M74" s="31">
        <f>4450</f>
        <v>4450</v>
      </c>
      <c r="N74" s="32" t="s">
        <v>1078</v>
      </c>
      <c r="O74" s="31">
        <f>4150</f>
        <v>4150</v>
      </c>
      <c r="P74" s="32" t="s">
        <v>1220</v>
      </c>
      <c r="Q74" s="31">
        <f>4385</f>
        <v>4385</v>
      </c>
      <c r="R74" s="32" t="s">
        <v>661</v>
      </c>
      <c r="S74" s="33">
        <f>4297.25</f>
        <v>4297.25</v>
      </c>
      <c r="T74" s="30">
        <f>392848</f>
        <v>392848</v>
      </c>
      <c r="U74" s="30">
        <f>435</f>
        <v>435</v>
      </c>
      <c r="V74" s="30">
        <f>1690756185</f>
        <v>1690756185</v>
      </c>
      <c r="W74" s="30">
        <f>1879570</f>
        <v>1879570</v>
      </c>
      <c r="X74" s="34">
        <f>20</f>
        <v>20</v>
      </c>
    </row>
    <row r="75" spans="1:24">
      <c r="A75" s="25" t="s">
        <v>1219</v>
      </c>
      <c r="B75" s="25" t="s">
        <v>216</v>
      </c>
      <c r="C75" s="25" t="s">
        <v>217</v>
      </c>
      <c r="D75" s="25" t="s">
        <v>218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13945</f>
        <v>13945</v>
      </c>
      <c r="L75" s="32" t="s">
        <v>1204</v>
      </c>
      <c r="M75" s="31">
        <f>15600</f>
        <v>15600</v>
      </c>
      <c r="N75" s="32" t="s">
        <v>1207</v>
      </c>
      <c r="O75" s="31">
        <f>13875</f>
        <v>13875</v>
      </c>
      <c r="P75" s="32" t="s">
        <v>1220</v>
      </c>
      <c r="Q75" s="31">
        <f>15445</f>
        <v>15445</v>
      </c>
      <c r="R75" s="32" t="s">
        <v>661</v>
      </c>
      <c r="S75" s="33">
        <f>14653.5</f>
        <v>14653.5</v>
      </c>
      <c r="T75" s="30">
        <f>372146</f>
        <v>372146</v>
      </c>
      <c r="U75" s="30">
        <f>3903</f>
        <v>3903</v>
      </c>
      <c r="V75" s="30">
        <f>5501658432</f>
        <v>5501658432</v>
      </c>
      <c r="W75" s="30">
        <f>57580292</f>
        <v>57580292</v>
      </c>
      <c r="X75" s="34">
        <f>20</f>
        <v>20</v>
      </c>
    </row>
    <row r="76" spans="1:24">
      <c r="A76" s="25" t="s">
        <v>1219</v>
      </c>
      <c r="B76" s="25" t="s">
        <v>219</v>
      </c>
      <c r="C76" s="25" t="s">
        <v>220</v>
      </c>
      <c r="D76" s="25" t="s">
        <v>221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41320</f>
        <v>41320</v>
      </c>
      <c r="L76" s="32" t="s">
        <v>1204</v>
      </c>
      <c r="M76" s="31">
        <f>43470</f>
        <v>43470</v>
      </c>
      <c r="N76" s="32" t="s">
        <v>661</v>
      </c>
      <c r="O76" s="31">
        <f>40200</f>
        <v>40200</v>
      </c>
      <c r="P76" s="32" t="s">
        <v>1220</v>
      </c>
      <c r="Q76" s="31">
        <f>43470</f>
        <v>43470</v>
      </c>
      <c r="R76" s="32" t="s">
        <v>661</v>
      </c>
      <c r="S76" s="33">
        <f>42010</f>
        <v>42010</v>
      </c>
      <c r="T76" s="30">
        <f>15101</f>
        <v>15101</v>
      </c>
      <c r="U76" s="30">
        <f>30</f>
        <v>30</v>
      </c>
      <c r="V76" s="30">
        <f>632750440</f>
        <v>632750440</v>
      </c>
      <c r="W76" s="30">
        <f>1242020</f>
        <v>1242020</v>
      </c>
      <c r="X76" s="34">
        <f>20</f>
        <v>20</v>
      </c>
    </row>
    <row r="77" spans="1:24">
      <c r="A77" s="25" t="s">
        <v>1219</v>
      </c>
      <c r="B77" s="25" t="s">
        <v>222</v>
      </c>
      <c r="C77" s="25" t="s">
        <v>757</v>
      </c>
      <c r="D77" s="25" t="s">
        <v>758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31930</f>
        <v>31930</v>
      </c>
      <c r="L77" s="32" t="s">
        <v>1204</v>
      </c>
      <c r="M77" s="31">
        <f>31980</f>
        <v>31980</v>
      </c>
      <c r="N77" s="32" t="s">
        <v>1204</v>
      </c>
      <c r="O77" s="31">
        <f>28375</f>
        <v>28375</v>
      </c>
      <c r="P77" s="32" t="s">
        <v>1220</v>
      </c>
      <c r="Q77" s="31">
        <f>28700</f>
        <v>28700</v>
      </c>
      <c r="R77" s="32" t="s">
        <v>661</v>
      </c>
      <c r="S77" s="33">
        <f>30057.25</f>
        <v>30057.25</v>
      </c>
      <c r="T77" s="30">
        <f>780890</f>
        <v>780890</v>
      </c>
      <c r="U77" s="30">
        <f>45154</f>
        <v>45154</v>
      </c>
      <c r="V77" s="30">
        <f>23431916513</f>
        <v>23431916513</v>
      </c>
      <c r="W77" s="30">
        <f>1335791158</f>
        <v>1335791158</v>
      </c>
      <c r="X77" s="34">
        <f>20</f>
        <v>20</v>
      </c>
    </row>
    <row r="78" spans="1:24">
      <c r="A78" s="25" t="s">
        <v>1219</v>
      </c>
      <c r="B78" s="25" t="s">
        <v>223</v>
      </c>
      <c r="C78" s="25" t="s">
        <v>759</v>
      </c>
      <c r="D78" s="25" t="s">
        <v>760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64320</f>
        <v>64320</v>
      </c>
      <c r="L78" s="32" t="s">
        <v>1204</v>
      </c>
      <c r="M78" s="31">
        <f>64580</f>
        <v>64580</v>
      </c>
      <c r="N78" s="32" t="s">
        <v>1204</v>
      </c>
      <c r="O78" s="31">
        <f>59210</f>
        <v>59210</v>
      </c>
      <c r="P78" s="32" t="s">
        <v>1080</v>
      </c>
      <c r="Q78" s="31">
        <f>60240</f>
        <v>60240</v>
      </c>
      <c r="R78" s="32" t="s">
        <v>661</v>
      </c>
      <c r="S78" s="33">
        <f>61583</f>
        <v>61583</v>
      </c>
      <c r="T78" s="30">
        <f>58842</f>
        <v>58842</v>
      </c>
      <c r="U78" s="30">
        <f>10268</f>
        <v>10268</v>
      </c>
      <c r="V78" s="30">
        <f>3612636128</f>
        <v>3612636128</v>
      </c>
      <c r="W78" s="30">
        <f>635172728</f>
        <v>635172728</v>
      </c>
      <c r="X78" s="34">
        <f>20</f>
        <v>20</v>
      </c>
    </row>
    <row r="79" spans="1:24">
      <c r="A79" s="25" t="s">
        <v>1219</v>
      </c>
      <c r="B79" s="25" t="s">
        <v>224</v>
      </c>
      <c r="C79" s="25" t="s">
        <v>225</v>
      </c>
      <c r="D79" s="25" t="s">
        <v>226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10</v>
      </c>
      <c r="K79" s="31">
        <f>9743</f>
        <v>9743</v>
      </c>
      <c r="L79" s="32" t="s">
        <v>1204</v>
      </c>
      <c r="M79" s="31">
        <f>9748</f>
        <v>9748</v>
      </c>
      <c r="N79" s="32" t="s">
        <v>1204</v>
      </c>
      <c r="O79" s="31">
        <f>8828</f>
        <v>8828</v>
      </c>
      <c r="P79" s="32" t="s">
        <v>1220</v>
      </c>
      <c r="Q79" s="31">
        <f>8942</f>
        <v>8942</v>
      </c>
      <c r="R79" s="32" t="s">
        <v>661</v>
      </c>
      <c r="S79" s="33">
        <f>9233.6</f>
        <v>9233.6</v>
      </c>
      <c r="T79" s="30">
        <f>975690</f>
        <v>975690</v>
      </c>
      <c r="U79" s="30">
        <f>94510</f>
        <v>94510</v>
      </c>
      <c r="V79" s="30">
        <f>8964941880</f>
        <v>8964941880</v>
      </c>
      <c r="W79" s="30">
        <f>876297980</f>
        <v>876297980</v>
      </c>
      <c r="X79" s="34">
        <f>20</f>
        <v>20</v>
      </c>
    </row>
    <row r="80" spans="1:24">
      <c r="A80" s="25" t="s">
        <v>1219</v>
      </c>
      <c r="B80" s="25" t="s">
        <v>227</v>
      </c>
      <c r="C80" s="25" t="s">
        <v>228</v>
      </c>
      <c r="D80" s="25" t="s">
        <v>229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10</v>
      </c>
      <c r="K80" s="31">
        <f>5993</f>
        <v>5993</v>
      </c>
      <c r="L80" s="32" t="s">
        <v>1204</v>
      </c>
      <c r="M80" s="31">
        <f>5993</f>
        <v>5993</v>
      </c>
      <c r="N80" s="32" t="s">
        <v>1204</v>
      </c>
      <c r="O80" s="31">
        <f>5508</f>
        <v>5508</v>
      </c>
      <c r="P80" s="32" t="s">
        <v>1220</v>
      </c>
      <c r="Q80" s="31">
        <f>5601</f>
        <v>5601</v>
      </c>
      <c r="R80" s="32" t="s">
        <v>661</v>
      </c>
      <c r="S80" s="33">
        <f>5748.55</f>
        <v>5748.55</v>
      </c>
      <c r="T80" s="30">
        <f>211890</f>
        <v>211890</v>
      </c>
      <c r="U80" s="30">
        <f>31740</f>
        <v>31740</v>
      </c>
      <c r="V80" s="30">
        <f>1213012542</f>
        <v>1213012542</v>
      </c>
      <c r="W80" s="30">
        <f>184290792</f>
        <v>184290792</v>
      </c>
      <c r="X80" s="34">
        <f>20</f>
        <v>20</v>
      </c>
    </row>
    <row r="81" spans="1:24">
      <c r="A81" s="25" t="s">
        <v>1219</v>
      </c>
      <c r="B81" s="25" t="s">
        <v>230</v>
      </c>
      <c r="C81" s="25" t="s">
        <v>830</v>
      </c>
      <c r="D81" s="25" t="s">
        <v>831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10</v>
      </c>
      <c r="K81" s="31">
        <f>5319</f>
        <v>5319</v>
      </c>
      <c r="L81" s="32" t="s">
        <v>1204</v>
      </c>
      <c r="M81" s="31">
        <f>5498</f>
        <v>5498</v>
      </c>
      <c r="N81" s="32" t="s">
        <v>1075</v>
      </c>
      <c r="O81" s="31">
        <f>5127</f>
        <v>5127</v>
      </c>
      <c r="P81" s="32" t="s">
        <v>1220</v>
      </c>
      <c r="Q81" s="31">
        <f>5395</f>
        <v>5395</v>
      </c>
      <c r="R81" s="32" t="s">
        <v>661</v>
      </c>
      <c r="S81" s="33">
        <f>5343.65</f>
        <v>5343.65</v>
      </c>
      <c r="T81" s="30">
        <f>9150</f>
        <v>9150</v>
      </c>
      <c r="U81" s="30" t="str">
        <f>"－"</f>
        <v>－</v>
      </c>
      <c r="V81" s="30">
        <f>49046040</f>
        <v>49046040</v>
      </c>
      <c r="W81" s="30" t="str">
        <f>"－"</f>
        <v>－</v>
      </c>
      <c r="X81" s="34">
        <f>20</f>
        <v>20</v>
      </c>
    </row>
    <row r="82" spans="1:24">
      <c r="A82" s="25" t="s">
        <v>1219</v>
      </c>
      <c r="B82" s="25" t="s">
        <v>231</v>
      </c>
      <c r="C82" s="25" t="s">
        <v>232</v>
      </c>
      <c r="D82" s="25" t="s">
        <v>233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10</v>
      </c>
      <c r="K82" s="31">
        <f>4893</f>
        <v>4893</v>
      </c>
      <c r="L82" s="32" t="s">
        <v>1204</v>
      </c>
      <c r="M82" s="31">
        <f>4893</f>
        <v>4893</v>
      </c>
      <c r="N82" s="32" t="s">
        <v>1204</v>
      </c>
      <c r="O82" s="31">
        <f>4523</f>
        <v>4523</v>
      </c>
      <c r="P82" s="32" t="s">
        <v>1220</v>
      </c>
      <c r="Q82" s="31">
        <f>4589</f>
        <v>4589</v>
      </c>
      <c r="R82" s="32" t="s">
        <v>661</v>
      </c>
      <c r="S82" s="33">
        <f>4719.75</f>
        <v>4719.75</v>
      </c>
      <c r="T82" s="30">
        <f>89020</f>
        <v>89020</v>
      </c>
      <c r="U82" s="30" t="str">
        <f>"－"</f>
        <v>－</v>
      </c>
      <c r="V82" s="30">
        <f>419540370</f>
        <v>419540370</v>
      </c>
      <c r="W82" s="30" t="str">
        <f>"－"</f>
        <v>－</v>
      </c>
      <c r="X82" s="34">
        <f>20</f>
        <v>20</v>
      </c>
    </row>
    <row r="83" spans="1:24">
      <c r="A83" s="25" t="s">
        <v>1219</v>
      </c>
      <c r="B83" s="25" t="s">
        <v>234</v>
      </c>
      <c r="C83" s="25" t="s">
        <v>943</v>
      </c>
      <c r="D83" s="25" t="s">
        <v>235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10</v>
      </c>
      <c r="K83" s="31">
        <f>2115.5</f>
        <v>2115.5</v>
      </c>
      <c r="L83" s="32" t="s">
        <v>1204</v>
      </c>
      <c r="M83" s="31">
        <f>2148.5</f>
        <v>2148.5</v>
      </c>
      <c r="N83" s="32" t="s">
        <v>1212</v>
      </c>
      <c r="O83" s="31">
        <f>1993</f>
        <v>1993</v>
      </c>
      <c r="P83" s="32" t="s">
        <v>661</v>
      </c>
      <c r="Q83" s="31">
        <f>2001.5</f>
        <v>2001.5</v>
      </c>
      <c r="R83" s="32" t="s">
        <v>661</v>
      </c>
      <c r="S83" s="33">
        <f>2074.38</f>
        <v>2074.38</v>
      </c>
      <c r="T83" s="30">
        <f>119310</f>
        <v>119310</v>
      </c>
      <c r="U83" s="30">
        <f>51000</f>
        <v>51000</v>
      </c>
      <c r="V83" s="30">
        <f>247969835</f>
        <v>247969835</v>
      </c>
      <c r="W83" s="30">
        <f>106136100</f>
        <v>106136100</v>
      </c>
      <c r="X83" s="34">
        <f>20</f>
        <v>20</v>
      </c>
    </row>
    <row r="84" spans="1:24">
      <c r="A84" s="25" t="s">
        <v>1219</v>
      </c>
      <c r="B84" s="25" t="s">
        <v>236</v>
      </c>
      <c r="C84" s="25" t="s">
        <v>237</v>
      </c>
      <c r="D84" s="25" t="s">
        <v>238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89660</f>
        <v>89660</v>
      </c>
      <c r="L84" s="32" t="s">
        <v>1204</v>
      </c>
      <c r="M84" s="31">
        <f>89700</f>
        <v>89700</v>
      </c>
      <c r="N84" s="32" t="s">
        <v>1204</v>
      </c>
      <c r="O84" s="31">
        <f>81260</f>
        <v>81260</v>
      </c>
      <c r="P84" s="32" t="s">
        <v>1220</v>
      </c>
      <c r="Q84" s="31">
        <f>82120</f>
        <v>82120</v>
      </c>
      <c r="R84" s="32" t="s">
        <v>661</v>
      </c>
      <c r="S84" s="33">
        <f>84894.5</f>
        <v>84894.5</v>
      </c>
      <c r="T84" s="30">
        <f>67609</f>
        <v>67609</v>
      </c>
      <c r="U84" s="30">
        <f>355</f>
        <v>355</v>
      </c>
      <c r="V84" s="30">
        <f>5746674222</f>
        <v>5746674222</v>
      </c>
      <c r="W84" s="30">
        <f>29360292</f>
        <v>29360292</v>
      </c>
      <c r="X84" s="34">
        <f>20</f>
        <v>20</v>
      </c>
    </row>
    <row r="85" spans="1:24">
      <c r="A85" s="25" t="s">
        <v>1219</v>
      </c>
      <c r="B85" s="25" t="s">
        <v>239</v>
      </c>
      <c r="C85" s="25" t="s">
        <v>240</v>
      </c>
      <c r="D85" s="25" t="s">
        <v>241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3370</f>
        <v>3370</v>
      </c>
      <c r="L85" s="32" t="s">
        <v>1204</v>
      </c>
      <c r="M85" s="31">
        <f>3395</f>
        <v>3395</v>
      </c>
      <c r="N85" s="32" t="s">
        <v>1085</v>
      </c>
      <c r="O85" s="31">
        <f>3070</f>
        <v>3070</v>
      </c>
      <c r="P85" s="32" t="s">
        <v>1211</v>
      </c>
      <c r="Q85" s="31">
        <f>3155</f>
        <v>3155</v>
      </c>
      <c r="R85" s="32" t="s">
        <v>661</v>
      </c>
      <c r="S85" s="33">
        <f>3206.5</f>
        <v>3206.5</v>
      </c>
      <c r="T85" s="30">
        <f>15918</f>
        <v>15918</v>
      </c>
      <c r="U85" s="30" t="str">
        <f>"－"</f>
        <v>－</v>
      </c>
      <c r="V85" s="30">
        <f>50847790</f>
        <v>50847790</v>
      </c>
      <c r="W85" s="30" t="str">
        <f>"－"</f>
        <v>－</v>
      </c>
      <c r="X85" s="34">
        <f>20</f>
        <v>20</v>
      </c>
    </row>
    <row r="86" spans="1:24">
      <c r="A86" s="25" t="s">
        <v>1219</v>
      </c>
      <c r="B86" s="25" t="s">
        <v>242</v>
      </c>
      <c r="C86" s="25" t="s">
        <v>243</v>
      </c>
      <c r="D86" s="25" t="s">
        <v>244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5260</f>
        <v>5260</v>
      </c>
      <c r="L86" s="32" t="s">
        <v>1204</v>
      </c>
      <c r="M86" s="31">
        <f>5290</f>
        <v>5290</v>
      </c>
      <c r="N86" s="32" t="s">
        <v>1079</v>
      </c>
      <c r="O86" s="31">
        <f>5050</f>
        <v>5050</v>
      </c>
      <c r="P86" s="32" t="s">
        <v>1206</v>
      </c>
      <c r="Q86" s="31">
        <f>5150</f>
        <v>5150</v>
      </c>
      <c r="R86" s="32" t="s">
        <v>661</v>
      </c>
      <c r="S86" s="33">
        <f>5198.5</f>
        <v>5198.5</v>
      </c>
      <c r="T86" s="30">
        <f>5785</f>
        <v>5785</v>
      </c>
      <c r="U86" s="30" t="str">
        <f>"－"</f>
        <v>－</v>
      </c>
      <c r="V86" s="30">
        <f>30000690</f>
        <v>30000690</v>
      </c>
      <c r="W86" s="30" t="str">
        <f>"－"</f>
        <v>－</v>
      </c>
      <c r="X86" s="34">
        <f>20</f>
        <v>20</v>
      </c>
    </row>
    <row r="87" spans="1:24">
      <c r="A87" s="25" t="s">
        <v>1219</v>
      </c>
      <c r="B87" s="25" t="s">
        <v>245</v>
      </c>
      <c r="C87" s="25" t="s">
        <v>832</v>
      </c>
      <c r="D87" s="25" t="s">
        <v>833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2404</f>
        <v>2404</v>
      </c>
      <c r="L87" s="32" t="s">
        <v>1204</v>
      </c>
      <c r="M87" s="31">
        <f>2417</f>
        <v>2417</v>
      </c>
      <c r="N87" s="32" t="s">
        <v>1204</v>
      </c>
      <c r="O87" s="31">
        <f>2155</f>
        <v>2155</v>
      </c>
      <c r="P87" s="32" t="s">
        <v>1220</v>
      </c>
      <c r="Q87" s="31">
        <f>2198</f>
        <v>2198</v>
      </c>
      <c r="R87" s="32" t="s">
        <v>661</v>
      </c>
      <c r="S87" s="33">
        <f>2278.65</f>
        <v>2278.65</v>
      </c>
      <c r="T87" s="30">
        <f>581454</f>
        <v>581454</v>
      </c>
      <c r="U87" s="30">
        <f>30330</f>
        <v>30330</v>
      </c>
      <c r="V87" s="30">
        <f>1316528579</f>
        <v>1316528579</v>
      </c>
      <c r="W87" s="30">
        <f>68954762</f>
        <v>68954762</v>
      </c>
      <c r="X87" s="34">
        <f>20</f>
        <v>20</v>
      </c>
    </row>
    <row r="88" spans="1:24">
      <c r="A88" s="25" t="s">
        <v>1219</v>
      </c>
      <c r="B88" s="25" t="s">
        <v>246</v>
      </c>
      <c r="C88" s="25" t="s">
        <v>247</v>
      </c>
      <c r="D88" s="25" t="s">
        <v>248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48920</f>
        <v>48920</v>
      </c>
      <c r="L88" s="32" t="s">
        <v>1204</v>
      </c>
      <c r="M88" s="31">
        <f>49060</f>
        <v>49060</v>
      </c>
      <c r="N88" s="32" t="s">
        <v>1204</v>
      </c>
      <c r="O88" s="31">
        <f>47410</f>
        <v>47410</v>
      </c>
      <c r="P88" s="32" t="s">
        <v>1220</v>
      </c>
      <c r="Q88" s="31">
        <f>47860</f>
        <v>47860</v>
      </c>
      <c r="R88" s="32" t="s">
        <v>661</v>
      </c>
      <c r="S88" s="33">
        <f>48270</f>
        <v>48270</v>
      </c>
      <c r="T88" s="30">
        <f>11586</f>
        <v>11586</v>
      </c>
      <c r="U88" s="30">
        <f>484</f>
        <v>484</v>
      </c>
      <c r="V88" s="30">
        <f>559451226</f>
        <v>559451226</v>
      </c>
      <c r="W88" s="30">
        <f>23358666</f>
        <v>23358666</v>
      </c>
      <c r="X88" s="34">
        <f>20</f>
        <v>20</v>
      </c>
    </row>
    <row r="89" spans="1:24">
      <c r="A89" s="25" t="s">
        <v>1219</v>
      </c>
      <c r="B89" s="25" t="s">
        <v>249</v>
      </c>
      <c r="C89" s="25" t="s">
        <v>250</v>
      </c>
      <c r="D89" s="25" t="s">
        <v>251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10</v>
      </c>
      <c r="K89" s="31">
        <f>457.9</f>
        <v>457.9</v>
      </c>
      <c r="L89" s="32" t="s">
        <v>1204</v>
      </c>
      <c r="M89" s="31">
        <f>493.3</f>
        <v>493.3</v>
      </c>
      <c r="N89" s="32" t="s">
        <v>1212</v>
      </c>
      <c r="O89" s="31">
        <f>424.6</f>
        <v>424.6</v>
      </c>
      <c r="P89" s="32" t="s">
        <v>1220</v>
      </c>
      <c r="Q89" s="31">
        <f>447</f>
        <v>447</v>
      </c>
      <c r="R89" s="32" t="s">
        <v>661</v>
      </c>
      <c r="S89" s="33">
        <f>467.13</f>
        <v>467.13</v>
      </c>
      <c r="T89" s="30">
        <f>159043900</f>
        <v>159043900</v>
      </c>
      <c r="U89" s="30">
        <f>2130</f>
        <v>2130</v>
      </c>
      <c r="V89" s="30">
        <f>74033526436</f>
        <v>74033526436</v>
      </c>
      <c r="W89" s="30">
        <f>988110</f>
        <v>988110</v>
      </c>
      <c r="X89" s="34">
        <f>20</f>
        <v>20</v>
      </c>
    </row>
    <row r="90" spans="1:24">
      <c r="A90" s="25" t="s">
        <v>1219</v>
      </c>
      <c r="B90" s="25" t="s">
        <v>252</v>
      </c>
      <c r="C90" s="25" t="s">
        <v>253</v>
      </c>
      <c r="D90" s="25" t="s">
        <v>254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10</v>
      </c>
      <c r="K90" s="31">
        <f>1238.5</f>
        <v>1238.5</v>
      </c>
      <c r="L90" s="32" t="s">
        <v>1204</v>
      </c>
      <c r="M90" s="31">
        <f>1280.5</f>
        <v>1280.5</v>
      </c>
      <c r="N90" s="32" t="s">
        <v>1220</v>
      </c>
      <c r="O90" s="31">
        <f>1190</f>
        <v>1190</v>
      </c>
      <c r="P90" s="32" t="s">
        <v>1212</v>
      </c>
      <c r="Q90" s="31">
        <f>1250.5</f>
        <v>1250.5</v>
      </c>
      <c r="R90" s="32" t="s">
        <v>661</v>
      </c>
      <c r="S90" s="33">
        <f>1224.05</f>
        <v>1224.05</v>
      </c>
      <c r="T90" s="30">
        <f>3802650</f>
        <v>3802650</v>
      </c>
      <c r="U90" s="30">
        <f>3253510</f>
        <v>3253510</v>
      </c>
      <c r="V90" s="30">
        <f>4616915884</f>
        <v>4616915884</v>
      </c>
      <c r="W90" s="30">
        <f>3938912624</f>
        <v>3938912624</v>
      </c>
      <c r="X90" s="34">
        <f>20</f>
        <v>20</v>
      </c>
    </row>
    <row r="91" spans="1:24">
      <c r="A91" s="25" t="s">
        <v>1219</v>
      </c>
      <c r="B91" s="25" t="s">
        <v>255</v>
      </c>
      <c r="C91" s="25" t="s">
        <v>256</v>
      </c>
      <c r="D91" s="25" t="s">
        <v>257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</v>
      </c>
      <c r="K91" s="31">
        <f>24895</f>
        <v>24895</v>
      </c>
      <c r="L91" s="32" t="s">
        <v>1204</v>
      </c>
      <c r="M91" s="31">
        <f>25590</f>
        <v>25590</v>
      </c>
      <c r="N91" s="32" t="s">
        <v>1212</v>
      </c>
      <c r="O91" s="31">
        <f>22440</f>
        <v>22440</v>
      </c>
      <c r="P91" s="32" t="s">
        <v>661</v>
      </c>
      <c r="Q91" s="31">
        <f>22580</f>
        <v>22580</v>
      </c>
      <c r="R91" s="32" t="s">
        <v>661</v>
      </c>
      <c r="S91" s="33">
        <f>24445.25</f>
        <v>24445.25</v>
      </c>
      <c r="T91" s="30">
        <f>95611783</f>
        <v>95611783</v>
      </c>
      <c r="U91" s="30">
        <f>440380</f>
        <v>440380</v>
      </c>
      <c r="V91" s="30">
        <f>2323071838109</f>
        <v>2323071838109</v>
      </c>
      <c r="W91" s="30">
        <f>10659364994</f>
        <v>10659364994</v>
      </c>
      <c r="X91" s="34">
        <f>20</f>
        <v>20</v>
      </c>
    </row>
    <row r="92" spans="1:24">
      <c r="A92" s="25" t="s">
        <v>1219</v>
      </c>
      <c r="B92" s="25" t="s">
        <v>258</v>
      </c>
      <c r="C92" s="25" t="s">
        <v>259</v>
      </c>
      <c r="D92" s="25" t="s">
        <v>260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</v>
      </c>
      <c r="K92" s="31">
        <f>596</f>
        <v>596</v>
      </c>
      <c r="L92" s="32" t="s">
        <v>1204</v>
      </c>
      <c r="M92" s="31">
        <f>626</f>
        <v>626</v>
      </c>
      <c r="N92" s="32" t="s">
        <v>661</v>
      </c>
      <c r="O92" s="31">
        <f>587</f>
        <v>587</v>
      </c>
      <c r="P92" s="32" t="s">
        <v>1212</v>
      </c>
      <c r="Q92" s="31">
        <f>623</f>
        <v>623</v>
      </c>
      <c r="R92" s="32" t="s">
        <v>661</v>
      </c>
      <c r="S92" s="33">
        <f>602</f>
        <v>602</v>
      </c>
      <c r="T92" s="30">
        <f>29462924</f>
        <v>29462924</v>
      </c>
      <c r="U92" s="30">
        <f>1266538</f>
        <v>1266538</v>
      </c>
      <c r="V92" s="30">
        <f>17721180549</f>
        <v>17721180549</v>
      </c>
      <c r="W92" s="30">
        <f>775634376</f>
        <v>775634376</v>
      </c>
      <c r="X92" s="34">
        <f>20</f>
        <v>20</v>
      </c>
    </row>
    <row r="93" spans="1:24">
      <c r="A93" s="25" t="s">
        <v>1219</v>
      </c>
      <c r="B93" s="25" t="s">
        <v>261</v>
      </c>
      <c r="C93" s="25" t="s">
        <v>262</v>
      </c>
      <c r="D93" s="25" t="s">
        <v>263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10</v>
      </c>
      <c r="K93" s="31">
        <f>7180</f>
        <v>7180</v>
      </c>
      <c r="L93" s="32" t="s">
        <v>1204</v>
      </c>
      <c r="M93" s="31">
        <f>8375</f>
        <v>8375</v>
      </c>
      <c r="N93" s="32" t="s">
        <v>1207</v>
      </c>
      <c r="O93" s="31">
        <f>6631</f>
        <v>6631</v>
      </c>
      <c r="P93" s="32" t="s">
        <v>1208</v>
      </c>
      <c r="Q93" s="31">
        <f>7089</f>
        <v>7089</v>
      </c>
      <c r="R93" s="32" t="s">
        <v>661</v>
      </c>
      <c r="S93" s="33">
        <f>7512.85</f>
        <v>7512.85</v>
      </c>
      <c r="T93" s="30">
        <f>551420</f>
        <v>551420</v>
      </c>
      <c r="U93" s="30">
        <f>20</f>
        <v>20</v>
      </c>
      <c r="V93" s="30">
        <f>4134477120</f>
        <v>4134477120</v>
      </c>
      <c r="W93" s="30">
        <f>154760</f>
        <v>154760</v>
      </c>
      <c r="X93" s="34">
        <f>20</f>
        <v>20</v>
      </c>
    </row>
    <row r="94" spans="1:24">
      <c r="A94" s="25" t="s">
        <v>1219</v>
      </c>
      <c r="B94" s="25" t="s">
        <v>264</v>
      </c>
      <c r="C94" s="25" t="s">
        <v>265</v>
      </c>
      <c r="D94" s="25" t="s">
        <v>266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10</v>
      </c>
      <c r="K94" s="31">
        <f>8375</f>
        <v>8375</v>
      </c>
      <c r="L94" s="32" t="s">
        <v>1204</v>
      </c>
      <c r="M94" s="31">
        <f>8649</f>
        <v>8649</v>
      </c>
      <c r="N94" s="32" t="s">
        <v>1208</v>
      </c>
      <c r="O94" s="31">
        <f>7701</f>
        <v>7701</v>
      </c>
      <c r="P94" s="32" t="s">
        <v>1079</v>
      </c>
      <c r="Q94" s="31">
        <f>8300</f>
        <v>8300</v>
      </c>
      <c r="R94" s="32" t="s">
        <v>661</v>
      </c>
      <c r="S94" s="33">
        <f>8137.7</f>
        <v>8137.7</v>
      </c>
      <c r="T94" s="30">
        <f>100580</f>
        <v>100580</v>
      </c>
      <c r="U94" s="30">
        <f>130</f>
        <v>130</v>
      </c>
      <c r="V94" s="30">
        <f>817359260</f>
        <v>817359260</v>
      </c>
      <c r="W94" s="30">
        <f>1048280</f>
        <v>1048280</v>
      </c>
      <c r="X94" s="34">
        <f>20</f>
        <v>20</v>
      </c>
    </row>
    <row r="95" spans="1:24">
      <c r="A95" s="25" t="s">
        <v>1219</v>
      </c>
      <c r="B95" s="25" t="s">
        <v>267</v>
      </c>
      <c r="C95" s="25" t="s">
        <v>268</v>
      </c>
      <c r="D95" s="25" t="s">
        <v>944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</v>
      </c>
      <c r="K95" s="31">
        <f>38580</f>
        <v>38580</v>
      </c>
      <c r="L95" s="32" t="s">
        <v>1204</v>
      </c>
      <c r="M95" s="31">
        <f>40400</f>
        <v>40400</v>
      </c>
      <c r="N95" s="32" t="s">
        <v>1212</v>
      </c>
      <c r="O95" s="31">
        <f>37600</f>
        <v>37600</v>
      </c>
      <c r="P95" s="32" t="s">
        <v>1220</v>
      </c>
      <c r="Q95" s="31">
        <f>38740</f>
        <v>38740</v>
      </c>
      <c r="R95" s="32" t="s">
        <v>661</v>
      </c>
      <c r="S95" s="33">
        <f>39213.5</f>
        <v>39213.5</v>
      </c>
      <c r="T95" s="30">
        <f>83394</f>
        <v>83394</v>
      </c>
      <c r="U95" s="30">
        <f>29310</f>
        <v>29310</v>
      </c>
      <c r="V95" s="30">
        <f>3265331318</f>
        <v>3265331318</v>
      </c>
      <c r="W95" s="30">
        <f>1146420468</f>
        <v>1146420468</v>
      </c>
      <c r="X95" s="34">
        <f>20</f>
        <v>20</v>
      </c>
    </row>
    <row r="96" spans="1:24">
      <c r="A96" s="25" t="s">
        <v>1219</v>
      </c>
      <c r="B96" s="25" t="s">
        <v>269</v>
      </c>
      <c r="C96" s="25" t="s">
        <v>270</v>
      </c>
      <c r="D96" s="25" t="s">
        <v>271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</v>
      </c>
      <c r="K96" s="31">
        <f>3005</f>
        <v>3005</v>
      </c>
      <c r="L96" s="32" t="s">
        <v>1204</v>
      </c>
      <c r="M96" s="31">
        <f>3050</f>
        <v>3050</v>
      </c>
      <c r="N96" s="32" t="s">
        <v>1212</v>
      </c>
      <c r="O96" s="31">
        <f>2856</f>
        <v>2856</v>
      </c>
      <c r="P96" s="32" t="s">
        <v>661</v>
      </c>
      <c r="Q96" s="31">
        <f>2875</f>
        <v>2875</v>
      </c>
      <c r="R96" s="32" t="s">
        <v>661</v>
      </c>
      <c r="S96" s="33">
        <f>2979.6</f>
        <v>2979.6</v>
      </c>
      <c r="T96" s="30">
        <f>316956</f>
        <v>316956</v>
      </c>
      <c r="U96" s="30">
        <f>329</f>
        <v>329</v>
      </c>
      <c r="V96" s="30">
        <f>941149035</f>
        <v>941149035</v>
      </c>
      <c r="W96" s="30">
        <f>974089</f>
        <v>974089</v>
      </c>
      <c r="X96" s="34">
        <f>20</f>
        <v>20</v>
      </c>
    </row>
    <row r="97" spans="1:24">
      <c r="A97" s="25" t="s">
        <v>1219</v>
      </c>
      <c r="B97" s="25" t="s">
        <v>272</v>
      </c>
      <c r="C97" s="25" t="s">
        <v>273</v>
      </c>
      <c r="D97" s="25" t="s">
        <v>274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10</v>
      </c>
      <c r="K97" s="31">
        <f>268.4</f>
        <v>268.39999999999998</v>
      </c>
      <c r="L97" s="32" t="s">
        <v>1204</v>
      </c>
      <c r="M97" s="31">
        <f>275.1</f>
        <v>275.10000000000002</v>
      </c>
      <c r="N97" s="32" t="s">
        <v>1212</v>
      </c>
      <c r="O97" s="31">
        <f>241.4</f>
        <v>241.4</v>
      </c>
      <c r="P97" s="32" t="s">
        <v>661</v>
      </c>
      <c r="Q97" s="31">
        <f>242.8</f>
        <v>242.8</v>
      </c>
      <c r="R97" s="32" t="s">
        <v>661</v>
      </c>
      <c r="S97" s="33">
        <f>262.78</f>
        <v>262.77999999999997</v>
      </c>
      <c r="T97" s="30">
        <f>807399090</f>
        <v>807399090</v>
      </c>
      <c r="U97" s="30">
        <f>20132990</f>
        <v>20132990</v>
      </c>
      <c r="V97" s="30">
        <f>210503192197</f>
        <v>210503192197</v>
      </c>
      <c r="W97" s="30">
        <f>5261312300</f>
        <v>5261312300</v>
      </c>
      <c r="X97" s="34">
        <f>20</f>
        <v>20</v>
      </c>
    </row>
    <row r="98" spans="1:24">
      <c r="A98" s="25" t="s">
        <v>1219</v>
      </c>
      <c r="B98" s="25" t="s">
        <v>275</v>
      </c>
      <c r="C98" s="25" t="s">
        <v>276</v>
      </c>
      <c r="D98" s="25" t="s">
        <v>277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10</v>
      </c>
      <c r="K98" s="31">
        <f>1584</f>
        <v>1584</v>
      </c>
      <c r="L98" s="32" t="s">
        <v>1204</v>
      </c>
      <c r="M98" s="31">
        <f>1661.5</f>
        <v>1661.5</v>
      </c>
      <c r="N98" s="32" t="s">
        <v>661</v>
      </c>
      <c r="O98" s="31">
        <f>1560</f>
        <v>1560</v>
      </c>
      <c r="P98" s="32" t="s">
        <v>1212</v>
      </c>
      <c r="Q98" s="31">
        <f>1659</f>
        <v>1659</v>
      </c>
      <c r="R98" s="32" t="s">
        <v>661</v>
      </c>
      <c r="S98" s="33">
        <f>1598.13</f>
        <v>1598.13</v>
      </c>
      <c r="T98" s="30">
        <f>6765070</f>
        <v>6765070</v>
      </c>
      <c r="U98" s="30">
        <f>214160</f>
        <v>214160</v>
      </c>
      <c r="V98" s="30">
        <f>10836012898</f>
        <v>10836012898</v>
      </c>
      <c r="W98" s="30">
        <f>343411978</f>
        <v>343411978</v>
      </c>
      <c r="X98" s="34">
        <f>20</f>
        <v>20</v>
      </c>
    </row>
    <row r="99" spans="1:24">
      <c r="A99" s="25" t="s">
        <v>1219</v>
      </c>
      <c r="B99" s="25" t="s">
        <v>278</v>
      </c>
      <c r="C99" s="25" t="s">
        <v>894</v>
      </c>
      <c r="D99" s="25" t="s">
        <v>895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1806</f>
        <v>1806</v>
      </c>
      <c r="L99" s="32" t="s">
        <v>1204</v>
      </c>
      <c r="M99" s="31">
        <f>1890</f>
        <v>1890</v>
      </c>
      <c r="N99" s="32" t="s">
        <v>1212</v>
      </c>
      <c r="O99" s="31">
        <f>1787</f>
        <v>1787</v>
      </c>
      <c r="P99" s="32" t="s">
        <v>1220</v>
      </c>
      <c r="Q99" s="31">
        <f>1827.5</f>
        <v>1827.5</v>
      </c>
      <c r="R99" s="32" t="s">
        <v>661</v>
      </c>
      <c r="S99" s="33">
        <f>1845.16</f>
        <v>1845.16</v>
      </c>
      <c r="T99" s="30">
        <f>394160</f>
        <v>394160</v>
      </c>
      <c r="U99" s="30">
        <f>390240</f>
        <v>390240</v>
      </c>
      <c r="V99" s="30">
        <f>737950754</f>
        <v>737950754</v>
      </c>
      <c r="W99" s="30">
        <f>730717924</f>
        <v>730717924</v>
      </c>
      <c r="X99" s="34">
        <f>16</f>
        <v>16</v>
      </c>
    </row>
    <row r="100" spans="1:24">
      <c r="A100" s="25" t="s">
        <v>1219</v>
      </c>
      <c r="B100" s="25" t="s">
        <v>279</v>
      </c>
      <c r="C100" s="25" t="s">
        <v>280</v>
      </c>
      <c r="D100" s="25" t="s">
        <v>281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</v>
      </c>
      <c r="K100" s="31">
        <f>2135</f>
        <v>2135</v>
      </c>
      <c r="L100" s="32" t="s">
        <v>1204</v>
      </c>
      <c r="M100" s="31">
        <f>2201</f>
        <v>2201</v>
      </c>
      <c r="N100" s="32" t="s">
        <v>1212</v>
      </c>
      <c r="O100" s="31">
        <f>2065</f>
        <v>2065</v>
      </c>
      <c r="P100" s="32" t="s">
        <v>1220</v>
      </c>
      <c r="Q100" s="31">
        <f>2095</f>
        <v>2095</v>
      </c>
      <c r="R100" s="32" t="s">
        <v>661</v>
      </c>
      <c r="S100" s="33">
        <f>2142.85</f>
        <v>2142.85</v>
      </c>
      <c r="T100" s="30">
        <f>1841</f>
        <v>1841</v>
      </c>
      <c r="U100" s="30" t="str">
        <f>"－"</f>
        <v>－</v>
      </c>
      <c r="V100" s="30">
        <f>3948193</f>
        <v>3948193</v>
      </c>
      <c r="W100" s="30" t="str">
        <f>"－"</f>
        <v>－</v>
      </c>
      <c r="X100" s="34">
        <f>20</f>
        <v>20</v>
      </c>
    </row>
    <row r="101" spans="1:24">
      <c r="A101" s="25" t="s">
        <v>1219</v>
      </c>
      <c r="B101" s="25" t="s">
        <v>282</v>
      </c>
      <c r="C101" s="25" t="s">
        <v>283</v>
      </c>
      <c r="D101" s="25" t="s">
        <v>284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</v>
      </c>
      <c r="K101" s="31">
        <f>24600</f>
        <v>24600</v>
      </c>
      <c r="L101" s="32" t="s">
        <v>1204</v>
      </c>
      <c r="M101" s="31">
        <f>25695</f>
        <v>25695</v>
      </c>
      <c r="N101" s="32" t="s">
        <v>1210</v>
      </c>
      <c r="O101" s="31">
        <f>23870</f>
        <v>23870</v>
      </c>
      <c r="P101" s="32" t="s">
        <v>1220</v>
      </c>
      <c r="Q101" s="31">
        <f>25490</f>
        <v>25490</v>
      </c>
      <c r="R101" s="32" t="s">
        <v>661</v>
      </c>
      <c r="S101" s="33">
        <f>25040.25</f>
        <v>25040.25</v>
      </c>
      <c r="T101" s="30">
        <f>55417</f>
        <v>55417</v>
      </c>
      <c r="U101" s="30">
        <f>27086</f>
        <v>27086</v>
      </c>
      <c r="V101" s="30">
        <f>1381450722</f>
        <v>1381450722</v>
      </c>
      <c r="W101" s="30">
        <f>672684547</f>
        <v>672684547</v>
      </c>
      <c r="X101" s="34">
        <f>20</f>
        <v>20</v>
      </c>
    </row>
    <row r="102" spans="1:24">
      <c r="A102" s="25" t="s">
        <v>1219</v>
      </c>
      <c r="B102" s="25" t="s">
        <v>285</v>
      </c>
      <c r="C102" s="25" t="s">
        <v>286</v>
      </c>
      <c r="D102" s="25" t="s">
        <v>287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2228</f>
        <v>2228</v>
      </c>
      <c r="L102" s="32" t="s">
        <v>1204</v>
      </c>
      <c r="M102" s="31">
        <f>2340</f>
        <v>2340</v>
      </c>
      <c r="N102" s="32" t="s">
        <v>663</v>
      </c>
      <c r="O102" s="31">
        <f>2175</f>
        <v>2175</v>
      </c>
      <c r="P102" s="32" t="s">
        <v>1220</v>
      </c>
      <c r="Q102" s="31">
        <f>2325</f>
        <v>2325</v>
      </c>
      <c r="R102" s="32" t="s">
        <v>661</v>
      </c>
      <c r="S102" s="33">
        <f>2281.55</f>
        <v>2281.5500000000002</v>
      </c>
      <c r="T102" s="30">
        <f>58167</f>
        <v>58167</v>
      </c>
      <c r="U102" s="30" t="str">
        <f>"－"</f>
        <v>－</v>
      </c>
      <c r="V102" s="30">
        <f>132331680</f>
        <v>132331680</v>
      </c>
      <c r="W102" s="30" t="str">
        <f>"－"</f>
        <v>－</v>
      </c>
      <c r="X102" s="34">
        <f>20</f>
        <v>20</v>
      </c>
    </row>
    <row r="103" spans="1:24">
      <c r="A103" s="25" t="s">
        <v>1219</v>
      </c>
      <c r="B103" s="25" t="s">
        <v>288</v>
      </c>
      <c r="C103" s="25" t="s">
        <v>289</v>
      </c>
      <c r="D103" s="25" t="s">
        <v>290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25425</f>
        <v>25425</v>
      </c>
      <c r="L103" s="32" t="s">
        <v>1204</v>
      </c>
      <c r="M103" s="31">
        <f>26185</f>
        <v>26185</v>
      </c>
      <c r="N103" s="32" t="s">
        <v>1212</v>
      </c>
      <c r="O103" s="31">
        <f>24360</f>
        <v>24360</v>
      </c>
      <c r="P103" s="32" t="s">
        <v>1220</v>
      </c>
      <c r="Q103" s="31">
        <f>25015</f>
        <v>25015</v>
      </c>
      <c r="R103" s="32" t="s">
        <v>661</v>
      </c>
      <c r="S103" s="33">
        <f>25492</f>
        <v>25492</v>
      </c>
      <c r="T103" s="30">
        <f>10214</f>
        <v>10214</v>
      </c>
      <c r="U103" s="30">
        <f>2801</f>
        <v>2801</v>
      </c>
      <c r="V103" s="30">
        <f>258562898</f>
        <v>258562898</v>
      </c>
      <c r="W103" s="30">
        <f>70629548</f>
        <v>70629548</v>
      </c>
      <c r="X103" s="34">
        <f>20</f>
        <v>20</v>
      </c>
    </row>
    <row r="104" spans="1:24">
      <c r="A104" s="25" t="s">
        <v>1219</v>
      </c>
      <c r="B104" s="25" t="s">
        <v>291</v>
      </c>
      <c r="C104" s="25" t="s">
        <v>292</v>
      </c>
      <c r="D104" s="25" t="s">
        <v>293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10</v>
      </c>
      <c r="K104" s="31">
        <f>1745.5</f>
        <v>1745.5</v>
      </c>
      <c r="L104" s="32" t="s">
        <v>1204</v>
      </c>
      <c r="M104" s="31">
        <f>1779</f>
        <v>1779</v>
      </c>
      <c r="N104" s="32" t="s">
        <v>1075</v>
      </c>
      <c r="O104" s="31">
        <f>1685</f>
        <v>1685</v>
      </c>
      <c r="P104" s="32" t="s">
        <v>1220</v>
      </c>
      <c r="Q104" s="31">
        <f>1730</f>
        <v>1730</v>
      </c>
      <c r="R104" s="32" t="s">
        <v>661</v>
      </c>
      <c r="S104" s="33">
        <f>1733.15</f>
        <v>1733.15</v>
      </c>
      <c r="T104" s="30">
        <f>855450</f>
        <v>855450</v>
      </c>
      <c r="U104" s="30">
        <f>160000</f>
        <v>160000</v>
      </c>
      <c r="V104" s="30">
        <f>1480639935</f>
        <v>1480639935</v>
      </c>
      <c r="W104" s="30">
        <f>276395020</f>
        <v>276395020</v>
      </c>
      <c r="X104" s="34">
        <f>20</f>
        <v>20</v>
      </c>
    </row>
    <row r="105" spans="1:24">
      <c r="A105" s="25" t="s">
        <v>1219</v>
      </c>
      <c r="B105" s="25" t="s">
        <v>294</v>
      </c>
      <c r="C105" s="25" t="s">
        <v>295</v>
      </c>
      <c r="D105" s="25" t="s">
        <v>296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10</v>
      </c>
      <c r="K105" s="31" t="str">
        <f>"－"</f>
        <v>－</v>
      </c>
      <c r="L105" s="32"/>
      <c r="M105" s="31" t="str">
        <f>"－"</f>
        <v>－</v>
      </c>
      <c r="N105" s="32"/>
      <c r="O105" s="31" t="str">
        <f>"－"</f>
        <v>－</v>
      </c>
      <c r="P105" s="32"/>
      <c r="Q105" s="31" t="str">
        <f>"－"</f>
        <v>－</v>
      </c>
      <c r="R105" s="32"/>
      <c r="S105" s="33" t="str">
        <f t="shared" ref="S105:X105" si="1">"－"</f>
        <v>－</v>
      </c>
      <c r="T105" s="30" t="str">
        <f t="shared" si="1"/>
        <v>－</v>
      </c>
      <c r="U105" s="30" t="str">
        <f t="shared" si="1"/>
        <v>－</v>
      </c>
      <c r="V105" s="30" t="str">
        <f t="shared" si="1"/>
        <v>－</v>
      </c>
      <c r="W105" s="30" t="str">
        <f t="shared" si="1"/>
        <v>－</v>
      </c>
      <c r="X105" s="34" t="str">
        <f t="shared" si="1"/>
        <v>－</v>
      </c>
    </row>
    <row r="106" spans="1:24">
      <c r="A106" s="25" t="s">
        <v>1219</v>
      </c>
      <c r="B106" s="25" t="s">
        <v>297</v>
      </c>
      <c r="C106" s="25" t="s">
        <v>298</v>
      </c>
      <c r="D106" s="25" t="s">
        <v>299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1770</f>
        <v>1770</v>
      </c>
      <c r="L106" s="32" t="s">
        <v>1204</v>
      </c>
      <c r="M106" s="31">
        <f>1773</f>
        <v>1773</v>
      </c>
      <c r="N106" s="32" t="s">
        <v>1204</v>
      </c>
      <c r="O106" s="31">
        <f>1677</f>
        <v>1677</v>
      </c>
      <c r="P106" s="32" t="s">
        <v>1220</v>
      </c>
      <c r="Q106" s="31">
        <f>1736</f>
        <v>1736</v>
      </c>
      <c r="R106" s="32" t="s">
        <v>661</v>
      </c>
      <c r="S106" s="33">
        <f>1731.73</f>
        <v>1731.73</v>
      </c>
      <c r="T106" s="30">
        <f>4790520</f>
        <v>4790520</v>
      </c>
      <c r="U106" s="30">
        <f>2988430</f>
        <v>2988430</v>
      </c>
      <c r="V106" s="30">
        <f>8260438887</f>
        <v>8260438887</v>
      </c>
      <c r="W106" s="30">
        <f>5143868232</f>
        <v>5143868232</v>
      </c>
      <c r="X106" s="34">
        <f>20</f>
        <v>20</v>
      </c>
    </row>
    <row r="107" spans="1:24">
      <c r="A107" s="25" t="s">
        <v>1219</v>
      </c>
      <c r="B107" s="25" t="s">
        <v>300</v>
      </c>
      <c r="C107" s="25" t="s">
        <v>896</v>
      </c>
      <c r="D107" s="25" t="s">
        <v>897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</v>
      </c>
      <c r="K107" s="31">
        <f>24975</f>
        <v>24975</v>
      </c>
      <c r="L107" s="32" t="s">
        <v>1204</v>
      </c>
      <c r="M107" s="31">
        <f>26000</f>
        <v>26000</v>
      </c>
      <c r="N107" s="32" t="s">
        <v>1078</v>
      </c>
      <c r="O107" s="31">
        <f>24200</f>
        <v>24200</v>
      </c>
      <c r="P107" s="32" t="s">
        <v>1220</v>
      </c>
      <c r="Q107" s="31">
        <f>24735</f>
        <v>24735</v>
      </c>
      <c r="R107" s="32" t="s">
        <v>661</v>
      </c>
      <c r="S107" s="33">
        <f>25297.5</f>
        <v>25297.5</v>
      </c>
      <c r="T107" s="30">
        <f>5756</f>
        <v>5756</v>
      </c>
      <c r="U107" s="30">
        <f>4002</f>
        <v>4002</v>
      </c>
      <c r="V107" s="30">
        <f>143991120</f>
        <v>143991120</v>
      </c>
      <c r="W107" s="30">
        <f>100025070</f>
        <v>100025070</v>
      </c>
      <c r="X107" s="34">
        <f>20</f>
        <v>20</v>
      </c>
    </row>
    <row r="108" spans="1:24">
      <c r="A108" s="25" t="s">
        <v>1219</v>
      </c>
      <c r="B108" s="25" t="s">
        <v>1097</v>
      </c>
      <c r="C108" s="25" t="s">
        <v>1096</v>
      </c>
      <c r="D108" s="25" t="s">
        <v>1095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507</f>
        <v>507</v>
      </c>
      <c r="L108" s="32" t="s">
        <v>1204</v>
      </c>
      <c r="M108" s="31">
        <f>526</f>
        <v>526</v>
      </c>
      <c r="N108" s="32" t="s">
        <v>1212</v>
      </c>
      <c r="O108" s="31">
        <f>490.6</f>
        <v>490.6</v>
      </c>
      <c r="P108" s="32" t="s">
        <v>1220</v>
      </c>
      <c r="Q108" s="31">
        <f>515.7</f>
        <v>515.70000000000005</v>
      </c>
      <c r="R108" s="32" t="s">
        <v>661</v>
      </c>
      <c r="S108" s="33">
        <f>513.72</f>
        <v>513.72</v>
      </c>
      <c r="T108" s="30">
        <f>369610</f>
        <v>369610</v>
      </c>
      <c r="U108" s="30">
        <f>2830</f>
        <v>2830</v>
      </c>
      <c r="V108" s="30">
        <f>188613559</f>
        <v>188613559</v>
      </c>
      <c r="W108" s="30">
        <f>1402241</f>
        <v>1402241</v>
      </c>
      <c r="X108" s="34">
        <f>20</f>
        <v>20</v>
      </c>
    </row>
    <row r="109" spans="1:24">
      <c r="A109" s="25" t="s">
        <v>1219</v>
      </c>
      <c r="B109" s="25" t="s">
        <v>301</v>
      </c>
      <c r="C109" s="25" t="s">
        <v>302</v>
      </c>
      <c r="D109" s="25" t="s">
        <v>303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100</v>
      </c>
      <c r="K109" s="31">
        <f>399.5</f>
        <v>399.5</v>
      </c>
      <c r="L109" s="32" t="s">
        <v>1204</v>
      </c>
      <c r="M109" s="31">
        <f>443.9</f>
        <v>443.9</v>
      </c>
      <c r="N109" s="32" t="s">
        <v>1076</v>
      </c>
      <c r="O109" s="31">
        <f>374.3</f>
        <v>374.3</v>
      </c>
      <c r="P109" s="32" t="s">
        <v>1220</v>
      </c>
      <c r="Q109" s="31">
        <f>412</f>
        <v>412</v>
      </c>
      <c r="R109" s="32" t="s">
        <v>661</v>
      </c>
      <c r="S109" s="33">
        <f>413.21</f>
        <v>413.21</v>
      </c>
      <c r="T109" s="30">
        <f>96362000</f>
        <v>96362000</v>
      </c>
      <c r="U109" s="30">
        <f>13305800</f>
        <v>13305800</v>
      </c>
      <c r="V109" s="30">
        <f>39625425339</f>
        <v>39625425339</v>
      </c>
      <c r="W109" s="30">
        <f>5290784049</f>
        <v>5290784049</v>
      </c>
      <c r="X109" s="34">
        <f>20</f>
        <v>20</v>
      </c>
    </row>
    <row r="110" spans="1:24">
      <c r="A110" s="25" t="s">
        <v>1219</v>
      </c>
      <c r="B110" s="25" t="s">
        <v>304</v>
      </c>
      <c r="C110" s="25" t="s">
        <v>305</v>
      </c>
      <c r="D110" s="25" t="s">
        <v>306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</v>
      </c>
      <c r="K110" s="31">
        <f>36100</f>
        <v>36100</v>
      </c>
      <c r="L110" s="32" t="s">
        <v>1204</v>
      </c>
      <c r="M110" s="31">
        <f>38000</f>
        <v>38000</v>
      </c>
      <c r="N110" s="32" t="s">
        <v>1078</v>
      </c>
      <c r="O110" s="31">
        <f>35360</f>
        <v>35360</v>
      </c>
      <c r="P110" s="32" t="s">
        <v>1208</v>
      </c>
      <c r="Q110" s="31">
        <f>37210</f>
        <v>37210</v>
      </c>
      <c r="R110" s="32" t="s">
        <v>661</v>
      </c>
      <c r="S110" s="33">
        <f>37008.5</f>
        <v>37008.5</v>
      </c>
      <c r="T110" s="30">
        <f>6713</f>
        <v>6713</v>
      </c>
      <c r="U110" s="30">
        <f>112</f>
        <v>112</v>
      </c>
      <c r="V110" s="30">
        <f>246721025</f>
        <v>246721025</v>
      </c>
      <c r="W110" s="30">
        <f>4091805</f>
        <v>4091805</v>
      </c>
      <c r="X110" s="34">
        <f>20</f>
        <v>20</v>
      </c>
    </row>
    <row r="111" spans="1:24">
      <c r="A111" s="25" t="s">
        <v>1219</v>
      </c>
      <c r="B111" s="25" t="s">
        <v>307</v>
      </c>
      <c r="C111" s="25" t="s">
        <v>308</v>
      </c>
      <c r="D111" s="25" t="s">
        <v>309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</v>
      </c>
      <c r="K111" s="31">
        <f>21245</f>
        <v>21245</v>
      </c>
      <c r="L111" s="32" t="s">
        <v>1204</v>
      </c>
      <c r="M111" s="31">
        <f>23020</f>
        <v>23020</v>
      </c>
      <c r="N111" s="32" t="s">
        <v>1212</v>
      </c>
      <c r="O111" s="31">
        <f>20720</f>
        <v>20720</v>
      </c>
      <c r="P111" s="32" t="s">
        <v>1208</v>
      </c>
      <c r="Q111" s="31">
        <f>21660</f>
        <v>21660</v>
      </c>
      <c r="R111" s="32" t="s">
        <v>661</v>
      </c>
      <c r="S111" s="33">
        <f>21924.25</f>
        <v>21924.25</v>
      </c>
      <c r="T111" s="30">
        <f>9969</f>
        <v>9969</v>
      </c>
      <c r="U111" s="30">
        <f>9</f>
        <v>9</v>
      </c>
      <c r="V111" s="30">
        <f>219681995</f>
        <v>219681995</v>
      </c>
      <c r="W111" s="30">
        <f>202250</f>
        <v>202250</v>
      </c>
      <c r="X111" s="34">
        <f>20</f>
        <v>20</v>
      </c>
    </row>
    <row r="112" spans="1:24">
      <c r="A112" s="25" t="s">
        <v>1219</v>
      </c>
      <c r="B112" s="25" t="s">
        <v>310</v>
      </c>
      <c r="C112" s="25" t="s">
        <v>311</v>
      </c>
      <c r="D112" s="25" t="s">
        <v>312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31150</f>
        <v>31150</v>
      </c>
      <c r="L112" s="32" t="s">
        <v>1204</v>
      </c>
      <c r="M112" s="31">
        <f>31930</f>
        <v>31930</v>
      </c>
      <c r="N112" s="32" t="s">
        <v>1076</v>
      </c>
      <c r="O112" s="31">
        <f>30120</f>
        <v>30120</v>
      </c>
      <c r="P112" s="32" t="s">
        <v>1220</v>
      </c>
      <c r="Q112" s="31">
        <f>31010</f>
        <v>31010</v>
      </c>
      <c r="R112" s="32" t="s">
        <v>661</v>
      </c>
      <c r="S112" s="33">
        <f>31244.5</f>
        <v>31244.5</v>
      </c>
      <c r="T112" s="30">
        <f>1842</f>
        <v>1842</v>
      </c>
      <c r="U112" s="30" t="str">
        <f>"－"</f>
        <v>－</v>
      </c>
      <c r="V112" s="30">
        <f>57501700</f>
        <v>57501700</v>
      </c>
      <c r="W112" s="30" t="str">
        <f>"－"</f>
        <v>－</v>
      </c>
      <c r="X112" s="34">
        <f>20</f>
        <v>20</v>
      </c>
    </row>
    <row r="113" spans="1:24">
      <c r="A113" s="25" t="s">
        <v>1219</v>
      </c>
      <c r="B113" s="25" t="s">
        <v>313</v>
      </c>
      <c r="C113" s="25" t="s">
        <v>314</v>
      </c>
      <c r="D113" s="25" t="s">
        <v>315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28080</f>
        <v>28080</v>
      </c>
      <c r="L113" s="32" t="s">
        <v>1204</v>
      </c>
      <c r="M113" s="31">
        <f>28675</f>
        <v>28675</v>
      </c>
      <c r="N113" s="32" t="s">
        <v>1207</v>
      </c>
      <c r="O113" s="31">
        <f>27350</f>
        <v>27350</v>
      </c>
      <c r="P113" s="32" t="s">
        <v>661</v>
      </c>
      <c r="Q113" s="31">
        <f>27385</f>
        <v>27385</v>
      </c>
      <c r="R113" s="32" t="s">
        <v>661</v>
      </c>
      <c r="S113" s="33">
        <f>28101.75</f>
        <v>28101.75</v>
      </c>
      <c r="T113" s="30">
        <f>2810</f>
        <v>2810</v>
      </c>
      <c r="U113" s="30" t="str">
        <f>"－"</f>
        <v>－</v>
      </c>
      <c r="V113" s="30">
        <f>78931320</f>
        <v>78931320</v>
      </c>
      <c r="W113" s="30" t="str">
        <f>"－"</f>
        <v>－</v>
      </c>
      <c r="X113" s="34">
        <f>20</f>
        <v>20</v>
      </c>
    </row>
    <row r="114" spans="1:24">
      <c r="A114" s="25" t="s">
        <v>1219</v>
      </c>
      <c r="B114" s="25" t="s">
        <v>316</v>
      </c>
      <c r="C114" s="25" t="s">
        <v>317</v>
      </c>
      <c r="D114" s="25" t="s">
        <v>318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25975</f>
        <v>25975</v>
      </c>
      <c r="L114" s="32" t="s">
        <v>1204</v>
      </c>
      <c r="M114" s="31">
        <f>27000</f>
        <v>27000</v>
      </c>
      <c r="N114" s="32" t="s">
        <v>1075</v>
      </c>
      <c r="O114" s="31">
        <f>25385</f>
        <v>25385</v>
      </c>
      <c r="P114" s="32" t="s">
        <v>1220</v>
      </c>
      <c r="Q114" s="31">
        <f>25980</f>
        <v>25980</v>
      </c>
      <c r="R114" s="32" t="s">
        <v>661</v>
      </c>
      <c r="S114" s="33">
        <f>26219.75</f>
        <v>26219.75</v>
      </c>
      <c r="T114" s="30">
        <f>5817</f>
        <v>5817</v>
      </c>
      <c r="U114" s="30">
        <f>1</f>
        <v>1</v>
      </c>
      <c r="V114" s="30">
        <f>152764260</f>
        <v>152764260</v>
      </c>
      <c r="W114" s="30">
        <f>25930</f>
        <v>25930</v>
      </c>
      <c r="X114" s="34">
        <f>20</f>
        <v>20</v>
      </c>
    </row>
    <row r="115" spans="1:24">
      <c r="A115" s="25" t="s">
        <v>1219</v>
      </c>
      <c r="B115" s="25" t="s">
        <v>319</v>
      </c>
      <c r="C115" s="25" t="s">
        <v>320</v>
      </c>
      <c r="D115" s="25" t="s">
        <v>321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30170</f>
        <v>30170</v>
      </c>
      <c r="L115" s="32" t="s">
        <v>1204</v>
      </c>
      <c r="M115" s="31">
        <f>32160</f>
        <v>32160</v>
      </c>
      <c r="N115" s="32" t="s">
        <v>1210</v>
      </c>
      <c r="O115" s="31">
        <f>29280</f>
        <v>29280</v>
      </c>
      <c r="P115" s="32" t="s">
        <v>661</v>
      </c>
      <c r="Q115" s="31">
        <f>29685</f>
        <v>29685</v>
      </c>
      <c r="R115" s="32" t="s">
        <v>661</v>
      </c>
      <c r="S115" s="33">
        <f>30774.25</f>
        <v>30774.25</v>
      </c>
      <c r="T115" s="30">
        <f>12539</f>
        <v>12539</v>
      </c>
      <c r="U115" s="30">
        <f>98</f>
        <v>98</v>
      </c>
      <c r="V115" s="30">
        <f>385136930</f>
        <v>385136930</v>
      </c>
      <c r="W115" s="30">
        <f>2980580</f>
        <v>2980580</v>
      </c>
      <c r="X115" s="34">
        <f>20</f>
        <v>20</v>
      </c>
    </row>
    <row r="116" spans="1:24">
      <c r="A116" s="25" t="s">
        <v>1219</v>
      </c>
      <c r="B116" s="25" t="s">
        <v>322</v>
      </c>
      <c r="C116" s="25" t="s">
        <v>323</v>
      </c>
      <c r="D116" s="25" t="s">
        <v>324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27315</f>
        <v>27315</v>
      </c>
      <c r="L116" s="32" t="s">
        <v>1204</v>
      </c>
      <c r="M116" s="31">
        <f>28740</f>
        <v>28740</v>
      </c>
      <c r="N116" s="32" t="s">
        <v>663</v>
      </c>
      <c r="O116" s="31">
        <f>26445</f>
        <v>26445</v>
      </c>
      <c r="P116" s="32" t="s">
        <v>661</v>
      </c>
      <c r="Q116" s="31">
        <f>26790</f>
        <v>26790</v>
      </c>
      <c r="R116" s="32" t="s">
        <v>661</v>
      </c>
      <c r="S116" s="33">
        <f>27832</f>
        <v>27832</v>
      </c>
      <c r="T116" s="30">
        <f>11336</f>
        <v>11336</v>
      </c>
      <c r="U116" s="30" t="str">
        <f>"－"</f>
        <v>－</v>
      </c>
      <c r="V116" s="30">
        <f>312724855</f>
        <v>312724855</v>
      </c>
      <c r="W116" s="30" t="str">
        <f>"－"</f>
        <v>－</v>
      </c>
      <c r="X116" s="34">
        <f>20</f>
        <v>20</v>
      </c>
    </row>
    <row r="117" spans="1:24">
      <c r="A117" s="25" t="s">
        <v>1219</v>
      </c>
      <c r="B117" s="25" t="s">
        <v>325</v>
      </c>
      <c r="C117" s="25" t="s">
        <v>326</v>
      </c>
      <c r="D117" s="25" t="s">
        <v>327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55240</f>
        <v>55240</v>
      </c>
      <c r="L117" s="32" t="s">
        <v>1204</v>
      </c>
      <c r="M117" s="31">
        <f>61550</f>
        <v>61550</v>
      </c>
      <c r="N117" s="32" t="s">
        <v>1205</v>
      </c>
      <c r="O117" s="31">
        <f>54380</f>
        <v>54380</v>
      </c>
      <c r="P117" s="32" t="s">
        <v>1204</v>
      </c>
      <c r="Q117" s="31">
        <f>56370</f>
        <v>56370</v>
      </c>
      <c r="R117" s="32" t="s">
        <v>661</v>
      </c>
      <c r="S117" s="33">
        <f>58477.5</f>
        <v>58477.5</v>
      </c>
      <c r="T117" s="30">
        <f>4441</f>
        <v>4441</v>
      </c>
      <c r="U117" s="30">
        <f>68</f>
        <v>68</v>
      </c>
      <c r="V117" s="30">
        <f>257172370</f>
        <v>257172370</v>
      </c>
      <c r="W117" s="30">
        <f>4003530</f>
        <v>4003530</v>
      </c>
      <c r="X117" s="34">
        <f>20</f>
        <v>20</v>
      </c>
    </row>
    <row r="118" spans="1:24">
      <c r="A118" s="25" t="s">
        <v>1219</v>
      </c>
      <c r="B118" s="25" t="s">
        <v>328</v>
      </c>
      <c r="C118" s="25" t="s">
        <v>329</v>
      </c>
      <c r="D118" s="25" t="s">
        <v>330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37950</f>
        <v>37950</v>
      </c>
      <c r="L118" s="32" t="s">
        <v>1204</v>
      </c>
      <c r="M118" s="31">
        <f>38770</f>
        <v>38770</v>
      </c>
      <c r="N118" s="32" t="s">
        <v>1210</v>
      </c>
      <c r="O118" s="31">
        <f>35910</f>
        <v>35910</v>
      </c>
      <c r="P118" s="32" t="s">
        <v>1220</v>
      </c>
      <c r="Q118" s="31">
        <f>36600</f>
        <v>36600</v>
      </c>
      <c r="R118" s="32" t="s">
        <v>661</v>
      </c>
      <c r="S118" s="33">
        <f>37859.5</f>
        <v>37859.5</v>
      </c>
      <c r="T118" s="30">
        <f>15196</f>
        <v>15196</v>
      </c>
      <c r="U118" s="30">
        <f>5024</f>
        <v>5024</v>
      </c>
      <c r="V118" s="30">
        <f>575887035</f>
        <v>575887035</v>
      </c>
      <c r="W118" s="30">
        <f>189645695</f>
        <v>189645695</v>
      </c>
      <c r="X118" s="34">
        <f>20</f>
        <v>20</v>
      </c>
    </row>
    <row r="119" spans="1:24">
      <c r="A119" s="25" t="s">
        <v>1219</v>
      </c>
      <c r="B119" s="25" t="s">
        <v>331</v>
      </c>
      <c r="C119" s="25" t="s">
        <v>332</v>
      </c>
      <c r="D119" s="25" t="s">
        <v>333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37890</f>
        <v>37890</v>
      </c>
      <c r="L119" s="32" t="s">
        <v>1204</v>
      </c>
      <c r="M119" s="31">
        <f>37910</f>
        <v>37910</v>
      </c>
      <c r="N119" s="32" t="s">
        <v>1085</v>
      </c>
      <c r="O119" s="31">
        <f>35720</f>
        <v>35720</v>
      </c>
      <c r="P119" s="32" t="s">
        <v>1220</v>
      </c>
      <c r="Q119" s="31">
        <f>35900</f>
        <v>35900</v>
      </c>
      <c r="R119" s="32" t="s">
        <v>661</v>
      </c>
      <c r="S119" s="33">
        <f>37006</f>
        <v>37006</v>
      </c>
      <c r="T119" s="30">
        <f>4388</f>
        <v>4388</v>
      </c>
      <c r="U119" s="30">
        <f>19</f>
        <v>19</v>
      </c>
      <c r="V119" s="30">
        <f>162602950</f>
        <v>162602950</v>
      </c>
      <c r="W119" s="30">
        <f>698000</f>
        <v>698000</v>
      </c>
      <c r="X119" s="34">
        <f>20</f>
        <v>20</v>
      </c>
    </row>
    <row r="120" spans="1:24">
      <c r="A120" s="25" t="s">
        <v>1219</v>
      </c>
      <c r="B120" s="25" t="s">
        <v>334</v>
      </c>
      <c r="C120" s="25" t="s">
        <v>335</v>
      </c>
      <c r="D120" s="25" t="s">
        <v>336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8187</f>
        <v>8187</v>
      </c>
      <c r="L120" s="32" t="s">
        <v>1204</v>
      </c>
      <c r="M120" s="31">
        <f>8900</f>
        <v>8900</v>
      </c>
      <c r="N120" s="32" t="s">
        <v>663</v>
      </c>
      <c r="O120" s="31">
        <f>8020</f>
        <v>8020</v>
      </c>
      <c r="P120" s="32" t="s">
        <v>1220</v>
      </c>
      <c r="Q120" s="31">
        <f>8430</f>
        <v>8430</v>
      </c>
      <c r="R120" s="32" t="s">
        <v>661</v>
      </c>
      <c r="S120" s="33">
        <f>8456.95</f>
        <v>8456.9500000000007</v>
      </c>
      <c r="T120" s="30">
        <f>37469</f>
        <v>37469</v>
      </c>
      <c r="U120" s="30" t="str">
        <f>"－"</f>
        <v>－</v>
      </c>
      <c r="V120" s="30">
        <f>318068377</f>
        <v>318068377</v>
      </c>
      <c r="W120" s="30" t="str">
        <f>"－"</f>
        <v>－</v>
      </c>
      <c r="X120" s="34">
        <f>20</f>
        <v>20</v>
      </c>
    </row>
    <row r="121" spans="1:24">
      <c r="A121" s="25" t="s">
        <v>1219</v>
      </c>
      <c r="B121" s="25" t="s">
        <v>337</v>
      </c>
      <c r="C121" s="25" t="s">
        <v>338</v>
      </c>
      <c r="D121" s="25" t="s">
        <v>339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18725</f>
        <v>18725</v>
      </c>
      <c r="L121" s="32" t="s">
        <v>1204</v>
      </c>
      <c r="M121" s="31">
        <f>19275</f>
        <v>19275</v>
      </c>
      <c r="N121" s="32" t="s">
        <v>1076</v>
      </c>
      <c r="O121" s="31">
        <f>18520</f>
        <v>18520</v>
      </c>
      <c r="P121" s="32" t="s">
        <v>661</v>
      </c>
      <c r="Q121" s="31">
        <f>18615</f>
        <v>18615</v>
      </c>
      <c r="R121" s="32" t="s">
        <v>661</v>
      </c>
      <c r="S121" s="33">
        <f>19001</f>
        <v>19001</v>
      </c>
      <c r="T121" s="30">
        <f>32745</f>
        <v>32745</v>
      </c>
      <c r="U121" s="30">
        <f>21500</f>
        <v>21500</v>
      </c>
      <c r="V121" s="30">
        <f>624897029</f>
        <v>624897029</v>
      </c>
      <c r="W121" s="30">
        <f>411411654</f>
        <v>411411654</v>
      </c>
      <c r="X121" s="34">
        <f>20</f>
        <v>20</v>
      </c>
    </row>
    <row r="122" spans="1:24">
      <c r="A122" s="25" t="s">
        <v>1219</v>
      </c>
      <c r="B122" s="25" t="s">
        <v>340</v>
      </c>
      <c r="C122" s="25" t="s">
        <v>341</v>
      </c>
      <c r="D122" s="25" t="s">
        <v>342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78300</f>
        <v>78300</v>
      </c>
      <c r="L122" s="32" t="s">
        <v>1204</v>
      </c>
      <c r="M122" s="31">
        <f>84100</f>
        <v>84100</v>
      </c>
      <c r="N122" s="32" t="s">
        <v>1076</v>
      </c>
      <c r="O122" s="31">
        <f>76390</f>
        <v>76390</v>
      </c>
      <c r="P122" s="32" t="s">
        <v>1220</v>
      </c>
      <c r="Q122" s="31">
        <f>80320</f>
        <v>80320</v>
      </c>
      <c r="R122" s="32" t="s">
        <v>661</v>
      </c>
      <c r="S122" s="33">
        <f>80293</f>
        <v>80293</v>
      </c>
      <c r="T122" s="30">
        <f>19981</f>
        <v>19981</v>
      </c>
      <c r="U122" s="30">
        <f>1635</f>
        <v>1635</v>
      </c>
      <c r="V122" s="30">
        <f>1610647856</f>
        <v>1610647856</v>
      </c>
      <c r="W122" s="30">
        <f>126409276</f>
        <v>126409276</v>
      </c>
      <c r="X122" s="34">
        <f>20</f>
        <v>20</v>
      </c>
    </row>
    <row r="123" spans="1:24">
      <c r="A123" s="25" t="s">
        <v>1219</v>
      </c>
      <c r="B123" s="25" t="s">
        <v>1094</v>
      </c>
      <c r="C123" s="25" t="s">
        <v>1093</v>
      </c>
      <c r="D123" s="25" t="s">
        <v>1092</v>
      </c>
      <c r="E123" s="26" t="s">
        <v>43</v>
      </c>
      <c r="F123" s="27" t="s">
        <v>43</v>
      </c>
      <c r="G123" s="28" t="s">
        <v>43</v>
      </c>
      <c r="H123" s="29"/>
      <c r="I123" s="29" t="s">
        <v>452</v>
      </c>
      <c r="J123" s="30">
        <v>1</v>
      </c>
      <c r="K123" s="31">
        <f>10150</f>
        <v>10150</v>
      </c>
      <c r="L123" s="32" t="s">
        <v>1204</v>
      </c>
      <c r="M123" s="31">
        <f>10240</f>
        <v>10240</v>
      </c>
      <c r="N123" s="32" t="s">
        <v>1212</v>
      </c>
      <c r="O123" s="31">
        <f>9576</f>
        <v>9576</v>
      </c>
      <c r="P123" s="32" t="s">
        <v>661</v>
      </c>
      <c r="Q123" s="31">
        <f>9576</f>
        <v>9576</v>
      </c>
      <c r="R123" s="32" t="s">
        <v>661</v>
      </c>
      <c r="S123" s="33">
        <f>9961.63</f>
        <v>9961.6299999999992</v>
      </c>
      <c r="T123" s="30">
        <f>1186</f>
        <v>1186</v>
      </c>
      <c r="U123" s="30" t="str">
        <f>"－"</f>
        <v>－</v>
      </c>
      <c r="V123" s="30">
        <f>12034707</f>
        <v>12034707</v>
      </c>
      <c r="W123" s="30" t="str">
        <f>"－"</f>
        <v>－</v>
      </c>
      <c r="X123" s="34">
        <f>16</f>
        <v>16</v>
      </c>
    </row>
    <row r="124" spans="1:24">
      <c r="A124" s="25" t="s">
        <v>1219</v>
      </c>
      <c r="B124" s="25" t="s">
        <v>343</v>
      </c>
      <c r="C124" s="25" t="s">
        <v>344</v>
      </c>
      <c r="D124" s="25" t="s">
        <v>345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31120</f>
        <v>31120</v>
      </c>
      <c r="L124" s="32" t="s">
        <v>1204</v>
      </c>
      <c r="M124" s="31">
        <f>31680</f>
        <v>31680</v>
      </c>
      <c r="N124" s="32" t="s">
        <v>1075</v>
      </c>
      <c r="O124" s="31">
        <f>30220</f>
        <v>30220</v>
      </c>
      <c r="P124" s="32" t="s">
        <v>1209</v>
      </c>
      <c r="Q124" s="31">
        <f>30870</f>
        <v>30870</v>
      </c>
      <c r="R124" s="32" t="s">
        <v>661</v>
      </c>
      <c r="S124" s="33">
        <f>31028</f>
        <v>31028</v>
      </c>
      <c r="T124" s="30">
        <f>11834</f>
        <v>11834</v>
      </c>
      <c r="U124" s="30">
        <f>7016</f>
        <v>7016</v>
      </c>
      <c r="V124" s="30">
        <f>367714553</f>
        <v>367714553</v>
      </c>
      <c r="W124" s="30">
        <f>217811453</f>
        <v>217811453</v>
      </c>
      <c r="X124" s="34">
        <f>20</f>
        <v>20</v>
      </c>
    </row>
    <row r="125" spans="1:24">
      <c r="A125" s="25" t="s">
        <v>1219</v>
      </c>
      <c r="B125" s="25" t="s">
        <v>346</v>
      </c>
      <c r="C125" s="25" t="s">
        <v>347</v>
      </c>
      <c r="D125" s="25" t="s">
        <v>348</v>
      </c>
      <c r="E125" s="26" t="s">
        <v>43</v>
      </c>
      <c r="F125" s="27" t="s">
        <v>43</v>
      </c>
      <c r="G125" s="28" t="s">
        <v>43</v>
      </c>
      <c r="H125" s="29"/>
      <c r="I125" s="29" t="s">
        <v>44</v>
      </c>
      <c r="J125" s="30">
        <v>1</v>
      </c>
      <c r="K125" s="31">
        <f>21475</f>
        <v>21475</v>
      </c>
      <c r="L125" s="32" t="s">
        <v>1204</v>
      </c>
      <c r="M125" s="31">
        <f>23625</f>
        <v>23625</v>
      </c>
      <c r="N125" s="32" t="s">
        <v>1076</v>
      </c>
      <c r="O125" s="31">
        <f>19930</f>
        <v>19930</v>
      </c>
      <c r="P125" s="32" t="s">
        <v>1220</v>
      </c>
      <c r="Q125" s="31">
        <f>22005</f>
        <v>22005</v>
      </c>
      <c r="R125" s="32" t="s">
        <v>661</v>
      </c>
      <c r="S125" s="33">
        <f>21968.25</f>
        <v>21968.25</v>
      </c>
      <c r="T125" s="30">
        <f>114228</f>
        <v>114228</v>
      </c>
      <c r="U125" s="30">
        <f>12251</f>
        <v>12251</v>
      </c>
      <c r="V125" s="30">
        <f>2485830492</f>
        <v>2485830492</v>
      </c>
      <c r="W125" s="30">
        <f>263012952</f>
        <v>263012952</v>
      </c>
      <c r="X125" s="34">
        <f>20</f>
        <v>20</v>
      </c>
    </row>
    <row r="126" spans="1:24">
      <c r="A126" s="25" t="s">
        <v>1219</v>
      </c>
      <c r="B126" s="25" t="s">
        <v>349</v>
      </c>
      <c r="C126" s="25" t="s">
        <v>350</v>
      </c>
      <c r="D126" s="25" t="s">
        <v>351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27950</f>
        <v>27950</v>
      </c>
      <c r="L126" s="32" t="s">
        <v>1204</v>
      </c>
      <c r="M126" s="31">
        <f>30250</f>
        <v>30250</v>
      </c>
      <c r="N126" s="32" t="s">
        <v>1078</v>
      </c>
      <c r="O126" s="31">
        <f>26670</f>
        <v>26670</v>
      </c>
      <c r="P126" s="32" t="s">
        <v>1220</v>
      </c>
      <c r="Q126" s="31">
        <f>29000</f>
        <v>29000</v>
      </c>
      <c r="R126" s="32" t="s">
        <v>661</v>
      </c>
      <c r="S126" s="33">
        <f>28805</f>
        <v>28805</v>
      </c>
      <c r="T126" s="30">
        <f>32548</f>
        <v>32548</v>
      </c>
      <c r="U126" s="30">
        <f>4017</f>
        <v>4017</v>
      </c>
      <c r="V126" s="30">
        <f>928193138</f>
        <v>928193138</v>
      </c>
      <c r="W126" s="30">
        <f>113022888</f>
        <v>113022888</v>
      </c>
      <c r="X126" s="34">
        <f>20</f>
        <v>20</v>
      </c>
    </row>
    <row r="127" spans="1:24">
      <c r="A127" s="25" t="s">
        <v>1219</v>
      </c>
      <c r="B127" s="25" t="s">
        <v>352</v>
      </c>
      <c r="C127" s="25" t="s">
        <v>353</v>
      </c>
      <c r="D127" s="25" t="s">
        <v>354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39140</f>
        <v>39140</v>
      </c>
      <c r="L127" s="32" t="s">
        <v>1204</v>
      </c>
      <c r="M127" s="31">
        <f>42150</f>
        <v>42150</v>
      </c>
      <c r="N127" s="32" t="s">
        <v>1075</v>
      </c>
      <c r="O127" s="31">
        <f>37690</f>
        <v>37690</v>
      </c>
      <c r="P127" s="32" t="s">
        <v>1220</v>
      </c>
      <c r="Q127" s="31">
        <f>40300</f>
        <v>40300</v>
      </c>
      <c r="R127" s="32" t="s">
        <v>661</v>
      </c>
      <c r="S127" s="33">
        <f>39772</f>
        <v>39772</v>
      </c>
      <c r="T127" s="30">
        <f>3533</f>
        <v>3533</v>
      </c>
      <c r="U127" s="30">
        <f>59</f>
        <v>59</v>
      </c>
      <c r="V127" s="30">
        <f>142323320</f>
        <v>142323320</v>
      </c>
      <c r="W127" s="30">
        <f>2395430</f>
        <v>2395430</v>
      </c>
      <c r="X127" s="34">
        <f>20</f>
        <v>20</v>
      </c>
    </row>
    <row r="128" spans="1:24">
      <c r="A128" s="25" t="s">
        <v>1219</v>
      </c>
      <c r="B128" s="25" t="s">
        <v>1091</v>
      </c>
      <c r="C128" s="25" t="s">
        <v>1090</v>
      </c>
      <c r="D128" s="25" t="s">
        <v>1089</v>
      </c>
      <c r="E128" s="26" t="s">
        <v>43</v>
      </c>
      <c r="F128" s="27" t="s">
        <v>43</v>
      </c>
      <c r="G128" s="28" t="s">
        <v>43</v>
      </c>
      <c r="H128" s="29"/>
      <c r="I128" s="29" t="s">
        <v>452</v>
      </c>
      <c r="J128" s="30">
        <v>1</v>
      </c>
      <c r="K128" s="31">
        <f>8316</f>
        <v>8316</v>
      </c>
      <c r="L128" s="32" t="s">
        <v>1204</v>
      </c>
      <c r="M128" s="31">
        <f>8358</f>
        <v>8358</v>
      </c>
      <c r="N128" s="32" t="s">
        <v>1205</v>
      </c>
      <c r="O128" s="31">
        <f>7390</f>
        <v>7390</v>
      </c>
      <c r="P128" s="32" t="s">
        <v>661</v>
      </c>
      <c r="Q128" s="31">
        <f>7390</f>
        <v>7390</v>
      </c>
      <c r="R128" s="32" t="s">
        <v>661</v>
      </c>
      <c r="S128" s="33">
        <f>8043.9</f>
        <v>8043.9</v>
      </c>
      <c r="T128" s="30">
        <f>69027</f>
        <v>69027</v>
      </c>
      <c r="U128" s="30">
        <f>7</f>
        <v>7</v>
      </c>
      <c r="V128" s="30">
        <f>554031848</f>
        <v>554031848</v>
      </c>
      <c r="W128" s="30">
        <f>56515</f>
        <v>56515</v>
      </c>
      <c r="X128" s="34">
        <f>20</f>
        <v>20</v>
      </c>
    </row>
    <row r="129" spans="1:24">
      <c r="A129" s="25" t="s">
        <v>1219</v>
      </c>
      <c r="B129" s="25" t="s">
        <v>355</v>
      </c>
      <c r="C129" s="25" t="s">
        <v>898</v>
      </c>
      <c r="D129" s="25" t="s">
        <v>899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2079</f>
        <v>2079</v>
      </c>
      <c r="L129" s="32" t="s">
        <v>1204</v>
      </c>
      <c r="M129" s="31">
        <f>2175</f>
        <v>2175</v>
      </c>
      <c r="N129" s="32" t="s">
        <v>663</v>
      </c>
      <c r="O129" s="31">
        <f>1985</f>
        <v>1985</v>
      </c>
      <c r="P129" s="32" t="s">
        <v>1220</v>
      </c>
      <c r="Q129" s="31">
        <f>2081</f>
        <v>2081</v>
      </c>
      <c r="R129" s="32" t="s">
        <v>661</v>
      </c>
      <c r="S129" s="33">
        <f>2099.35</f>
        <v>2099.35</v>
      </c>
      <c r="T129" s="30">
        <f>870976</f>
        <v>870976</v>
      </c>
      <c r="U129" s="30">
        <f>306080</f>
        <v>306080</v>
      </c>
      <c r="V129" s="30">
        <f>1805829690</f>
        <v>1805829690</v>
      </c>
      <c r="W129" s="30">
        <f>641728386</f>
        <v>641728386</v>
      </c>
      <c r="X129" s="34">
        <f>20</f>
        <v>20</v>
      </c>
    </row>
    <row r="130" spans="1:24">
      <c r="A130" s="25" t="s">
        <v>1219</v>
      </c>
      <c r="B130" s="25" t="s">
        <v>356</v>
      </c>
      <c r="C130" s="25" t="s">
        <v>900</v>
      </c>
      <c r="D130" s="25" t="s">
        <v>901</v>
      </c>
      <c r="E130" s="26" t="s">
        <v>43</v>
      </c>
      <c r="F130" s="27" t="s">
        <v>43</v>
      </c>
      <c r="G130" s="28" t="s">
        <v>43</v>
      </c>
      <c r="H130" s="29"/>
      <c r="I130" s="29" t="s">
        <v>44</v>
      </c>
      <c r="J130" s="30">
        <v>10</v>
      </c>
      <c r="K130" s="31">
        <f>3162</f>
        <v>3162</v>
      </c>
      <c r="L130" s="32" t="s">
        <v>1220</v>
      </c>
      <c r="M130" s="31">
        <f>3333</f>
        <v>3333</v>
      </c>
      <c r="N130" s="32" t="s">
        <v>1210</v>
      </c>
      <c r="O130" s="31">
        <f>3120</f>
        <v>3120</v>
      </c>
      <c r="P130" s="32" t="s">
        <v>1220</v>
      </c>
      <c r="Q130" s="31">
        <f>3232</f>
        <v>3232</v>
      </c>
      <c r="R130" s="32" t="s">
        <v>661</v>
      </c>
      <c r="S130" s="33">
        <f>3266.13</f>
        <v>3266.13</v>
      </c>
      <c r="T130" s="30">
        <f>1690</f>
        <v>1690</v>
      </c>
      <c r="U130" s="30" t="str">
        <f>"－"</f>
        <v>－</v>
      </c>
      <c r="V130" s="30">
        <f>5552380</f>
        <v>5552380</v>
      </c>
      <c r="W130" s="30" t="str">
        <f>"－"</f>
        <v>－</v>
      </c>
      <c r="X130" s="34">
        <f>8</f>
        <v>8</v>
      </c>
    </row>
    <row r="131" spans="1:24">
      <c r="A131" s="25" t="s">
        <v>1219</v>
      </c>
      <c r="B131" s="25" t="s">
        <v>357</v>
      </c>
      <c r="C131" s="25" t="s">
        <v>902</v>
      </c>
      <c r="D131" s="25" t="s">
        <v>903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10</v>
      </c>
      <c r="K131" s="31">
        <f>3528</f>
        <v>3528</v>
      </c>
      <c r="L131" s="32" t="s">
        <v>1204</v>
      </c>
      <c r="M131" s="31">
        <f>3615</f>
        <v>3615</v>
      </c>
      <c r="N131" s="32" t="s">
        <v>1212</v>
      </c>
      <c r="O131" s="31">
        <f>3368</f>
        <v>3368</v>
      </c>
      <c r="P131" s="32" t="s">
        <v>1220</v>
      </c>
      <c r="Q131" s="31">
        <f>3452</f>
        <v>3452</v>
      </c>
      <c r="R131" s="32" t="s">
        <v>661</v>
      </c>
      <c r="S131" s="33">
        <f>3529.82</f>
        <v>3529.82</v>
      </c>
      <c r="T131" s="30">
        <f>52240</f>
        <v>52240</v>
      </c>
      <c r="U131" s="30">
        <f>10</f>
        <v>10</v>
      </c>
      <c r="V131" s="30">
        <f>183119780</f>
        <v>183119780</v>
      </c>
      <c r="W131" s="30">
        <f>33940</f>
        <v>33940</v>
      </c>
      <c r="X131" s="34">
        <f>17</f>
        <v>17</v>
      </c>
    </row>
    <row r="132" spans="1:24">
      <c r="A132" s="25" t="s">
        <v>1219</v>
      </c>
      <c r="B132" s="25" t="s">
        <v>358</v>
      </c>
      <c r="C132" s="25" t="s">
        <v>904</v>
      </c>
      <c r="D132" s="25" t="s">
        <v>905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2162.5</f>
        <v>2162.5</v>
      </c>
      <c r="L132" s="32" t="s">
        <v>1208</v>
      </c>
      <c r="M132" s="31">
        <f>2253</f>
        <v>2253</v>
      </c>
      <c r="N132" s="32" t="s">
        <v>1075</v>
      </c>
      <c r="O132" s="31">
        <f>2162.5</f>
        <v>2162.5</v>
      </c>
      <c r="P132" s="32" t="s">
        <v>1208</v>
      </c>
      <c r="Q132" s="31">
        <f>2253</f>
        <v>2253</v>
      </c>
      <c r="R132" s="32" t="s">
        <v>1075</v>
      </c>
      <c r="S132" s="33">
        <f>2210.25</f>
        <v>2210.25</v>
      </c>
      <c r="T132" s="30">
        <f>3320</f>
        <v>3320</v>
      </c>
      <c r="U132" s="30" t="str">
        <f>"－"</f>
        <v>－</v>
      </c>
      <c r="V132" s="30">
        <f>7223165</f>
        <v>7223165</v>
      </c>
      <c r="W132" s="30" t="str">
        <f>"－"</f>
        <v>－</v>
      </c>
      <c r="X132" s="34">
        <f>2</f>
        <v>2</v>
      </c>
    </row>
    <row r="133" spans="1:24">
      <c r="A133" s="25" t="s">
        <v>1219</v>
      </c>
      <c r="B133" s="25" t="s">
        <v>359</v>
      </c>
      <c r="C133" s="25" t="s">
        <v>360</v>
      </c>
      <c r="D133" s="25" t="s">
        <v>361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646.5</f>
        <v>646.5</v>
      </c>
      <c r="L133" s="32" t="s">
        <v>1204</v>
      </c>
      <c r="M133" s="31">
        <f>646.8</f>
        <v>646.79999999999995</v>
      </c>
      <c r="N133" s="32" t="s">
        <v>1204</v>
      </c>
      <c r="O133" s="31">
        <f>585.8</f>
        <v>585.79999999999995</v>
      </c>
      <c r="P133" s="32" t="s">
        <v>1220</v>
      </c>
      <c r="Q133" s="31">
        <f>593.5</f>
        <v>593.5</v>
      </c>
      <c r="R133" s="32" t="s">
        <v>661</v>
      </c>
      <c r="S133" s="33">
        <f>612.62</f>
        <v>612.62</v>
      </c>
      <c r="T133" s="30">
        <f>71544470</f>
        <v>71544470</v>
      </c>
      <c r="U133" s="30">
        <f>1482550</f>
        <v>1482550</v>
      </c>
      <c r="V133" s="30">
        <f>43626900089</f>
        <v>43626900089</v>
      </c>
      <c r="W133" s="30">
        <f>888799908</f>
        <v>888799908</v>
      </c>
      <c r="X133" s="34">
        <f>20</f>
        <v>20</v>
      </c>
    </row>
    <row r="134" spans="1:24">
      <c r="A134" s="25" t="s">
        <v>1219</v>
      </c>
      <c r="B134" s="25" t="s">
        <v>362</v>
      </c>
      <c r="C134" s="25" t="s">
        <v>363</v>
      </c>
      <c r="D134" s="25" t="s">
        <v>364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300</f>
        <v>300</v>
      </c>
      <c r="L134" s="32" t="s">
        <v>1204</v>
      </c>
      <c r="M134" s="31">
        <f>300.5</f>
        <v>300.5</v>
      </c>
      <c r="N134" s="32" t="s">
        <v>1204</v>
      </c>
      <c r="O134" s="31">
        <f>292</f>
        <v>292</v>
      </c>
      <c r="P134" s="32" t="s">
        <v>738</v>
      </c>
      <c r="Q134" s="31">
        <f>299</f>
        <v>299</v>
      </c>
      <c r="R134" s="32" t="s">
        <v>661</v>
      </c>
      <c r="S134" s="33">
        <f>296.33</f>
        <v>296.33</v>
      </c>
      <c r="T134" s="30">
        <f>4943130</f>
        <v>4943130</v>
      </c>
      <c r="U134" s="30">
        <f>1550040</f>
        <v>1550040</v>
      </c>
      <c r="V134" s="30">
        <f>1463907597</f>
        <v>1463907597</v>
      </c>
      <c r="W134" s="30">
        <f>456457405</f>
        <v>456457405</v>
      </c>
      <c r="X134" s="34">
        <f>20</f>
        <v>20</v>
      </c>
    </row>
    <row r="135" spans="1:24">
      <c r="A135" s="25" t="s">
        <v>1219</v>
      </c>
      <c r="B135" s="25" t="s">
        <v>365</v>
      </c>
      <c r="C135" s="25" t="s">
        <v>945</v>
      </c>
      <c r="D135" s="25" t="s">
        <v>366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</v>
      </c>
      <c r="K135" s="31">
        <f>5350</f>
        <v>5350</v>
      </c>
      <c r="L135" s="32" t="s">
        <v>1204</v>
      </c>
      <c r="M135" s="31">
        <f>5350</f>
        <v>5350</v>
      </c>
      <c r="N135" s="32" t="s">
        <v>1204</v>
      </c>
      <c r="O135" s="31">
        <f>4920</f>
        <v>4920</v>
      </c>
      <c r="P135" s="32" t="s">
        <v>1220</v>
      </c>
      <c r="Q135" s="31">
        <f>5000</f>
        <v>5000</v>
      </c>
      <c r="R135" s="32" t="s">
        <v>661</v>
      </c>
      <c r="S135" s="33">
        <f>5132.75</f>
        <v>5132.75</v>
      </c>
      <c r="T135" s="30">
        <f>296663</f>
        <v>296663</v>
      </c>
      <c r="U135" s="30">
        <f>211793</f>
        <v>211793</v>
      </c>
      <c r="V135" s="30">
        <f>1526012792</f>
        <v>1526012792</v>
      </c>
      <c r="W135" s="30">
        <f>1090197742</f>
        <v>1090197742</v>
      </c>
      <c r="X135" s="34">
        <f>20</f>
        <v>20</v>
      </c>
    </row>
    <row r="136" spans="1:24">
      <c r="A136" s="25" t="s">
        <v>1219</v>
      </c>
      <c r="B136" s="25" t="s">
        <v>367</v>
      </c>
      <c r="C136" s="25" t="s">
        <v>368</v>
      </c>
      <c r="D136" s="25" t="s">
        <v>369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</v>
      </c>
      <c r="K136" s="31">
        <f>2738</f>
        <v>2738</v>
      </c>
      <c r="L136" s="32" t="s">
        <v>1204</v>
      </c>
      <c r="M136" s="31">
        <f>2820</f>
        <v>2820</v>
      </c>
      <c r="N136" s="32" t="s">
        <v>1205</v>
      </c>
      <c r="O136" s="31">
        <f>2644</f>
        <v>2644</v>
      </c>
      <c r="P136" s="32" t="s">
        <v>1220</v>
      </c>
      <c r="Q136" s="31">
        <f>2715</f>
        <v>2715</v>
      </c>
      <c r="R136" s="32" t="s">
        <v>661</v>
      </c>
      <c r="S136" s="33">
        <f>2749.3</f>
        <v>2749.3</v>
      </c>
      <c r="T136" s="30">
        <f>140559</f>
        <v>140559</v>
      </c>
      <c r="U136" s="30">
        <f>52710</f>
        <v>52710</v>
      </c>
      <c r="V136" s="30">
        <f>386602247</f>
        <v>386602247</v>
      </c>
      <c r="W136" s="30">
        <f>144950792</f>
        <v>144950792</v>
      </c>
      <c r="X136" s="34">
        <f>20</f>
        <v>20</v>
      </c>
    </row>
    <row r="137" spans="1:24">
      <c r="A137" s="25" t="s">
        <v>1219</v>
      </c>
      <c r="B137" s="25" t="s">
        <v>370</v>
      </c>
      <c r="C137" s="25" t="s">
        <v>371</v>
      </c>
      <c r="D137" s="25" t="s">
        <v>372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3355</f>
        <v>3355</v>
      </c>
      <c r="L137" s="32" t="s">
        <v>1204</v>
      </c>
      <c r="M137" s="31">
        <f>3360</f>
        <v>3360</v>
      </c>
      <c r="N137" s="32" t="s">
        <v>1204</v>
      </c>
      <c r="O137" s="31">
        <f>3080</f>
        <v>3080</v>
      </c>
      <c r="P137" s="32" t="s">
        <v>1080</v>
      </c>
      <c r="Q137" s="31">
        <f>3155</f>
        <v>3155</v>
      </c>
      <c r="R137" s="32" t="s">
        <v>661</v>
      </c>
      <c r="S137" s="33">
        <f>3208.75</f>
        <v>3208.75</v>
      </c>
      <c r="T137" s="30">
        <f>334892</f>
        <v>334892</v>
      </c>
      <c r="U137" s="30">
        <f>73704</f>
        <v>73704</v>
      </c>
      <c r="V137" s="30">
        <f>1072886175</f>
        <v>1072886175</v>
      </c>
      <c r="W137" s="30">
        <f>235429160</f>
        <v>235429160</v>
      </c>
      <c r="X137" s="34">
        <f>20</f>
        <v>20</v>
      </c>
    </row>
    <row r="138" spans="1:24">
      <c r="A138" s="25" t="s">
        <v>1219</v>
      </c>
      <c r="B138" s="25" t="s">
        <v>373</v>
      </c>
      <c r="C138" s="25" t="s">
        <v>374</v>
      </c>
      <c r="D138" s="25" t="s">
        <v>375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9902</f>
        <v>9902</v>
      </c>
      <c r="L138" s="32" t="s">
        <v>1204</v>
      </c>
      <c r="M138" s="31">
        <f>10075</f>
        <v>10075</v>
      </c>
      <c r="N138" s="32" t="s">
        <v>1078</v>
      </c>
      <c r="O138" s="31">
        <f>9520</f>
        <v>9520</v>
      </c>
      <c r="P138" s="32" t="s">
        <v>1220</v>
      </c>
      <c r="Q138" s="31">
        <f>9910</f>
        <v>9910</v>
      </c>
      <c r="R138" s="32" t="s">
        <v>661</v>
      </c>
      <c r="S138" s="33">
        <f>9806.8</f>
        <v>9806.7999999999993</v>
      </c>
      <c r="T138" s="30">
        <f>86199</f>
        <v>86199</v>
      </c>
      <c r="U138" s="30">
        <f>16492</f>
        <v>16492</v>
      </c>
      <c r="V138" s="30">
        <f>839433161</f>
        <v>839433161</v>
      </c>
      <c r="W138" s="30">
        <f>158472708</f>
        <v>158472708</v>
      </c>
      <c r="X138" s="34">
        <f>20</f>
        <v>20</v>
      </c>
    </row>
    <row r="139" spans="1:24">
      <c r="A139" s="25" t="s">
        <v>1219</v>
      </c>
      <c r="B139" s="25" t="s">
        <v>376</v>
      </c>
      <c r="C139" s="25" t="s">
        <v>377</v>
      </c>
      <c r="D139" s="25" t="s">
        <v>378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3120</f>
        <v>3120</v>
      </c>
      <c r="L139" s="32" t="s">
        <v>1204</v>
      </c>
      <c r="M139" s="31">
        <f>3135</f>
        <v>3135</v>
      </c>
      <c r="N139" s="32" t="s">
        <v>1204</v>
      </c>
      <c r="O139" s="31">
        <f>2832</f>
        <v>2832</v>
      </c>
      <c r="P139" s="32" t="s">
        <v>1220</v>
      </c>
      <c r="Q139" s="31">
        <f>3060</f>
        <v>3060</v>
      </c>
      <c r="R139" s="32" t="s">
        <v>661</v>
      </c>
      <c r="S139" s="33">
        <f>3000.35</f>
        <v>3000.35</v>
      </c>
      <c r="T139" s="30">
        <f>2134479</f>
        <v>2134479</v>
      </c>
      <c r="U139" s="30">
        <f>17</f>
        <v>17</v>
      </c>
      <c r="V139" s="30">
        <f>6372439524</f>
        <v>6372439524</v>
      </c>
      <c r="W139" s="30">
        <f>50354</f>
        <v>50354</v>
      </c>
      <c r="X139" s="34">
        <f>20</f>
        <v>20</v>
      </c>
    </row>
    <row r="140" spans="1:24">
      <c r="A140" s="25" t="s">
        <v>1219</v>
      </c>
      <c r="B140" s="25" t="s">
        <v>379</v>
      </c>
      <c r="C140" s="25" t="s">
        <v>380</v>
      </c>
      <c r="D140" s="25" t="s">
        <v>381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40350</f>
        <v>40350</v>
      </c>
      <c r="L140" s="32" t="s">
        <v>1204</v>
      </c>
      <c r="M140" s="31">
        <f>45940</f>
        <v>45940</v>
      </c>
      <c r="N140" s="32" t="s">
        <v>661</v>
      </c>
      <c r="O140" s="31">
        <f>39450</f>
        <v>39450</v>
      </c>
      <c r="P140" s="32" t="s">
        <v>1220</v>
      </c>
      <c r="Q140" s="31">
        <f>43490</f>
        <v>43490</v>
      </c>
      <c r="R140" s="32" t="s">
        <v>661</v>
      </c>
      <c r="S140" s="33">
        <f>41406.5</f>
        <v>41406.5</v>
      </c>
      <c r="T140" s="30">
        <f>19273</f>
        <v>19273</v>
      </c>
      <c r="U140" s="30" t="str">
        <f>"－"</f>
        <v>－</v>
      </c>
      <c r="V140" s="30">
        <f>817637130</f>
        <v>817637130</v>
      </c>
      <c r="W140" s="30" t="str">
        <f>"－"</f>
        <v>－</v>
      </c>
      <c r="X140" s="34">
        <f>20</f>
        <v>20</v>
      </c>
    </row>
    <row r="141" spans="1:24">
      <c r="A141" s="25" t="s">
        <v>1219</v>
      </c>
      <c r="B141" s="25" t="s">
        <v>382</v>
      </c>
      <c r="C141" s="25" t="s">
        <v>383</v>
      </c>
      <c r="D141" s="25" t="s">
        <v>384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10</v>
      </c>
      <c r="K141" s="31">
        <f>4288</f>
        <v>4288</v>
      </c>
      <c r="L141" s="32" t="s">
        <v>1204</v>
      </c>
      <c r="M141" s="31">
        <f>4786</f>
        <v>4786</v>
      </c>
      <c r="N141" s="32" t="s">
        <v>1078</v>
      </c>
      <c r="O141" s="31">
        <f>4285</f>
        <v>4285</v>
      </c>
      <c r="P141" s="32" t="s">
        <v>1220</v>
      </c>
      <c r="Q141" s="31">
        <f>4691</f>
        <v>4691</v>
      </c>
      <c r="R141" s="32" t="s">
        <v>661</v>
      </c>
      <c r="S141" s="33">
        <f>4525</f>
        <v>4525</v>
      </c>
      <c r="T141" s="30">
        <f>58120</f>
        <v>58120</v>
      </c>
      <c r="U141" s="30" t="str">
        <f>"－"</f>
        <v>－</v>
      </c>
      <c r="V141" s="30">
        <f>265320280</f>
        <v>265320280</v>
      </c>
      <c r="W141" s="30" t="str">
        <f>"－"</f>
        <v>－</v>
      </c>
      <c r="X141" s="34">
        <f>20</f>
        <v>20</v>
      </c>
    </row>
    <row r="142" spans="1:24">
      <c r="A142" s="25" t="s">
        <v>1219</v>
      </c>
      <c r="B142" s="25" t="s">
        <v>385</v>
      </c>
      <c r="C142" s="25" t="s">
        <v>386</v>
      </c>
      <c r="D142" s="25" t="s">
        <v>387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13340</f>
        <v>13340</v>
      </c>
      <c r="L142" s="32" t="s">
        <v>1204</v>
      </c>
      <c r="M142" s="31">
        <f>13795</f>
        <v>13795</v>
      </c>
      <c r="N142" s="32" t="s">
        <v>1205</v>
      </c>
      <c r="O142" s="31">
        <f>13025</f>
        <v>13025</v>
      </c>
      <c r="P142" s="32" t="s">
        <v>738</v>
      </c>
      <c r="Q142" s="31">
        <f>13500</f>
        <v>13500</v>
      </c>
      <c r="R142" s="32" t="s">
        <v>661</v>
      </c>
      <c r="S142" s="33">
        <f>13447.5</f>
        <v>13447.5</v>
      </c>
      <c r="T142" s="30">
        <f>5094</f>
        <v>5094</v>
      </c>
      <c r="U142" s="30" t="str">
        <f>"－"</f>
        <v>－</v>
      </c>
      <c r="V142" s="30">
        <f>68694290</f>
        <v>68694290</v>
      </c>
      <c r="W142" s="30" t="str">
        <f>"－"</f>
        <v>－</v>
      </c>
      <c r="X142" s="34">
        <f>20</f>
        <v>20</v>
      </c>
    </row>
    <row r="143" spans="1:24">
      <c r="A143" s="25" t="s">
        <v>1219</v>
      </c>
      <c r="B143" s="25" t="s">
        <v>388</v>
      </c>
      <c r="C143" s="25" t="s">
        <v>389</v>
      </c>
      <c r="D143" s="25" t="s">
        <v>390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</v>
      </c>
      <c r="K143" s="31">
        <f>13210</f>
        <v>13210</v>
      </c>
      <c r="L143" s="32" t="s">
        <v>1204</v>
      </c>
      <c r="M143" s="31">
        <f>13780</f>
        <v>13780</v>
      </c>
      <c r="N143" s="32" t="s">
        <v>1076</v>
      </c>
      <c r="O143" s="31">
        <f>12610</f>
        <v>12610</v>
      </c>
      <c r="P143" s="32" t="s">
        <v>1204</v>
      </c>
      <c r="Q143" s="31">
        <f>13470</f>
        <v>13470</v>
      </c>
      <c r="R143" s="32" t="s">
        <v>661</v>
      </c>
      <c r="S143" s="33">
        <f>13189.5</f>
        <v>13189.5</v>
      </c>
      <c r="T143" s="30">
        <f>9282</f>
        <v>9282</v>
      </c>
      <c r="U143" s="30" t="str">
        <f>"－"</f>
        <v>－</v>
      </c>
      <c r="V143" s="30">
        <f>122124305</f>
        <v>122124305</v>
      </c>
      <c r="W143" s="30" t="str">
        <f>"－"</f>
        <v>－</v>
      </c>
      <c r="X143" s="34">
        <f>20</f>
        <v>20</v>
      </c>
    </row>
    <row r="144" spans="1:24">
      <c r="A144" s="25" t="s">
        <v>1219</v>
      </c>
      <c r="B144" s="25" t="s">
        <v>391</v>
      </c>
      <c r="C144" s="25" t="s">
        <v>392</v>
      </c>
      <c r="D144" s="25" t="s">
        <v>393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24910</f>
        <v>24910</v>
      </c>
      <c r="L144" s="32" t="s">
        <v>1204</v>
      </c>
      <c r="M144" s="31">
        <f>27945</f>
        <v>27945</v>
      </c>
      <c r="N144" s="32" t="s">
        <v>1078</v>
      </c>
      <c r="O144" s="31">
        <f>24265</f>
        <v>24265</v>
      </c>
      <c r="P144" s="32" t="s">
        <v>1220</v>
      </c>
      <c r="Q144" s="31">
        <f>27150</f>
        <v>27150</v>
      </c>
      <c r="R144" s="32" t="s">
        <v>661</v>
      </c>
      <c r="S144" s="33">
        <f>26086.39</f>
        <v>26086.39</v>
      </c>
      <c r="T144" s="30">
        <f>675</f>
        <v>675</v>
      </c>
      <c r="U144" s="30" t="str">
        <f>"－"</f>
        <v>－</v>
      </c>
      <c r="V144" s="30">
        <f>17572815</f>
        <v>17572815</v>
      </c>
      <c r="W144" s="30" t="str">
        <f>"－"</f>
        <v>－</v>
      </c>
      <c r="X144" s="34">
        <f>18</f>
        <v>18</v>
      </c>
    </row>
    <row r="145" spans="1:24">
      <c r="A145" s="25" t="s">
        <v>1219</v>
      </c>
      <c r="B145" s="25" t="s">
        <v>394</v>
      </c>
      <c r="C145" s="25" t="s">
        <v>395</v>
      </c>
      <c r="D145" s="25" t="s">
        <v>396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10</v>
      </c>
      <c r="K145" s="31">
        <f>55290</f>
        <v>55290</v>
      </c>
      <c r="L145" s="32" t="s">
        <v>1204</v>
      </c>
      <c r="M145" s="31">
        <f>55910</f>
        <v>55910</v>
      </c>
      <c r="N145" s="32" t="s">
        <v>1208</v>
      </c>
      <c r="O145" s="31">
        <f>54090</f>
        <v>54090</v>
      </c>
      <c r="P145" s="32" t="s">
        <v>1220</v>
      </c>
      <c r="Q145" s="31">
        <f>55010</f>
        <v>55010</v>
      </c>
      <c r="R145" s="32" t="s">
        <v>661</v>
      </c>
      <c r="S145" s="33">
        <f>54834.44</f>
        <v>54834.44</v>
      </c>
      <c r="T145" s="30">
        <f>2110</f>
        <v>2110</v>
      </c>
      <c r="U145" s="30">
        <f>20</f>
        <v>20</v>
      </c>
      <c r="V145" s="30">
        <f>115843100</f>
        <v>115843100</v>
      </c>
      <c r="W145" s="30">
        <f>1093400</f>
        <v>1093400</v>
      </c>
      <c r="X145" s="34">
        <f>18</f>
        <v>18</v>
      </c>
    </row>
    <row r="146" spans="1:24">
      <c r="A146" s="25" t="s">
        <v>1219</v>
      </c>
      <c r="B146" s="25" t="s">
        <v>397</v>
      </c>
      <c r="C146" s="25" t="s">
        <v>946</v>
      </c>
      <c r="D146" s="25" t="s">
        <v>398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10</v>
      </c>
      <c r="K146" s="31">
        <f>317.6</f>
        <v>317.60000000000002</v>
      </c>
      <c r="L146" s="32" t="s">
        <v>1204</v>
      </c>
      <c r="M146" s="31">
        <f>347.9</f>
        <v>347.9</v>
      </c>
      <c r="N146" s="32" t="s">
        <v>1210</v>
      </c>
      <c r="O146" s="31">
        <f>309.2</f>
        <v>309.2</v>
      </c>
      <c r="P146" s="32" t="s">
        <v>1220</v>
      </c>
      <c r="Q146" s="31">
        <f>334.8</f>
        <v>334.8</v>
      </c>
      <c r="R146" s="32" t="s">
        <v>661</v>
      </c>
      <c r="S146" s="33">
        <f>326.95</f>
        <v>326.95</v>
      </c>
      <c r="T146" s="30">
        <f>38326980</f>
        <v>38326980</v>
      </c>
      <c r="U146" s="30">
        <f>124250</f>
        <v>124250</v>
      </c>
      <c r="V146" s="30">
        <f>12596119066</f>
        <v>12596119066</v>
      </c>
      <c r="W146" s="30">
        <f>40316242</f>
        <v>40316242</v>
      </c>
      <c r="X146" s="34">
        <f>20</f>
        <v>20</v>
      </c>
    </row>
    <row r="147" spans="1:24">
      <c r="A147" s="25" t="s">
        <v>1219</v>
      </c>
      <c r="B147" s="25" t="s">
        <v>399</v>
      </c>
      <c r="C147" s="25" t="s">
        <v>947</v>
      </c>
      <c r="D147" s="25" t="s">
        <v>400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54030</f>
        <v>54030</v>
      </c>
      <c r="L147" s="32" t="s">
        <v>1204</v>
      </c>
      <c r="M147" s="31">
        <f>54210</f>
        <v>54210</v>
      </c>
      <c r="N147" s="32" t="s">
        <v>1204</v>
      </c>
      <c r="O147" s="31">
        <f>49780</f>
        <v>49780</v>
      </c>
      <c r="P147" s="32" t="s">
        <v>1080</v>
      </c>
      <c r="Q147" s="31">
        <f>50640</f>
        <v>50640</v>
      </c>
      <c r="R147" s="32" t="s">
        <v>661</v>
      </c>
      <c r="S147" s="33">
        <f>51758.5</f>
        <v>51758.5</v>
      </c>
      <c r="T147" s="30">
        <f>2070</f>
        <v>2070</v>
      </c>
      <c r="U147" s="30" t="str">
        <f>"－"</f>
        <v>－</v>
      </c>
      <c r="V147" s="30">
        <f>107350700</f>
        <v>107350700</v>
      </c>
      <c r="W147" s="30" t="str">
        <f>"－"</f>
        <v>－</v>
      </c>
      <c r="X147" s="34">
        <f>20</f>
        <v>20</v>
      </c>
    </row>
    <row r="148" spans="1:24">
      <c r="A148" s="25" t="s">
        <v>1219</v>
      </c>
      <c r="B148" s="25" t="s">
        <v>401</v>
      </c>
      <c r="C148" s="25" t="s">
        <v>402</v>
      </c>
      <c r="D148" s="25" t="s">
        <v>948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10</v>
      </c>
      <c r="K148" s="31">
        <f>6102</f>
        <v>6102</v>
      </c>
      <c r="L148" s="32" t="s">
        <v>1204</v>
      </c>
      <c r="M148" s="31">
        <f>6115</f>
        <v>6115</v>
      </c>
      <c r="N148" s="32" t="s">
        <v>1204</v>
      </c>
      <c r="O148" s="31">
        <f>5623</f>
        <v>5623</v>
      </c>
      <c r="P148" s="32" t="s">
        <v>1220</v>
      </c>
      <c r="Q148" s="31">
        <f>5701</f>
        <v>5701</v>
      </c>
      <c r="R148" s="32" t="s">
        <v>661</v>
      </c>
      <c r="S148" s="33">
        <f>5862.15</f>
        <v>5862.15</v>
      </c>
      <c r="T148" s="30">
        <f>74660</f>
        <v>74660</v>
      </c>
      <c r="U148" s="30" t="str">
        <f>"－"</f>
        <v>－</v>
      </c>
      <c r="V148" s="30">
        <f>437493470</f>
        <v>437493470</v>
      </c>
      <c r="W148" s="30" t="str">
        <f>"－"</f>
        <v>－</v>
      </c>
      <c r="X148" s="34">
        <f>20</f>
        <v>20</v>
      </c>
    </row>
    <row r="149" spans="1:24">
      <c r="A149" s="25" t="s">
        <v>1219</v>
      </c>
      <c r="B149" s="25" t="s">
        <v>403</v>
      </c>
      <c r="C149" s="25" t="s">
        <v>949</v>
      </c>
      <c r="D149" s="25" t="s">
        <v>950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10</v>
      </c>
      <c r="K149" s="31">
        <f>2038.5</f>
        <v>2038.5</v>
      </c>
      <c r="L149" s="32" t="s">
        <v>1204</v>
      </c>
      <c r="M149" s="31">
        <f>2128</f>
        <v>2128</v>
      </c>
      <c r="N149" s="32" t="s">
        <v>1207</v>
      </c>
      <c r="O149" s="31">
        <f>1980</f>
        <v>1980</v>
      </c>
      <c r="P149" s="32" t="s">
        <v>1220</v>
      </c>
      <c r="Q149" s="31">
        <f>2047.5</f>
        <v>2047.5</v>
      </c>
      <c r="R149" s="32" t="s">
        <v>661</v>
      </c>
      <c r="S149" s="33">
        <f>2071.68</f>
        <v>2071.6799999999998</v>
      </c>
      <c r="T149" s="30">
        <f>139440</f>
        <v>139440</v>
      </c>
      <c r="U149" s="30">
        <f>19350</f>
        <v>19350</v>
      </c>
      <c r="V149" s="30">
        <f>288303290</f>
        <v>288303290</v>
      </c>
      <c r="W149" s="30">
        <f>39679110</f>
        <v>39679110</v>
      </c>
      <c r="X149" s="34">
        <f>20</f>
        <v>20</v>
      </c>
    </row>
    <row r="150" spans="1:24">
      <c r="A150" s="25" t="s">
        <v>1219</v>
      </c>
      <c r="B150" s="25" t="s">
        <v>404</v>
      </c>
      <c r="C150" s="25" t="s">
        <v>405</v>
      </c>
      <c r="D150" s="25" t="s">
        <v>406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10</v>
      </c>
      <c r="K150" s="31">
        <f>1733</f>
        <v>1733</v>
      </c>
      <c r="L150" s="32" t="s">
        <v>1204</v>
      </c>
      <c r="M150" s="31">
        <f>1845</f>
        <v>1845</v>
      </c>
      <c r="N150" s="32" t="s">
        <v>661</v>
      </c>
      <c r="O150" s="31">
        <f>1703.5</f>
        <v>1703.5</v>
      </c>
      <c r="P150" s="32" t="s">
        <v>1079</v>
      </c>
      <c r="Q150" s="31">
        <f>1845</f>
        <v>1845</v>
      </c>
      <c r="R150" s="32" t="s">
        <v>661</v>
      </c>
      <c r="S150" s="33">
        <f>1766.4</f>
        <v>1766.4</v>
      </c>
      <c r="T150" s="30">
        <f>1880</f>
        <v>1880</v>
      </c>
      <c r="U150" s="30" t="str">
        <f t="shared" ref="U150:U163" si="2">"－"</f>
        <v>－</v>
      </c>
      <c r="V150" s="30">
        <f>3303090</f>
        <v>3303090</v>
      </c>
      <c r="W150" s="30" t="str">
        <f t="shared" ref="W150:W163" si="3">"－"</f>
        <v>－</v>
      </c>
      <c r="X150" s="34">
        <f>15</f>
        <v>15</v>
      </c>
    </row>
    <row r="151" spans="1:24">
      <c r="A151" s="25" t="s">
        <v>1219</v>
      </c>
      <c r="B151" s="25" t="s">
        <v>407</v>
      </c>
      <c r="C151" s="25" t="s">
        <v>408</v>
      </c>
      <c r="D151" s="25" t="s">
        <v>409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10</v>
      </c>
      <c r="K151" s="31">
        <f>569</f>
        <v>569</v>
      </c>
      <c r="L151" s="32" t="s">
        <v>1204</v>
      </c>
      <c r="M151" s="31">
        <f>579.9</f>
        <v>579.9</v>
      </c>
      <c r="N151" s="32" t="s">
        <v>1207</v>
      </c>
      <c r="O151" s="31">
        <f>535</f>
        <v>535</v>
      </c>
      <c r="P151" s="32" t="s">
        <v>1211</v>
      </c>
      <c r="Q151" s="31">
        <f>565</f>
        <v>565</v>
      </c>
      <c r="R151" s="32" t="s">
        <v>661</v>
      </c>
      <c r="S151" s="33">
        <f>564.17</f>
        <v>564.16999999999996</v>
      </c>
      <c r="T151" s="30">
        <f>22780</f>
        <v>22780</v>
      </c>
      <c r="U151" s="30" t="str">
        <f t="shared" si="2"/>
        <v>－</v>
      </c>
      <c r="V151" s="30">
        <f>12788304</f>
        <v>12788304</v>
      </c>
      <c r="W151" s="30" t="str">
        <f t="shared" si="3"/>
        <v>－</v>
      </c>
      <c r="X151" s="34">
        <f>20</f>
        <v>20</v>
      </c>
    </row>
    <row r="152" spans="1:24">
      <c r="A152" s="25" t="s">
        <v>1219</v>
      </c>
      <c r="B152" s="25" t="s">
        <v>410</v>
      </c>
      <c r="C152" s="25" t="s">
        <v>411</v>
      </c>
      <c r="D152" s="25" t="s">
        <v>412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2298.5</f>
        <v>2298.5</v>
      </c>
      <c r="L152" s="32" t="s">
        <v>1208</v>
      </c>
      <c r="M152" s="31">
        <f>2506</f>
        <v>2506</v>
      </c>
      <c r="N152" s="32" t="s">
        <v>1078</v>
      </c>
      <c r="O152" s="31">
        <f>2298.5</f>
        <v>2298.5</v>
      </c>
      <c r="P152" s="32" t="s">
        <v>1208</v>
      </c>
      <c r="Q152" s="31">
        <f>2415.5</f>
        <v>2415.5</v>
      </c>
      <c r="R152" s="32" t="s">
        <v>661</v>
      </c>
      <c r="S152" s="33">
        <f>2405.76</f>
        <v>2405.7600000000002</v>
      </c>
      <c r="T152" s="30">
        <f>1630</f>
        <v>1630</v>
      </c>
      <c r="U152" s="30" t="str">
        <f t="shared" si="2"/>
        <v>－</v>
      </c>
      <c r="V152" s="30">
        <f>3896215</f>
        <v>3896215</v>
      </c>
      <c r="W152" s="30" t="str">
        <f t="shared" si="3"/>
        <v>－</v>
      </c>
      <c r="X152" s="34">
        <f>17</f>
        <v>17</v>
      </c>
    </row>
    <row r="153" spans="1:24">
      <c r="A153" s="25" t="s">
        <v>1219</v>
      </c>
      <c r="B153" s="25" t="s">
        <v>413</v>
      </c>
      <c r="C153" s="25" t="s">
        <v>414</v>
      </c>
      <c r="D153" s="25" t="s">
        <v>415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938</f>
        <v>938</v>
      </c>
      <c r="L153" s="32" t="s">
        <v>1204</v>
      </c>
      <c r="M153" s="31">
        <f>944.6</f>
        <v>944.6</v>
      </c>
      <c r="N153" s="32" t="s">
        <v>1205</v>
      </c>
      <c r="O153" s="31">
        <f>906.9</f>
        <v>906.9</v>
      </c>
      <c r="P153" s="32" t="s">
        <v>1079</v>
      </c>
      <c r="Q153" s="31">
        <f>922.9</f>
        <v>922.9</v>
      </c>
      <c r="R153" s="32" t="s">
        <v>661</v>
      </c>
      <c r="S153" s="33">
        <f>923.49</f>
        <v>923.49</v>
      </c>
      <c r="T153" s="30">
        <f>24150</f>
        <v>24150</v>
      </c>
      <c r="U153" s="30" t="str">
        <f t="shared" si="2"/>
        <v>－</v>
      </c>
      <c r="V153" s="30">
        <f>22379913</f>
        <v>22379913</v>
      </c>
      <c r="W153" s="30" t="str">
        <f t="shared" si="3"/>
        <v>－</v>
      </c>
      <c r="X153" s="34">
        <f>20</f>
        <v>20</v>
      </c>
    </row>
    <row r="154" spans="1:24">
      <c r="A154" s="25" t="s">
        <v>1219</v>
      </c>
      <c r="B154" s="25" t="s">
        <v>416</v>
      </c>
      <c r="C154" s="25" t="s">
        <v>417</v>
      </c>
      <c r="D154" s="25" t="s">
        <v>418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537.1</f>
        <v>537.1</v>
      </c>
      <c r="L154" s="32" t="s">
        <v>1204</v>
      </c>
      <c r="M154" s="31">
        <f>537.4</f>
        <v>537.4</v>
      </c>
      <c r="N154" s="32" t="s">
        <v>1207</v>
      </c>
      <c r="O154" s="31">
        <f>511.1</f>
        <v>511.1</v>
      </c>
      <c r="P154" s="32" t="s">
        <v>1208</v>
      </c>
      <c r="Q154" s="31">
        <f>514.7</f>
        <v>514.70000000000005</v>
      </c>
      <c r="R154" s="32" t="s">
        <v>661</v>
      </c>
      <c r="S154" s="33">
        <f>520.84</f>
        <v>520.84</v>
      </c>
      <c r="T154" s="30">
        <f>183860</f>
        <v>183860</v>
      </c>
      <c r="U154" s="30" t="str">
        <f t="shared" si="2"/>
        <v>－</v>
      </c>
      <c r="V154" s="30">
        <f>95870993</f>
        <v>95870993</v>
      </c>
      <c r="W154" s="30" t="str">
        <f t="shared" si="3"/>
        <v>－</v>
      </c>
      <c r="X154" s="34">
        <f>20</f>
        <v>20</v>
      </c>
    </row>
    <row r="155" spans="1:24">
      <c r="A155" s="25" t="s">
        <v>1219</v>
      </c>
      <c r="B155" s="25" t="s">
        <v>419</v>
      </c>
      <c r="C155" s="25" t="s">
        <v>420</v>
      </c>
      <c r="D155" s="25" t="s">
        <v>421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</v>
      </c>
      <c r="K155" s="31">
        <f>1442</f>
        <v>1442</v>
      </c>
      <c r="L155" s="32" t="s">
        <v>1204</v>
      </c>
      <c r="M155" s="31">
        <f>1741</f>
        <v>1741</v>
      </c>
      <c r="N155" s="32" t="s">
        <v>738</v>
      </c>
      <c r="O155" s="31">
        <f>1430</f>
        <v>1430</v>
      </c>
      <c r="P155" s="32" t="s">
        <v>1204</v>
      </c>
      <c r="Q155" s="31">
        <f>1564</f>
        <v>1564</v>
      </c>
      <c r="R155" s="32" t="s">
        <v>661</v>
      </c>
      <c r="S155" s="33">
        <f>1552.85</f>
        <v>1552.85</v>
      </c>
      <c r="T155" s="30">
        <f>690501</f>
        <v>690501</v>
      </c>
      <c r="U155" s="30" t="str">
        <f t="shared" si="2"/>
        <v>－</v>
      </c>
      <c r="V155" s="30">
        <f>1085074616</f>
        <v>1085074616</v>
      </c>
      <c r="W155" s="30" t="str">
        <f t="shared" si="3"/>
        <v>－</v>
      </c>
      <c r="X155" s="34">
        <f>20</f>
        <v>20</v>
      </c>
    </row>
    <row r="156" spans="1:24">
      <c r="A156" s="25" t="s">
        <v>1219</v>
      </c>
      <c r="B156" s="25" t="s">
        <v>422</v>
      </c>
      <c r="C156" s="25" t="s">
        <v>423</v>
      </c>
      <c r="D156" s="25" t="s">
        <v>424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1490</f>
        <v>1490</v>
      </c>
      <c r="L156" s="32" t="s">
        <v>1204</v>
      </c>
      <c r="M156" s="31">
        <f>1503</f>
        <v>1503</v>
      </c>
      <c r="N156" s="32" t="s">
        <v>1075</v>
      </c>
      <c r="O156" s="31">
        <f>1352</f>
        <v>1352</v>
      </c>
      <c r="P156" s="32" t="s">
        <v>1220</v>
      </c>
      <c r="Q156" s="31">
        <f>1462</f>
        <v>1462</v>
      </c>
      <c r="R156" s="32" t="s">
        <v>661</v>
      </c>
      <c r="S156" s="33">
        <f>1434.45</f>
        <v>1434.45</v>
      </c>
      <c r="T156" s="30">
        <f>26790</f>
        <v>26790</v>
      </c>
      <c r="U156" s="30" t="str">
        <f t="shared" si="2"/>
        <v>－</v>
      </c>
      <c r="V156" s="30">
        <f>38470215</f>
        <v>38470215</v>
      </c>
      <c r="W156" s="30" t="str">
        <f t="shared" si="3"/>
        <v>－</v>
      </c>
      <c r="X156" s="34">
        <f>20</f>
        <v>20</v>
      </c>
    </row>
    <row r="157" spans="1:24">
      <c r="A157" s="25" t="s">
        <v>1219</v>
      </c>
      <c r="B157" s="25" t="s">
        <v>425</v>
      </c>
      <c r="C157" s="25" t="s">
        <v>426</v>
      </c>
      <c r="D157" s="25" t="s">
        <v>427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7921</f>
        <v>7921</v>
      </c>
      <c r="L157" s="32" t="s">
        <v>1204</v>
      </c>
      <c r="M157" s="31">
        <f>8150</f>
        <v>8150</v>
      </c>
      <c r="N157" s="32" t="s">
        <v>1204</v>
      </c>
      <c r="O157" s="31">
        <f>7300</f>
        <v>7300</v>
      </c>
      <c r="P157" s="32" t="s">
        <v>1220</v>
      </c>
      <c r="Q157" s="31">
        <f>7857</f>
        <v>7857</v>
      </c>
      <c r="R157" s="32" t="s">
        <v>661</v>
      </c>
      <c r="S157" s="33">
        <f>7712.7</f>
        <v>7712.7</v>
      </c>
      <c r="T157" s="30">
        <f>4581</f>
        <v>4581</v>
      </c>
      <c r="U157" s="30" t="str">
        <f t="shared" si="2"/>
        <v>－</v>
      </c>
      <c r="V157" s="30">
        <f>35289374</f>
        <v>35289374</v>
      </c>
      <c r="W157" s="30" t="str">
        <f t="shared" si="3"/>
        <v>－</v>
      </c>
      <c r="X157" s="34">
        <f>20</f>
        <v>20</v>
      </c>
    </row>
    <row r="158" spans="1:24">
      <c r="A158" s="25" t="s">
        <v>1219</v>
      </c>
      <c r="B158" s="25" t="s">
        <v>428</v>
      </c>
      <c r="C158" s="25" t="s">
        <v>429</v>
      </c>
      <c r="D158" s="25" t="s">
        <v>430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100</v>
      </c>
      <c r="K158" s="31">
        <f>494.2</f>
        <v>494.2</v>
      </c>
      <c r="L158" s="32" t="s">
        <v>1204</v>
      </c>
      <c r="M158" s="31">
        <f>530</f>
        <v>530</v>
      </c>
      <c r="N158" s="32" t="s">
        <v>1085</v>
      </c>
      <c r="O158" s="31">
        <f>491</f>
        <v>491</v>
      </c>
      <c r="P158" s="32" t="s">
        <v>661</v>
      </c>
      <c r="Q158" s="31">
        <f>491</f>
        <v>491</v>
      </c>
      <c r="R158" s="32" t="s">
        <v>661</v>
      </c>
      <c r="S158" s="33">
        <f>513.33</f>
        <v>513.33000000000004</v>
      </c>
      <c r="T158" s="30">
        <f>22000</f>
        <v>22000</v>
      </c>
      <c r="U158" s="30" t="str">
        <f t="shared" si="2"/>
        <v>－</v>
      </c>
      <c r="V158" s="30">
        <f>11259820</f>
        <v>11259820</v>
      </c>
      <c r="W158" s="30" t="str">
        <f t="shared" si="3"/>
        <v>－</v>
      </c>
      <c r="X158" s="34">
        <f>19</f>
        <v>19</v>
      </c>
    </row>
    <row r="159" spans="1:24">
      <c r="A159" s="25" t="s">
        <v>1219</v>
      </c>
      <c r="B159" s="25" t="s">
        <v>431</v>
      </c>
      <c r="C159" s="25" t="s">
        <v>432</v>
      </c>
      <c r="D159" s="25" t="s">
        <v>433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10</v>
      </c>
      <c r="K159" s="31">
        <f>6193</f>
        <v>6193</v>
      </c>
      <c r="L159" s="32" t="s">
        <v>1204</v>
      </c>
      <c r="M159" s="31">
        <f>7295</f>
        <v>7295</v>
      </c>
      <c r="N159" s="32" t="s">
        <v>1212</v>
      </c>
      <c r="O159" s="31">
        <f>6073</f>
        <v>6073</v>
      </c>
      <c r="P159" s="32" t="s">
        <v>1220</v>
      </c>
      <c r="Q159" s="31">
        <f>6831</f>
        <v>6831</v>
      </c>
      <c r="R159" s="32" t="s">
        <v>661</v>
      </c>
      <c r="S159" s="33">
        <f>6560.6</f>
        <v>6560.6</v>
      </c>
      <c r="T159" s="30">
        <f>99700</f>
        <v>99700</v>
      </c>
      <c r="U159" s="30" t="str">
        <f t="shared" si="2"/>
        <v>－</v>
      </c>
      <c r="V159" s="30">
        <f>677820340</f>
        <v>677820340</v>
      </c>
      <c r="W159" s="30" t="str">
        <f t="shared" si="3"/>
        <v>－</v>
      </c>
      <c r="X159" s="34">
        <f>20</f>
        <v>20</v>
      </c>
    </row>
    <row r="160" spans="1:24">
      <c r="A160" s="25" t="s">
        <v>1219</v>
      </c>
      <c r="B160" s="25" t="s">
        <v>434</v>
      </c>
      <c r="C160" s="25" t="s">
        <v>435</v>
      </c>
      <c r="D160" s="25" t="s">
        <v>436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</v>
      </c>
      <c r="K160" s="31">
        <f>2074.5</f>
        <v>2074.5</v>
      </c>
      <c r="L160" s="32" t="s">
        <v>1204</v>
      </c>
      <c r="M160" s="31">
        <f>2205.5</f>
        <v>2205.5</v>
      </c>
      <c r="N160" s="32" t="s">
        <v>661</v>
      </c>
      <c r="O160" s="31">
        <f>2074.5</f>
        <v>2074.5</v>
      </c>
      <c r="P160" s="32" t="s">
        <v>1204</v>
      </c>
      <c r="Q160" s="31">
        <f>2141.5</f>
        <v>2141.5</v>
      </c>
      <c r="R160" s="32" t="s">
        <v>661</v>
      </c>
      <c r="S160" s="33">
        <f>2158.1</f>
        <v>2158.1</v>
      </c>
      <c r="T160" s="30">
        <f>7110</f>
        <v>7110</v>
      </c>
      <c r="U160" s="30" t="str">
        <f t="shared" si="2"/>
        <v>－</v>
      </c>
      <c r="V160" s="30">
        <f>15267575</f>
        <v>15267575</v>
      </c>
      <c r="W160" s="30" t="str">
        <f t="shared" si="3"/>
        <v>－</v>
      </c>
      <c r="X160" s="34">
        <f>20</f>
        <v>20</v>
      </c>
    </row>
    <row r="161" spans="1:24">
      <c r="A161" s="25" t="s">
        <v>1219</v>
      </c>
      <c r="B161" s="25" t="s">
        <v>437</v>
      </c>
      <c r="C161" s="25" t="s">
        <v>438</v>
      </c>
      <c r="D161" s="25" t="s">
        <v>439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</v>
      </c>
      <c r="K161" s="31">
        <f>3130</f>
        <v>3130</v>
      </c>
      <c r="L161" s="32" t="s">
        <v>1204</v>
      </c>
      <c r="M161" s="31">
        <f>3170</f>
        <v>3170</v>
      </c>
      <c r="N161" s="32" t="s">
        <v>1205</v>
      </c>
      <c r="O161" s="31">
        <f>2920</f>
        <v>2920</v>
      </c>
      <c r="P161" s="32" t="s">
        <v>661</v>
      </c>
      <c r="Q161" s="31">
        <f>2926</f>
        <v>2926</v>
      </c>
      <c r="R161" s="32" t="s">
        <v>661</v>
      </c>
      <c r="S161" s="33">
        <f>3049.8</f>
        <v>3049.8</v>
      </c>
      <c r="T161" s="30">
        <f>322598</f>
        <v>322598</v>
      </c>
      <c r="U161" s="30" t="str">
        <f t="shared" si="2"/>
        <v>－</v>
      </c>
      <c r="V161" s="30">
        <f>974855592</f>
        <v>974855592</v>
      </c>
      <c r="W161" s="30" t="str">
        <f t="shared" si="3"/>
        <v>－</v>
      </c>
      <c r="X161" s="34">
        <f>20</f>
        <v>20</v>
      </c>
    </row>
    <row r="162" spans="1:24">
      <c r="A162" s="25" t="s">
        <v>1219</v>
      </c>
      <c r="B162" s="25" t="s">
        <v>440</v>
      </c>
      <c r="C162" s="25" t="s">
        <v>441</v>
      </c>
      <c r="D162" s="25" t="s">
        <v>442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</v>
      </c>
      <c r="K162" s="31">
        <f>3200</f>
        <v>3200</v>
      </c>
      <c r="L162" s="32" t="s">
        <v>1204</v>
      </c>
      <c r="M162" s="31">
        <f>3205</f>
        <v>3205</v>
      </c>
      <c r="N162" s="32" t="s">
        <v>1204</v>
      </c>
      <c r="O162" s="31">
        <f>3035</f>
        <v>3035</v>
      </c>
      <c r="P162" s="32" t="s">
        <v>1208</v>
      </c>
      <c r="Q162" s="31">
        <f>3060</f>
        <v>3060</v>
      </c>
      <c r="R162" s="32" t="s">
        <v>661</v>
      </c>
      <c r="S162" s="33">
        <f>3102</f>
        <v>3102</v>
      </c>
      <c r="T162" s="30">
        <f>15200</f>
        <v>15200</v>
      </c>
      <c r="U162" s="30" t="str">
        <f t="shared" si="2"/>
        <v>－</v>
      </c>
      <c r="V162" s="30">
        <f>47136555</f>
        <v>47136555</v>
      </c>
      <c r="W162" s="30" t="str">
        <f t="shared" si="3"/>
        <v>－</v>
      </c>
      <c r="X162" s="34">
        <f>20</f>
        <v>20</v>
      </c>
    </row>
    <row r="163" spans="1:24">
      <c r="A163" s="25" t="s">
        <v>1219</v>
      </c>
      <c r="B163" s="25" t="s">
        <v>443</v>
      </c>
      <c r="C163" s="25" t="s">
        <v>444</v>
      </c>
      <c r="D163" s="25" t="s">
        <v>445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10</v>
      </c>
      <c r="K163" s="31">
        <f>3743</f>
        <v>3743</v>
      </c>
      <c r="L163" s="32" t="s">
        <v>1204</v>
      </c>
      <c r="M163" s="31">
        <f>3778</f>
        <v>3778</v>
      </c>
      <c r="N163" s="32" t="s">
        <v>1204</v>
      </c>
      <c r="O163" s="31">
        <f>3600</f>
        <v>3600</v>
      </c>
      <c r="P163" s="32" t="s">
        <v>1211</v>
      </c>
      <c r="Q163" s="31">
        <f>3689</f>
        <v>3689</v>
      </c>
      <c r="R163" s="32" t="s">
        <v>661</v>
      </c>
      <c r="S163" s="33">
        <f>3664.6</f>
        <v>3664.6</v>
      </c>
      <c r="T163" s="30">
        <f>10390</f>
        <v>10390</v>
      </c>
      <c r="U163" s="30" t="str">
        <f t="shared" si="2"/>
        <v>－</v>
      </c>
      <c r="V163" s="30">
        <f>38148620</f>
        <v>38148620</v>
      </c>
      <c r="W163" s="30" t="str">
        <f t="shared" si="3"/>
        <v>－</v>
      </c>
      <c r="X163" s="34">
        <f>20</f>
        <v>20</v>
      </c>
    </row>
    <row r="164" spans="1:24">
      <c r="A164" s="25" t="s">
        <v>1219</v>
      </c>
      <c r="B164" s="25" t="s">
        <v>446</v>
      </c>
      <c r="C164" s="25" t="s">
        <v>447</v>
      </c>
      <c r="D164" s="25" t="s">
        <v>951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10</v>
      </c>
      <c r="K164" s="31">
        <f>3025</f>
        <v>3025</v>
      </c>
      <c r="L164" s="32" t="s">
        <v>1204</v>
      </c>
      <c r="M164" s="31">
        <f>3162</f>
        <v>3162</v>
      </c>
      <c r="N164" s="32" t="s">
        <v>1078</v>
      </c>
      <c r="O164" s="31">
        <f>2945</f>
        <v>2945</v>
      </c>
      <c r="P164" s="32" t="s">
        <v>1220</v>
      </c>
      <c r="Q164" s="31">
        <f>3110</f>
        <v>3110</v>
      </c>
      <c r="R164" s="32" t="s">
        <v>661</v>
      </c>
      <c r="S164" s="33">
        <f>3076.05</f>
        <v>3076.05</v>
      </c>
      <c r="T164" s="30">
        <f>388210</f>
        <v>388210</v>
      </c>
      <c r="U164" s="30">
        <f>11290</f>
        <v>11290</v>
      </c>
      <c r="V164" s="30">
        <f>1185516781</f>
        <v>1185516781</v>
      </c>
      <c r="W164" s="30">
        <f>35324841</f>
        <v>35324841</v>
      </c>
      <c r="X164" s="34">
        <f>20</f>
        <v>20</v>
      </c>
    </row>
    <row r="165" spans="1:24">
      <c r="A165" s="25" t="s">
        <v>1219</v>
      </c>
      <c r="B165" s="25" t="s">
        <v>448</v>
      </c>
      <c r="C165" s="25" t="s">
        <v>952</v>
      </c>
      <c r="D165" s="25" t="s">
        <v>953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410.1</f>
        <v>410.1</v>
      </c>
      <c r="L165" s="32" t="s">
        <v>1204</v>
      </c>
      <c r="M165" s="31">
        <f>413.5</f>
        <v>413.5</v>
      </c>
      <c r="N165" s="32" t="s">
        <v>1078</v>
      </c>
      <c r="O165" s="31">
        <f>373.1</f>
        <v>373.1</v>
      </c>
      <c r="P165" s="32" t="s">
        <v>1220</v>
      </c>
      <c r="Q165" s="31">
        <f>403.4</f>
        <v>403.4</v>
      </c>
      <c r="R165" s="32" t="s">
        <v>661</v>
      </c>
      <c r="S165" s="33">
        <f>395.19</f>
        <v>395.19</v>
      </c>
      <c r="T165" s="30">
        <f>8912560</f>
        <v>8912560</v>
      </c>
      <c r="U165" s="30">
        <f>85480</f>
        <v>85480</v>
      </c>
      <c r="V165" s="30">
        <f>3509363855</f>
        <v>3509363855</v>
      </c>
      <c r="W165" s="30">
        <f>32510475</f>
        <v>32510475</v>
      </c>
      <c r="X165" s="34">
        <f>20</f>
        <v>20</v>
      </c>
    </row>
    <row r="166" spans="1:24">
      <c r="A166" s="25" t="s">
        <v>1219</v>
      </c>
      <c r="B166" s="25" t="s">
        <v>1088</v>
      </c>
      <c r="C166" s="25" t="s">
        <v>1087</v>
      </c>
      <c r="D166" s="25" t="s">
        <v>1086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1999</f>
        <v>1999</v>
      </c>
      <c r="L166" s="32" t="s">
        <v>1204</v>
      </c>
      <c r="M166" s="31">
        <f>2074</f>
        <v>2074</v>
      </c>
      <c r="N166" s="32" t="s">
        <v>663</v>
      </c>
      <c r="O166" s="31">
        <f>1915</f>
        <v>1915</v>
      </c>
      <c r="P166" s="32" t="s">
        <v>1220</v>
      </c>
      <c r="Q166" s="31">
        <f>1973</f>
        <v>1973</v>
      </c>
      <c r="R166" s="32" t="s">
        <v>661</v>
      </c>
      <c r="S166" s="33">
        <f>2006.4</f>
        <v>2006.4</v>
      </c>
      <c r="T166" s="30">
        <f>14196</f>
        <v>14196</v>
      </c>
      <c r="U166" s="30" t="str">
        <f>"－"</f>
        <v>－</v>
      </c>
      <c r="V166" s="30">
        <f>28217679</f>
        <v>28217679</v>
      </c>
      <c r="W166" s="30" t="str">
        <f>"－"</f>
        <v>－</v>
      </c>
      <c r="X166" s="34">
        <f>20</f>
        <v>20</v>
      </c>
    </row>
    <row r="167" spans="1:24">
      <c r="A167" s="25" t="s">
        <v>1219</v>
      </c>
      <c r="B167" s="25" t="s">
        <v>1098</v>
      </c>
      <c r="C167" s="25" t="s">
        <v>1099</v>
      </c>
      <c r="D167" s="25" t="s">
        <v>1100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</v>
      </c>
      <c r="K167" s="31">
        <f>1159</f>
        <v>1159</v>
      </c>
      <c r="L167" s="32" t="s">
        <v>1204</v>
      </c>
      <c r="M167" s="31">
        <f>1160</f>
        <v>1160</v>
      </c>
      <c r="N167" s="32" t="s">
        <v>1204</v>
      </c>
      <c r="O167" s="31">
        <f>1020</f>
        <v>1020</v>
      </c>
      <c r="P167" s="32" t="s">
        <v>661</v>
      </c>
      <c r="Q167" s="31">
        <f>1023</f>
        <v>1023</v>
      </c>
      <c r="R167" s="32" t="s">
        <v>661</v>
      </c>
      <c r="S167" s="33">
        <f>1090.25</f>
        <v>1090.25</v>
      </c>
      <c r="T167" s="30">
        <f>1540473</f>
        <v>1540473</v>
      </c>
      <c r="U167" s="30">
        <f>80</f>
        <v>80</v>
      </c>
      <c r="V167" s="30">
        <f>1663643354</f>
        <v>1663643354</v>
      </c>
      <c r="W167" s="30">
        <f>81760</f>
        <v>81760</v>
      </c>
      <c r="X167" s="34">
        <f>20</f>
        <v>20</v>
      </c>
    </row>
    <row r="168" spans="1:24">
      <c r="A168" s="25" t="s">
        <v>1219</v>
      </c>
      <c r="B168" s="25" t="s">
        <v>1101</v>
      </c>
      <c r="C168" s="25" t="s">
        <v>1102</v>
      </c>
      <c r="D168" s="25" t="s">
        <v>1103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10</v>
      </c>
      <c r="K168" s="31">
        <f>285.7</f>
        <v>285.7</v>
      </c>
      <c r="L168" s="32" t="s">
        <v>1204</v>
      </c>
      <c r="M168" s="31">
        <f>289.2</f>
        <v>289.2</v>
      </c>
      <c r="N168" s="32" t="s">
        <v>1208</v>
      </c>
      <c r="O168" s="31">
        <f>275</f>
        <v>275</v>
      </c>
      <c r="P168" s="32" t="s">
        <v>1078</v>
      </c>
      <c r="Q168" s="31">
        <f>282</f>
        <v>282</v>
      </c>
      <c r="R168" s="32" t="s">
        <v>661</v>
      </c>
      <c r="S168" s="33">
        <f>281.53</f>
        <v>281.52999999999997</v>
      </c>
      <c r="T168" s="30">
        <f>4169790</f>
        <v>4169790</v>
      </c>
      <c r="U168" s="30" t="str">
        <f>"－"</f>
        <v>－</v>
      </c>
      <c r="V168" s="30">
        <f>1181336492</f>
        <v>1181336492</v>
      </c>
      <c r="W168" s="30" t="str">
        <f>"－"</f>
        <v>－</v>
      </c>
      <c r="X168" s="34">
        <f>20</f>
        <v>20</v>
      </c>
    </row>
    <row r="169" spans="1:24">
      <c r="A169" s="25" t="s">
        <v>1219</v>
      </c>
      <c r="B169" s="25" t="s">
        <v>1104</v>
      </c>
      <c r="C169" s="25" t="s">
        <v>1105</v>
      </c>
      <c r="D169" s="25" t="s">
        <v>1106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10</v>
      </c>
      <c r="K169" s="31">
        <f>297.2</f>
        <v>297.2</v>
      </c>
      <c r="L169" s="32" t="s">
        <v>1204</v>
      </c>
      <c r="M169" s="31">
        <f>299.6</f>
        <v>299.60000000000002</v>
      </c>
      <c r="N169" s="32" t="s">
        <v>1208</v>
      </c>
      <c r="O169" s="31">
        <f>287.2</f>
        <v>287.2</v>
      </c>
      <c r="P169" s="32" t="s">
        <v>1211</v>
      </c>
      <c r="Q169" s="31">
        <f>292.1</f>
        <v>292.10000000000002</v>
      </c>
      <c r="R169" s="32" t="s">
        <v>661</v>
      </c>
      <c r="S169" s="33">
        <f>292.25</f>
        <v>292.25</v>
      </c>
      <c r="T169" s="30">
        <f>393120</f>
        <v>393120</v>
      </c>
      <c r="U169" s="30">
        <f>72630</f>
        <v>72630</v>
      </c>
      <c r="V169" s="30">
        <f>114881358</f>
        <v>114881358</v>
      </c>
      <c r="W169" s="30">
        <f>21207960</f>
        <v>21207960</v>
      </c>
      <c r="X169" s="34">
        <f>20</f>
        <v>20</v>
      </c>
    </row>
    <row r="170" spans="1:24">
      <c r="A170" s="25" t="s">
        <v>1219</v>
      </c>
      <c r="B170" s="25" t="s">
        <v>1107</v>
      </c>
      <c r="C170" s="25" t="s">
        <v>1108</v>
      </c>
      <c r="D170" s="25" t="s">
        <v>1109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505.3</f>
        <v>505.3</v>
      </c>
      <c r="L170" s="32" t="s">
        <v>1204</v>
      </c>
      <c r="M170" s="31">
        <f>516.7</f>
        <v>516.70000000000005</v>
      </c>
      <c r="N170" s="32" t="s">
        <v>1208</v>
      </c>
      <c r="O170" s="31">
        <f>488.4</f>
        <v>488.4</v>
      </c>
      <c r="P170" s="32" t="s">
        <v>1220</v>
      </c>
      <c r="Q170" s="31">
        <f>495.7</f>
        <v>495.7</v>
      </c>
      <c r="R170" s="32" t="s">
        <v>661</v>
      </c>
      <c r="S170" s="33">
        <f>495.27</f>
        <v>495.27</v>
      </c>
      <c r="T170" s="30">
        <f>7310</f>
        <v>7310</v>
      </c>
      <c r="U170" s="30" t="str">
        <f>"－"</f>
        <v>－</v>
      </c>
      <c r="V170" s="30">
        <f>3636360</f>
        <v>3636360</v>
      </c>
      <c r="W170" s="30" t="str">
        <f>"－"</f>
        <v>－</v>
      </c>
      <c r="X170" s="34">
        <f>20</f>
        <v>20</v>
      </c>
    </row>
    <row r="171" spans="1:24">
      <c r="A171" s="25" t="s">
        <v>1219</v>
      </c>
      <c r="B171" s="25" t="s">
        <v>1110</v>
      </c>
      <c r="C171" s="25" t="s">
        <v>1111</v>
      </c>
      <c r="D171" s="25" t="s">
        <v>1112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516.2</f>
        <v>516.20000000000005</v>
      </c>
      <c r="L171" s="32" t="s">
        <v>1204</v>
      </c>
      <c r="M171" s="31">
        <f>518</f>
        <v>518</v>
      </c>
      <c r="N171" s="32" t="s">
        <v>1204</v>
      </c>
      <c r="O171" s="31">
        <f>482.1</f>
        <v>482.1</v>
      </c>
      <c r="P171" s="32" t="s">
        <v>1208</v>
      </c>
      <c r="Q171" s="31">
        <f>503.8</f>
        <v>503.8</v>
      </c>
      <c r="R171" s="32" t="s">
        <v>661</v>
      </c>
      <c r="S171" s="33">
        <f>498.74</f>
        <v>498.74</v>
      </c>
      <c r="T171" s="30">
        <f>77650</f>
        <v>77650</v>
      </c>
      <c r="U171" s="30" t="str">
        <f>"－"</f>
        <v>－</v>
      </c>
      <c r="V171" s="30">
        <f>38848077</f>
        <v>38848077</v>
      </c>
      <c r="W171" s="30" t="str">
        <f>"－"</f>
        <v>－</v>
      </c>
      <c r="X171" s="34">
        <f>19</f>
        <v>19</v>
      </c>
    </row>
    <row r="172" spans="1:24">
      <c r="A172" s="25" t="s">
        <v>1219</v>
      </c>
      <c r="B172" s="25" t="s">
        <v>1113</v>
      </c>
      <c r="C172" s="25" t="s">
        <v>1114</v>
      </c>
      <c r="D172" s="25" t="s">
        <v>1115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509.9</f>
        <v>509.9</v>
      </c>
      <c r="L172" s="32" t="s">
        <v>1204</v>
      </c>
      <c r="M172" s="31">
        <f>509.9</f>
        <v>509.9</v>
      </c>
      <c r="N172" s="32" t="s">
        <v>1204</v>
      </c>
      <c r="O172" s="31">
        <f>484.3</f>
        <v>484.3</v>
      </c>
      <c r="P172" s="32" t="s">
        <v>1078</v>
      </c>
      <c r="Q172" s="31">
        <f>494.4</f>
        <v>494.4</v>
      </c>
      <c r="R172" s="32" t="s">
        <v>661</v>
      </c>
      <c r="S172" s="33">
        <f>496.61</f>
        <v>496.61</v>
      </c>
      <c r="T172" s="30">
        <f>43370</f>
        <v>43370</v>
      </c>
      <c r="U172" s="30" t="str">
        <f>"－"</f>
        <v>－</v>
      </c>
      <c r="V172" s="30">
        <f>21425563</f>
        <v>21425563</v>
      </c>
      <c r="W172" s="30" t="str">
        <f>"－"</f>
        <v>－</v>
      </c>
      <c r="X172" s="34">
        <f>20</f>
        <v>20</v>
      </c>
    </row>
    <row r="173" spans="1:24">
      <c r="A173" s="25" t="s">
        <v>1219</v>
      </c>
      <c r="B173" s="25" t="s">
        <v>1116</v>
      </c>
      <c r="C173" s="25" t="s">
        <v>1117</v>
      </c>
      <c r="D173" s="25" t="s">
        <v>1118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</v>
      </c>
      <c r="K173" s="31">
        <f>863</f>
        <v>863</v>
      </c>
      <c r="L173" s="32" t="s">
        <v>1204</v>
      </c>
      <c r="M173" s="31">
        <f>939</f>
        <v>939</v>
      </c>
      <c r="N173" s="32" t="s">
        <v>1210</v>
      </c>
      <c r="O173" s="31">
        <f>830</f>
        <v>830</v>
      </c>
      <c r="P173" s="32" t="s">
        <v>1208</v>
      </c>
      <c r="Q173" s="31">
        <f>905</f>
        <v>905</v>
      </c>
      <c r="R173" s="32" t="s">
        <v>661</v>
      </c>
      <c r="S173" s="33">
        <f>884.1</f>
        <v>884.1</v>
      </c>
      <c r="T173" s="30">
        <f>382950</f>
        <v>382950</v>
      </c>
      <c r="U173" s="30">
        <f>469</f>
        <v>469</v>
      </c>
      <c r="V173" s="30">
        <f>338750356</f>
        <v>338750356</v>
      </c>
      <c r="W173" s="30">
        <f>412580</f>
        <v>412580</v>
      </c>
      <c r="X173" s="34">
        <f>20</f>
        <v>20</v>
      </c>
    </row>
    <row r="174" spans="1:24">
      <c r="A174" s="25" t="s">
        <v>1219</v>
      </c>
      <c r="B174" s="25" t="s">
        <v>1119</v>
      </c>
      <c r="C174" s="25" t="s">
        <v>1120</v>
      </c>
      <c r="D174" s="25" t="s">
        <v>1121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</v>
      </c>
      <c r="K174" s="31">
        <f>1598</f>
        <v>1598</v>
      </c>
      <c r="L174" s="32" t="s">
        <v>1204</v>
      </c>
      <c r="M174" s="31">
        <f>1600</f>
        <v>1600</v>
      </c>
      <c r="N174" s="32" t="s">
        <v>1205</v>
      </c>
      <c r="O174" s="31">
        <f>1402</f>
        <v>1402</v>
      </c>
      <c r="P174" s="32" t="s">
        <v>661</v>
      </c>
      <c r="Q174" s="31">
        <f>1406</f>
        <v>1406</v>
      </c>
      <c r="R174" s="32" t="s">
        <v>661</v>
      </c>
      <c r="S174" s="33">
        <f>1531.95</f>
        <v>1531.95</v>
      </c>
      <c r="T174" s="30">
        <f>2290900</f>
        <v>2290900</v>
      </c>
      <c r="U174" s="30">
        <f>270810</f>
        <v>270810</v>
      </c>
      <c r="V174" s="30">
        <f>3474140825</f>
        <v>3474140825</v>
      </c>
      <c r="W174" s="30">
        <f>414547538</f>
        <v>414547538</v>
      </c>
      <c r="X174" s="34">
        <f>20</f>
        <v>20</v>
      </c>
    </row>
    <row r="175" spans="1:24">
      <c r="A175" s="25" t="s">
        <v>1219</v>
      </c>
      <c r="B175" s="25" t="s">
        <v>1026</v>
      </c>
      <c r="C175" s="25" t="s">
        <v>1027</v>
      </c>
      <c r="D175" s="25" t="s">
        <v>1028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10</v>
      </c>
      <c r="K175" s="31">
        <f>589</f>
        <v>589</v>
      </c>
      <c r="L175" s="32" t="s">
        <v>1204</v>
      </c>
      <c r="M175" s="31">
        <f>615</f>
        <v>615</v>
      </c>
      <c r="N175" s="32" t="s">
        <v>1078</v>
      </c>
      <c r="O175" s="31">
        <f>568.8</f>
        <v>568.79999999999995</v>
      </c>
      <c r="P175" s="32" t="s">
        <v>1220</v>
      </c>
      <c r="Q175" s="31">
        <f>591.1</f>
        <v>591.1</v>
      </c>
      <c r="R175" s="32" t="s">
        <v>661</v>
      </c>
      <c r="S175" s="33">
        <f>592.46</f>
        <v>592.46</v>
      </c>
      <c r="T175" s="30">
        <f>1645700</f>
        <v>1645700</v>
      </c>
      <c r="U175" s="30" t="str">
        <f>"－"</f>
        <v>－</v>
      </c>
      <c r="V175" s="30">
        <f>969768504</f>
        <v>969768504</v>
      </c>
      <c r="W175" s="30" t="str">
        <f>"－"</f>
        <v>－</v>
      </c>
      <c r="X175" s="34">
        <f>20</f>
        <v>20</v>
      </c>
    </row>
    <row r="176" spans="1:24">
      <c r="A176" s="25" t="s">
        <v>1219</v>
      </c>
      <c r="B176" s="25" t="s">
        <v>1051</v>
      </c>
      <c r="C176" s="25" t="s">
        <v>1052</v>
      </c>
      <c r="D176" s="25" t="s">
        <v>1053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10</v>
      </c>
      <c r="K176" s="31">
        <f>217.3</f>
        <v>217.3</v>
      </c>
      <c r="L176" s="32" t="s">
        <v>1204</v>
      </c>
      <c r="M176" s="31">
        <f>218.2</f>
        <v>218.2</v>
      </c>
      <c r="N176" s="32" t="s">
        <v>1078</v>
      </c>
      <c r="O176" s="31">
        <f>210.7</f>
        <v>210.7</v>
      </c>
      <c r="P176" s="32" t="s">
        <v>738</v>
      </c>
      <c r="Q176" s="31">
        <f>214.6</f>
        <v>214.6</v>
      </c>
      <c r="R176" s="32" t="s">
        <v>661</v>
      </c>
      <c r="S176" s="33">
        <f>214.75</f>
        <v>214.75</v>
      </c>
      <c r="T176" s="30">
        <f>25427690</f>
        <v>25427690</v>
      </c>
      <c r="U176" s="30">
        <f>23000000</f>
        <v>23000000</v>
      </c>
      <c r="V176" s="30">
        <f>5477161293</f>
        <v>5477161293</v>
      </c>
      <c r="W176" s="30">
        <f>4956500000</f>
        <v>4956500000</v>
      </c>
      <c r="X176" s="34">
        <f>20</f>
        <v>20</v>
      </c>
    </row>
    <row r="177" spans="1:24">
      <c r="A177" s="25" t="s">
        <v>1219</v>
      </c>
      <c r="B177" s="25" t="s">
        <v>1054</v>
      </c>
      <c r="C177" s="25" t="s">
        <v>1055</v>
      </c>
      <c r="D177" s="25" t="s">
        <v>1056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244.3</f>
        <v>244.3</v>
      </c>
      <c r="L177" s="32" t="s">
        <v>1204</v>
      </c>
      <c r="M177" s="31">
        <f>244.3</f>
        <v>244.3</v>
      </c>
      <c r="N177" s="32" t="s">
        <v>1204</v>
      </c>
      <c r="O177" s="31">
        <f>232.3</f>
        <v>232.3</v>
      </c>
      <c r="P177" s="32" t="s">
        <v>1211</v>
      </c>
      <c r="Q177" s="31">
        <f>239.6</f>
        <v>239.6</v>
      </c>
      <c r="R177" s="32" t="s">
        <v>661</v>
      </c>
      <c r="S177" s="33">
        <f>238.8</f>
        <v>238.8</v>
      </c>
      <c r="T177" s="30">
        <f>11300260</f>
        <v>11300260</v>
      </c>
      <c r="U177" s="30">
        <f>200000</f>
        <v>200000</v>
      </c>
      <c r="V177" s="30">
        <f>2691013951</f>
        <v>2691013951</v>
      </c>
      <c r="W177" s="30">
        <f>46910000</f>
        <v>46910000</v>
      </c>
      <c r="X177" s="34">
        <f>20</f>
        <v>20</v>
      </c>
    </row>
    <row r="178" spans="1:24">
      <c r="A178" s="25" t="s">
        <v>1219</v>
      </c>
      <c r="B178" s="25" t="s">
        <v>1057</v>
      </c>
      <c r="C178" s="25" t="s">
        <v>1058</v>
      </c>
      <c r="D178" s="25" t="s">
        <v>1059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247</f>
        <v>247</v>
      </c>
      <c r="L178" s="32" t="s">
        <v>1204</v>
      </c>
      <c r="M178" s="31">
        <f>247.6</f>
        <v>247.6</v>
      </c>
      <c r="N178" s="32" t="s">
        <v>1204</v>
      </c>
      <c r="O178" s="31">
        <f>229.4</f>
        <v>229.4</v>
      </c>
      <c r="P178" s="32" t="s">
        <v>1080</v>
      </c>
      <c r="Q178" s="31">
        <f>232.5</f>
        <v>232.5</v>
      </c>
      <c r="R178" s="32" t="s">
        <v>661</v>
      </c>
      <c r="S178" s="33">
        <f>236.97</f>
        <v>236.97</v>
      </c>
      <c r="T178" s="30">
        <f>5431180</f>
        <v>5431180</v>
      </c>
      <c r="U178" s="30">
        <f>60</f>
        <v>60</v>
      </c>
      <c r="V178" s="30">
        <f>1286673349</f>
        <v>1286673349</v>
      </c>
      <c r="W178" s="30">
        <f>14168</f>
        <v>14168</v>
      </c>
      <c r="X178" s="34">
        <f>20</f>
        <v>20</v>
      </c>
    </row>
    <row r="179" spans="1:24">
      <c r="A179" s="25" t="s">
        <v>1219</v>
      </c>
      <c r="B179" s="25" t="s">
        <v>1060</v>
      </c>
      <c r="C179" s="25" t="s">
        <v>1061</v>
      </c>
      <c r="D179" s="25" t="s">
        <v>1062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</v>
      </c>
      <c r="K179" s="31">
        <f>2060</f>
        <v>2060</v>
      </c>
      <c r="L179" s="32" t="s">
        <v>1204</v>
      </c>
      <c r="M179" s="31">
        <f>2060</f>
        <v>2060</v>
      </c>
      <c r="N179" s="32" t="s">
        <v>1204</v>
      </c>
      <c r="O179" s="31">
        <f>1999</f>
        <v>1999</v>
      </c>
      <c r="P179" s="32" t="s">
        <v>738</v>
      </c>
      <c r="Q179" s="31">
        <f>2040</f>
        <v>2040</v>
      </c>
      <c r="R179" s="32" t="s">
        <v>661</v>
      </c>
      <c r="S179" s="33">
        <f>2031.9</f>
        <v>2031.9</v>
      </c>
      <c r="T179" s="30">
        <f>423550</f>
        <v>423550</v>
      </c>
      <c r="U179" s="30" t="str">
        <f>"－"</f>
        <v>－</v>
      </c>
      <c r="V179" s="30">
        <f>859767000</f>
        <v>859767000</v>
      </c>
      <c r="W179" s="30" t="str">
        <f>"－"</f>
        <v>－</v>
      </c>
      <c r="X179" s="34">
        <f>20</f>
        <v>20</v>
      </c>
    </row>
    <row r="180" spans="1:24">
      <c r="A180" s="25" t="s">
        <v>1219</v>
      </c>
      <c r="B180" s="25" t="s">
        <v>1063</v>
      </c>
      <c r="C180" s="25" t="s">
        <v>1064</v>
      </c>
      <c r="D180" s="25" t="s">
        <v>1065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</v>
      </c>
      <c r="K180" s="31">
        <f>1901</f>
        <v>1901</v>
      </c>
      <c r="L180" s="32" t="s">
        <v>1204</v>
      </c>
      <c r="M180" s="31">
        <f>1945</f>
        <v>1945</v>
      </c>
      <c r="N180" s="32" t="s">
        <v>1209</v>
      </c>
      <c r="O180" s="31">
        <f>1876</f>
        <v>1876</v>
      </c>
      <c r="P180" s="32" t="s">
        <v>1078</v>
      </c>
      <c r="Q180" s="31">
        <f>1898</f>
        <v>1898</v>
      </c>
      <c r="R180" s="32" t="s">
        <v>661</v>
      </c>
      <c r="S180" s="33">
        <f>1889.35</f>
        <v>1889.35</v>
      </c>
      <c r="T180" s="30">
        <f>122036</f>
        <v>122036</v>
      </c>
      <c r="U180" s="30">
        <f>1</f>
        <v>1</v>
      </c>
      <c r="V180" s="30">
        <f>231438235</f>
        <v>231438235</v>
      </c>
      <c r="W180" s="30">
        <f>1905</f>
        <v>1905</v>
      </c>
      <c r="X180" s="34">
        <f>20</f>
        <v>20</v>
      </c>
    </row>
    <row r="181" spans="1:24">
      <c r="A181" s="25" t="s">
        <v>1219</v>
      </c>
      <c r="B181" s="25" t="s">
        <v>1066</v>
      </c>
      <c r="C181" s="25" t="s">
        <v>1067</v>
      </c>
      <c r="D181" s="25" t="s">
        <v>1068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1048</f>
        <v>1048</v>
      </c>
      <c r="L181" s="32" t="s">
        <v>1204</v>
      </c>
      <c r="M181" s="31">
        <f>1083</f>
        <v>1083</v>
      </c>
      <c r="N181" s="32" t="s">
        <v>1212</v>
      </c>
      <c r="O181" s="31">
        <f>1010</f>
        <v>1010</v>
      </c>
      <c r="P181" s="32" t="s">
        <v>1220</v>
      </c>
      <c r="Q181" s="31">
        <f>1030</f>
        <v>1030</v>
      </c>
      <c r="R181" s="32" t="s">
        <v>661</v>
      </c>
      <c r="S181" s="33">
        <f>1056.25</f>
        <v>1056.25</v>
      </c>
      <c r="T181" s="30">
        <f>1501844</f>
        <v>1501844</v>
      </c>
      <c r="U181" s="30">
        <f>344420</f>
        <v>344420</v>
      </c>
      <c r="V181" s="30">
        <f>1579436367</f>
        <v>1579436367</v>
      </c>
      <c r="W181" s="30">
        <f>364902829</f>
        <v>364902829</v>
      </c>
      <c r="X181" s="34">
        <f>20</f>
        <v>20</v>
      </c>
    </row>
    <row r="182" spans="1:24">
      <c r="A182" s="25" t="s">
        <v>1219</v>
      </c>
      <c r="B182" s="25" t="s">
        <v>1069</v>
      </c>
      <c r="C182" s="25" t="s">
        <v>1070</v>
      </c>
      <c r="D182" s="25" t="s">
        <v>1071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1152</f>
        <v>1152</v>
      </c>
      <c r="L182" s="32" t="s">
        <v>1204</v>
      </c>
      <c r="M182" s="31">
        <f>1161</f>
        <v>1161</v>
      </c>
      <c r="N182" s="32" t="s">
        <v>1208</v>
      </c>
      <c r="O182" s="31">
        <f>1067</f>
        <v>1067</v>
      </c>
      <c r="P182" s="32" t="s">
        <v>1080</v>
      </c>
      <c r="Q182" s="31">
        <f>1089</f>
        <v>1089</v>
      </c>
      <c r="R182" s="32" t="s">
        <v>661</v>
      </c>
      <c r="S182" s="33">
        <f>1105.45</f>
        <v>1105.45</v>
      </c>
      <c r="T182" s="30">
        <f>287334</f>
        <v>287334</v>
      </c>
      <c r="U182" s="30" t="str">
        <f>"－"</f>
        <v>－</v>
      </c>
      <c r="V182" s="30">
        <f>315083498</f>
        <v>315083498</v>
      </c>
      <c r="W182" s="30" t="str">
        <f>"－"</f>
        <v>－</v>
      </c>
      <c r="X182" s="34">
        <f>20</f>
        <v>20</v>
      </c>
    </row>
    <row r="183" spans="1:24">
      <c r="A183" s="25" t="s">
        <v>1219</v>
      </c>
      <c r="B183" s="25" t="s">
        <v>1072</v>
      </c>
      <c r="C183" s="25" t="s">
        <v>1073</v>
      </c>
      <c r="D183" s="25" t="s">
        <v>1074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1047</f>
        <v>1047</v>
      </c>
      <c r="L183" s="32" t="s">
        <v>1204</v>
      </c>
      <c r="M183" s="31">
        <f>1047</f>
        <v>1047</v>
      </c>
      <c r="N183" s="32" t="s">
        <v>1204</v>
      </c>
      <c r="O183" s="31">
        <f>983</f>
        <v>983</v>
      </c>
      <c r="P183" s="32" t="s">
        <v>661</v>
      </c>
      <c r="Q183" s="31">
        <f>985</f>
        <v>985</v>
      </c>
      <c r="R183" s="32" t="s">
        <v>661</v>
      </c>
      <c r="S183" s="33">
        <f>1010.35</f>
        <v>1010.35</v>
      </c>
      <c r="T183" s="30">
        <f>243913</f>
        <v>243913</v>
      </c>
      <c r="U183" s="30" t="str">
        <f>"－"</f>
        <v>－</v>
      </c>
      <c r="V183" s="30">
        <f>244678978</f>
        <v>244678978</v>
      </c>
      <c r="W183" s="30" t="str">
        <f>"－"</f>
        <v>－</v>
      </c>
      <c r="X183" s="34">
        <f>20</f>
        <v>20</v>
      </c>
    </row>
    <row r="184" spans="1:24">
      <c r="A184" s="25" t="s">
        <v>1219</v>
      </c>
      <c r="B184" s="25" t="s">
        <v>1122</v>
      </c>
      <c r="C184" s="25" t="s">
        <v>1123</v>
      </c>
      <c r="D184" s="25" t="s">
        <v>1124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10</v>
      </c>
      <c r="K184" s="31">
        <f>174</f>
        <v>174</v>
      </c>
      <c r="L184" s="32" t="s">
        <v>1204</v>
      </c>
      <c r="M184" s="31">
        <f>190</f>
        <v>190</v>
      </c>
      <c r="N184" s="32" t="s">
        <v>1210</v>
      </c>
      <c r="O184" s="31">
        <f>169</f>
        <v>169</v>
      </c>
      <c r="P184" s="32" t="s">
        <v>1220</v>
      </c>
      <c r="Q184" s="31">
        <f>183.6</f>
        <v>183.6</v>
      </c>
      <c r="R184" s="32" t="s">
        <v>661</v>
      </c>
      <c r="S184" s="33">
        <f>178.22</f>
        <v>178.22</v>
      </c>
      <c r="T184" s="30">
        <f>4728090</f>
        <v>4728090</v>
      </c>
      <c r="U184" s="30">
        <f>1120</f>
        <v>1120</v>
      </c>
      <c r="V184" s="30">
        <f>849260596</f>
        <v>849260596</v>
      </c>
      <c r="W184" s="30">
        <f>197648</f>
        <v>197648</v>
      </c>
      <c r="X184" s="34">
        <f>20</f>
        <v>20</v>
      </c>
    </row>
    <row r="185" spans="1:24">
      <c r="A185" s="25" t="s">
        <v>1219</v>
      </c>
      <c r="B185" s="25" t="s">
        <v>449</v>
      </c>
      <c r="C185" s="25" t="s">
        <v>450</v>
      </c>
      <c r="D185" s="25" t="s">
        <v>451</v>
      </c>
      <c r="E185" s="26" t="s">
        <v>43</v>
      </c>
      <c r="F185" s="27" t="s">
        <v>43</v>
      </c>
      <c r="G185" s="28" t="s">
        <v>43</v>
      </c>
      <c r="H185" s="29"/>
      <c r="I185" s="29" t="s">
        <v>452</v>
      </c>
      <c r="J185" s="30">
        <v>1</v>
      </c>
      <c r="K185" s="31">
        <f>6950</f>
        <v>6950</v>
      </c>
      <c r="L185" s="32" t="s">
        <v>1204</v>
      </c>
      <c r="M185" s="31">
        <f>8150</f>
        <v>8150</v>
      </c>
      <c r="N185" s="32" t="s">
        <v>1207</v>
      </c>
      <c r="O185" s="31">
        <f>6655</f>
        <v>6655</v>
      </c>
      <c r="P185" s="32" t="s">
        <v>1208</v>
      </c>
      <c r="Q185" s="31">
        <f>6968</f>
        <v>6968</v>
      </c>
      <c r="R185" s="32" t="s">
        <v>661</v>
      </c>
      <c r="S185" s="33">
        <f>7383.95</f>
        <v>7383.95</v>
      </c>
      <c r="T185" s="30">
        <f>143761</f>
        <v>143761</v>
      </c>
      <c r="U185" s="30">
        <f>100</f>
        <v>100</v>
      </c>
      <c r="V185" s="30">
        <f>1068708025</f>
        <v>1068708025</v>
      </c>
      <c r="W185" s="30">
        <f>770700</f>
        <v>770700</v>
      </c>
      <c r="X185" s="34">
        <f>20</f>
        <v>20</v>
      </c>
    </row>
    <row r="186" spans="1:24">
      <c r="A186" s="25" t="s">
        <v>1219</v>
      </c>
      <c r="B186" s="25" t="s">
        <v>453</v>
      </c>
      <c r="C186" s="25" t="s">
        <v>454</v>
      </c>
      <c r="D186" s="25" t="s">
        <v>455</v>
      </c>
      <c r="E186" s="26" t="s">
        <v>43</v>
      </c>
      <c r="F186" s="27" t="s">
        <v>43</v>
      </c>
      <c r="G186" s="28" t="s">
        <v>43</v>
      </c>
      <c r="H186" s="29"/>
      <c r="I186" s="29" t="s">
        <v>452</v>
      </c>
      <c r="J186" s="30">
        <v>1</v>
      </c>
      <c r="K186" s="31">
        <f>6990</f>
        <v>6990</v>
      </c>
      <c r="L186" s="32" t="s">
        <v>1204</v>
      </c>
      <c r="M186" s="31">
        <f>7077</f>
        <v>7077</v>
      </c>
      <c r="N186" s="32" t="s">
        <v>1208</v>
      </c>
      <c r="O186" s="31">
        <f>6344</f>
        <v>6344</v>
      </c>
      <c r="P186" s="32" t="s">
        <v>1079</v>
      </c>
      <c r="Q186" s="31">
        <f>6800</f>
        <v>6800</v>
      </c>
      <c r="R186" s="32" t="s">
        <v>661</v>
      </c>
      <c r="S186" s="33">
        <f>6663.8</f>
        <v>6663.8</v>
      </c>
      <c r="T186" s="30">
        <f>16691</f>
        <v>16691</v>
      </c>
      <c r="U186" s="30" t="str">
        <f>"－"</f>
        <v>－</v>
      </c>
      <c r="V186" s="30">
        <f>110930378</f>
        <v>110930378</v>
      </c>
      <c r="W186" s="30" t="str">
        <f>"－"</f>
        <v>－</v>
      </c>
      <c r="X186" s="34">
        <f>20</f>
        <v>20</v>
      </c>
    </row>
    <row r="187" spans="1:24">
      <c r="A187" s="25" t="s">
        <v>1219</v>
      </c>
      <c r="B187" s="25" t="s">
        <v>456</v>
      </c>
      <c r="C187" s="25" t="s">
        <v>457</v>
      </c>
      <c r="D187" s="25" t="s">
        <v>458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10000</f>
        <v>10000</v>
      </c>
      <c r="L187" s="32" t="s">
        <v>1204</v>
      </c>
      <c r="M187" s="31">
        <f>11095</f>
        <v>11095</v>
      </c>
      <c r="N187" s="32" t="s">
        <v>1207</v>
      </c>
      <c r="O187" s="31">
        <f>9590</f>
        <v>9590</v>
      </c>
      <c r="P187" s="32" t="s">
        <v>1220</v>
      </c>
      <c r="Q187" s="31">
        <f>9641</f>
        <v>9641</v>
      </c>
      <c r="R187" s="32" t="s">
        <v>661</v>
      </c>
      <c r="S187" s="33">
        <f>10395.1</f>
        <v>10395.1</v>
      </c>
      <c r="T187" s="30">
        <f>2380</f>
        <v>2380</v>
      </c>
      <c r="U187" s="30" t="str">
        <f>"－"</f>
        <v>－</v>
      </c>
      <c r="V187" s="30">
        <f>24520908</f>
        <v>24520908</v>
      </c>
      <c r="W187" s="30" t="str">
        <f>"－"</f>
        <v>－</v>
      </c>
      <c r="X187" s="34">
        <f>20</f>
        <v>20</v>
      </c>
    </row>
    <row r="188" spans="1:24">
      <c r="A188" s="25" t="s">
        <v>1219</v>
      </c>
      <c r="B188" s="25" t="s">
        <v>459</v>
      </c>
      <c r="C188" s="25" t="s">
        <v>460</v>
      </c>
      <c r="D188" s="25" t="s">
        <v>461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7550</f>
        <v>7550</v>
      </c>
      <c r="L188" s="32" t="s">
        <v>1204</v>
      </c>
      <c r="M188" s="31">
        <f>7619</f>
        <v>7619</v>
      </c>
      <c r="N188" s="32" t="s">
        <v>1208</v>
      </c>
      <c r="O188" s="31">
        <f>7036</f>
        <v>7036</v>
      </c>
      <c r="P188" s="32" t="s">
        <v>1212</v>
      </c>
      <c r="Q188" s="31">
        <f>7372</f>
        <v>7372</v>
      </c>
      <c r="R188" s="32" t="s">
        <v>661</v>
      </c>
      <c r="S188" s="33">
        <f>7350.85</f>
        <v>7350.85</v>
      </c>
      <c r="T188" s="30">
        <f>4750</f>
        <v>4750</v>
      </c>
      <c r="U188" s="30" t="str">
        <f>"－"</f>
        <v>－</v>
      </c>
      <c r="V188" s="30">
        <f>34544138</f>
        <v>34544138</v>
      </c>
      <c r="W188" s="30" t="str">
        <f>"－"</f>
        <v>－</v>
      </c>
      <c r="X188" s="34">
        <f>20</f>
        <v>20</v>
      </c>
    </row>
    <row r="189" spans="1:24">
      <c r="A189" s="25" t="s">
        <v>1219</v>
      </c>
      <c r="B189" s="25" t="s">
        <v>462</v>
      </c>
      <c r="C189" s="25" t="s">
        <v>463</v>
      </c>
      <c r="D189" s="25" t="s">
        <v>464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77970</f>
        <v>77970</v>
      </c>
      <c r="L189" s="32" t="s">
        <v>1204</v>
      </c>
      <c r="M189" s="31">
        <f>89180</f>
        <v>89180</v>
      </c>
      <c r="N189" s="32" t="s">
        <v>661</v>
      </c>
      <c r="O189" s="31">
        <f>73700</f>
        <v>73700</v>
      </c>
      <c r="P189" s="32" t="s">
        <v>1220</v>
      </c>
      <c r="Q189" s="31">
        <f>88950</f>
        <v>88950</v>
      </c>
      <c r="R189" s="32" t="s">
        <v>661</v>
      </c>
      <c r="S189" s="33">
        <f>81520</f>
        <v>81520</v>
      </c>
      <c r="T189" s="30">
        <f>106032</f>
        <v>106032</v>
      </c>
      <c r="U189" s="30">
        <f>8</f>
        <v>8</v>
      </c>
      <c r="V189" s="30">
        <f>8705587550</f>
        <v>8705587550</v>
      </c>
      <c r="W189" s="30">
        <f>645080</f>
        <v>645080</v>
      </c>
      <c r="X189" s="34">
        <f>20</f>
        <v>20</v>
      </c>
    </row>
    <row r="190" spans="1:24">
      <c r="A190" s="25" t="s">
        <v>1219</v>
      </c>
      <c r="B190" s="25" t="s">
        <v>465</v>
      </c>
      <c r="C190" s="25" t="s">
        <v>466</v>
      </c>
      <c r="D190" s="25" t="s">
        <v>467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2310</f>
        <v>2310</v>
      </c>
      <c r="L190" s="32" t="s">
        <v>1204</v>
      </c>
      <c r="M190" s="31">
        <f>2388</f>
        <v>2388</v>
      </c>
      <c r="N190" s="32" t="s">
        <v>1220</v>
      </c>
      <c r="O190" s="31">
        <f>2161</f>
        <v>2161</v>
      </c>
      <c r="P190" s="32" t="s">
        <v>661</v>
      </c>
      <c r="Q190" s="31">
        <f>2181</f>
        <v>2181</v>
      </c>
      <c r="R190" s="32" t="s">
        <v>661</v>
      </c>
      <c r="S190" s="33">
        <f>2261.05</f>
        <v>2261.0500000000002</v>
      </c>
      <c r="T190" s="30">
        <f>25314</f>
        <v>25314</v>
      </c>
      <c r="U190" s="30" t="str">
        <f>"－"</f>
        <v>－</v>
      </c>
      <c r="V190" s="30">
        <f>57431828</f>
        <v>57431828</v>
      </c>
      <c r="W190" s="30" t="str">
        <f>"－"</f>
        <v>－</v>
      </c>
      <c r="X190" s="34">
        <f>20</f>
        <v>20</v>
      </c>
    </row>
    <row r="191" spans="1:24">
      <c r="A191" s="25" t="s">
        <v>1219</v>
      </c>
      <c r="B191" s="25" t="s">
        <v>468</v>
      </c>
      <c r="C191" s="25" t="s">
        <v>469</v>
      </c>
      <c r="D191" s="25" t="s">
        <v>470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1824</f>
        <v>1824</v>
      </c>
      <c r="L191" s="32" t="s">
        <v>1204</v>
      </c>
      <c r="M191" s="31">
        <f>1862</f>
        <v>1862</v>
      </c>
      <c r="N191" s="32" t="s">
        <v>1078</v>
      </c>
      <c r="O191" s="31">
        <f>1530</f>
        <v>1530</v>
      </c>
      <c r="P191" s="32" t="s">
        <v>1220</v>
      </c>
      <c r="Q191" s="31">
        <f>1768</f>
        <v>1768</v>
      </c>
      <c r="R191" s="32" t="s">
        <v>661</v>
      </c>
      <c r="S191" s="33">
        <f>1716.15</f>
        <v>1716.15</v>
      </c>
      <c r="T191" s="30">
        <f>4214102</f>
        <v>4214102</v>
      </c>
      <c r="U191" s="30">
        <f>64</f>
        <v>64</v>
      </c>
      <c r="V191" s="30">
        <f>7139322616</f>
        <v>7139322616</v>
      </c>
      <c r="W191" s="30">
        <f>107426</f>
        <v>107426</v>
      </c>
      <c r="X191" s="34">
        <f>20</f>
        <v>20</v>
      </c>
    </row>
    <row r="192" spans="1:24">
      <c r="A192" s="25" t="s">
        <v>1219</v>
      </c>
      <c r="B192" s="25" t="s">
        <v>471</v>
      </c>
      <c r="C192" s="25" t="s">
        <v>472</v>
      </c>
      <c r="D192" s="25" t="s">
        <v>473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933</f>
        <v>933</v>
      </c>
      <c r="L192" s="32" t="s">
        <v>1204</v>
      </c>
      <c r="M192" s="31">
        <f>1015</f>
        <v>1015</v>
      </c>
      <c r="N192" s="32" t="s">
        <v>1220</v>
      </c>
      <c r="O192" s="31">
        <f>927</f>
        <v>927</v>
      </c>
      <c r="P192" s="32" t="s">
        <v>1078</v>
      </c>
      <c r="Q192" s="31">
        <f>940</f>
        <v>940</v>
      </c>
      <c r="R192" s="32" t="s">
        <v>661</v>
      </c>
      <c r="S192" s="33">
        <f>964.15</f>
        <v>964.15</v>
      </c>
      <c r="T192" s="30">
        <f>1209333</f>
        <v>1209333</v>
      </c>
      <c r="U192" s="30">
        <f>102</f>
        <v>102</v>
      </c>
      <c r="V192" s="30">
        <f>1179960253</f>
        <v>1179960253</v>
      </c>
      <c r="W192" s="30">
        <f>98824</f>
        <v>98824</v>
      </c>
      <c r="X192" s="34">
        <f>20</f>
        <v>20</v>
      </c>
    </row>
    <row r="193" spans="1:24">
      <c r="A193" s="25" t="s">
        <v>1219</v>
      </c>
      <c r="B193" s="25" t="s">
        <v>474</v>
      </c>
      <c r="C193" s="25" t="s">
        <v>475</v>
      </c>
      <c r="D193" s="25" t="s">
        <v>476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31720</f>
        <v>31720</v>
      </c>
      <c r="L193" s="32" t="s">
        <v>1204</v>
      </c>
      <c r="M193" s="31">
        <f>31740</f>
        <v>31740</v>
      </c>
      <c r="N193" s="32" t="s">
        <v>1204</v>
      </c>
      <c r="O193" s="31">
        <f>27800</f>
        <v>27800</v>
      </c>
      <c r="P193" s="32" t="s">
        <v>1080</v>
      </c>
      <c r="Q193" s="31">
        <f>27925</f>
        <v>27925</v>
      </c>
      <c r="R193" s="32" t="s">
        <v>661</v>
      </c>
      <c r="S193" s="33">
        <f>29309.5</f>
        <v>29309.5</v>
      </c>
      <c r="T193" s="30">
        <f>38762</f>
        <v>38762</v>
      </c>
      <c r="U193" s="30">
        <f>2</f>
        <v>2</v>
      </c>
      <c r="V193" s="30">
        <f>1127880730</f>
        <v>1127880730</v>
      </c>
      <c r="W193" s="30">
        <f>59010</f>
        <v>59010</v>
      </c>
      <c r="X193" s="34">
        <f>20</f>
        <v>20</v>
      </c>
    </row>
    <row r="194" spans="1:24">
      <c r="A194" s="25" t="s">
        <v>1219</v>
      </c>
      <c r="B194" s="25" t="s">
        <v>477</v>
      </c>
      <c r="C194" s="25" t="s">
        <v>478</v>
      </c>
      <c r="D194" s="25" t="s">
        <v>479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2333</f>
        <v>2333</v>
      </c>
      <c r="L194" s="32" t="s">
        <v>1204</v>
      </c>
      <c r="M194" s="31">
        <f>2503</f>
        <v>2503</v>
      </c>
      <c r="N194" s="32" t="s">
        <v>1080</v>
      </c>
      <c r="O194" s="31">
        <f>2332</f>
        <v>2332</v>
      </c>
      <c r="P194" s="32" t="s">
        <v>1204</v>
      </c>
      <c r="Q194" s="31">
        <f>2496</f>
        <v>2496</v>
      </c>
      <c r="R194" s="32" t="s">
        <v>661</v>
      </c>
      <c r="S194" s="33">
        <f>2433.95</f>
        <v>2433.9499999999998</v>
      </c>
      <c r="T194" s="30">
        <f>272781</f>
        <v>272781</v>
      </c>
      <c r="U194" s="30">
        <f>1</f>
        <v>1</v>
      </c>
      <c r="V194" s="30">
        <f>663158573</f>
        <v>663158573</v>
      </c>
      <c r="W194" s="30">
        <f>2462</f>
        <v>2462</v>
      </c>
      <c r="X194" s="34">
        <f>20</f>
        <v>20</v>
      </c>
    </row>
    <row r="195" spans="1:24">
      <c r="A195" s="25" t="s">
        <v>1219</v>
      </c>
      <c r="B195" s="25" t="s">
        <v>480</v>
      </c>
      <c r="C195" s="25" t="s">
        <v>1029</v>
      </c>
      <c r="D195" s="25" t="s">
        <v>1030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6928</f>
        <v>6928</v>
      </c>
      <c r="L195" s="32" t="s">
        <v>1204</v>
      </c>
      <c r="M195" s="31">
        <f>7149</f>
        <v>7149</v>
      </c>
      <c r="N195" s="32" t="s">
        <v>1078</v>
      </c>
      <c r="O195" s="31">
        <f>6549</f>
        <v>6549</v>
      </c>
      <c r="P195" s="32" t="s">
        <v>1220</v>
      </c>
      <c r="Q195" s="31">
        <f>6833</f>
        <v>6833</v>
      </c>
      <c r="R195" s="32" t="s">
        <v>661</v>
      </c>
      <c r="S195" s="33">
        <f>6902.95</f>
        <v>6902.95</v>
      </c>
      <c r="T195" s="30">
        <f>18627</f>
        <v>18627</v>
      </c>
      <c r="U195" s="30">
        <f>1</f>
        <v>1</v>
      </c>
      <c r="V195" s="30">
        <f>126105293</f>
        <v>126105293</v>
      </c>
      <c r="W195" s="30">
        <f>7030</f>
        <v>7030</v>
      </c>
      <c r="X195" s="34">
        <f>20</f>
        <v>20</v>
      </c>
    </row>
    <row r="196" spans="1:24">
      <c r="A196" s="25" t="s">
        <v>1219</v>
      </c>
      <c r="B196" s="25" t="s">
        <v>481</v>
      </c>
      <c r="C196" s="25" t="s">
        <v>482</v>
      </c>
      <c r="D196" s="25" t="s">
        <v>483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19865</f>
        <v>19865</v>
      </c>
      <c r="L196" s="32" t="s">
        <v>1204</v>
      </c>
      <c r="M196" s="31">
        <f>21180</f>
        <v>21180</v>
      </c>
      <c r="N196" s="32" t="s">
        <v>1078</v>
      </c>
      <c r="O196" s="31">
        <f>19575</f>
        <v>19575</v>
      </c>
      <c r="P196" s="32" t="s">
        <v>662</v>
      </c>
      <c r="Q196" s="31">
        <f>20545</f>
        <v>20545</v>
      </c>
      <c r="R196" s="32" t="s">
        <v>661</v>
      </c>
      <c r="S196" s="33">
        <f>20178.61</f>
        <v>20178.61</v>
      </c>
      <c r="T196" s="30">
        <f>322</f>
        <v>322</v>
      </c>
      <c r="U196" s="30" t="str">
        <f>"－"</f>
        <v>－</v>
      </c>
      <c r="V196" s="30">
        <f>6520795</f>
        <v>6520795</v>
      </c>
      <c r="W196" s="30" t="str">
        <f>"－"</f>
        <v>－</v>
      </c>
      <c r="X196" s="34">
        <f>18</f>
        <v>18</v>
      </c>
    </row>
    <row r="197" spans="1:24">
      <c r="A197" s="25" t="s">
        <v>1219</v>
      </c>
      <c r="B197" s="25" t="s">
        <v>484</v>
      </c>
      <c r="C197" s="25" t="s">
        <v>485</v>
      </c>
      <c r="D197" s="25" t="s">
        <v>486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29670</f>
        <v>29670</v>
      </c>
      <c r="L197" s="32" t="s">
        <v>1204</v>
      </c>
      <c r="M197" s="31">
        <f>30020</f>
        <v>30020</v>
      </c>
      <c r="N197" s="32" t="s">
        <v>1204</v>
      </c>
      <c r="O197" s="31">
        <f>28275</f>
        <v>28275</v>
      </c>
      <c r="P197" s="32" t="s">
        <v>1080</v>
      </c>
      <c r="Q197" s="31">
        <f>28920</f>
        <v>28920</v>
      </c>
      <c r="R197" s="32" t="s">
        <v>661</v>
      </c>
      <c r="S197" s="33">
        <f>29240.5</f>
        <v>29240.5</v>
      </c>
      <c r="T197" s="30">
        <f>18103</f>
        <v>18103</v>
      </c>
      <c r="U197" s="30" t="str">
        <f>"－"</f>
        <v>－</v>
      </c>
      <c r="V197" s="30">
        <f>529897875</f>
        <v>529897875</v>
      </c>
      <c r="W197" s="30" t="str">
        <f>"－"</f>
        <v>－</v>
      </c>
      <c r="X197" s="34">
        <f>20</f>
        <v>20</v>
      </c>
    </row>
    <row r="198" spans="1:24">
      <c r="A198" s="25" t="s">
        <v>1219</v>
      </c>
      <c r="B198" s="25" t="s">
        <v>487</v>
      </c>
      <c r="C198" s="25" t="s">
        <v>488</v>
      </c>
      <c r="D198" s="25" t="s">
        <v>489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16145</f>
        <v>16145</v>
      </c>
      <c r="L198" s="32" t="s">
        <v>1204</v>
      </c>
      <c r="M198" s="31">
        <f>16620</f>
        <v>16620</v>
      </c>
      <c r="N198" s="32" t="s">
        <v>1078</v>
      </c>
      <c r="O198" s="31">
        <f>15580</f>
        <v>15580</v>
      </c>
      <c r="P198" s="32" t="s">
        <v>738</v>
      </c>
      <c r="Q198" s="31">
        <f>16590</f>
        <v>16590</v>
      </c>
      <c r="R198" s="32" t="s">
        <v>1078</v>
      </c>
      <c r="S198" s="33">
        <f>16228</f>
        <v>16228</v>
      </c>
      <c r="T198" s="30">
        <f>238</f>
        <v>238</v>
      </c>
      <c r="U198" s="30" t="str">
        <f>"－"</f>
        <v>－</v>
      </c>
      <c r="V198" s="30">
        <f>3885865</f>
        <v>3885865</v>
      </c>
      <c r="W198" s="30" t="str">
        <f>"－"</f>
        <v>－</v>
      </c>
      <c r="X198" s="34">
        <f>15</f>
        <v>15</v>
      </c>
    </row>
    <row r="199" spans="1:24">
      <c r="A199" s="25" t="s">
        <v>1219</v>
      </c>
      <c r="B199" s="25" t="s">
        <v>490</v>
      </c>
      <c r="C199" s="25" t="s">
        <v>491</v>
      </c>
      <c r="D199" s="25" t="s">
        <v>492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24930</f>
        <v>24930</v>
      </c>
      <c r="L199" s="32" t="s">
        <v>1204</v>
      </c>
      <c r="M199" s="31">
        <f>29640</f>
        <v>29640</v>
      </c>
      <c r="N199" s="32" t="s">
        <v>1210</v>
      </c>
      <c r="O199" s="31">
        <f>24220</f>
        <v>24220</v>
      </c>
      <c r="P199" s="32" t="s">
        <v>1208</v>
      </c>
      <c r="Q199" s="31">
        <f>27295</f>
        <v>27295</v>
      </c>
      <c r="R199" s="32" t="s">
        <v>661</v>
      </c>
      <c r="S199" s="33">
        <f>26564.25</f>
        <v>26564.25</v>
      </c>
      <c r="T199" s="30">
        <f>62707</f>
        <v>62707</v>
      </c>
      <c r="U199" s="30">
        <f>144</f>
        <v>144</v>
      </c>
      <c r="V199" s="30">
        <f>1690982125</f>
        <v>1690982125</v>
      </c>
      <c r="W199" s="30">
        <f>3562005</f>
        <v>3562005</v>
      </c>
      <c r="X199" s="34">
        <f>20</f>
        <v>20</v>
      </c>
    </row>
    <row r="200" spans="1:24">
      <c r="A200" s="25" t="s">
        <v>1219</v>
      </c>
      <c r="B200" s="25" t="s">
        <v>493</v>
      </c>
      <c r="C200" s="25" t="s">
        <v>494</v>
      </c>
      <c r="D200" s="25" t="s">
        <v>495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3735</f>
        <v>3735</v>
      </c>
      <c r="L200" s="32" t="s">
        <v>1204</v>
      </c>
      <c r="M200" s="31">
        <f>3815</f>
        <v>3815</v>
      </c>
      <c r="N200" s="32" t="s">
        <v>1209</v>
      </c>
      <c r="O200" s="31">
        <f>3590</f>
        <v>3590</v>
      </c>
      <c r="P200" s="32" t="s">
        <v>1075</v>
      </c>
      <c r="Q200" s="31">
        <f>3690</f>
        <v>3690</v>
      </c>
      <c r="R200" s="32" t="s">
        <v>661</v>
      </c>
      <c r="S200" s="33">
        <f>3677.37</f>
        <v>3677.37</v>
      </c>
      <c r="T200" s="30">
        <f>8453</f>
        <v>8453</v>
      </c>
      <c r="U200" s="30" t="str">
        <f t="shared" ref="U200:U208" si="4">"－"</f>
        <v>－</v>
      </c>
      <c r="V200" s="30">
        <f>30929575</f>
        <v>30929575</v>
      </c>
      <c r="W200" s="30" t="str">
        <f t="shared" ref="W200:W208" si="5">"－"</f>
        <v>－</v>
      </c>
      <c r="X200" s="34">
        <f>19</f>
        <v>19</v>
      </c>
    </row>
    <row r="201" spans="1:24">
      <c r="A201" s="25" t="s">
        <v>1219</v>
      </c>
      <c r="B201" s="25" t="s">
        <v>496</v>
      </c>
      <c r="C201" s="25" t="s">
        <v>497</v>
      </c>
      <c r="D201" s="25" t="s">
        <v>498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31770</f>
        <v>31770</v>
      </c>
      <c r="L201" s="32" t="s">
        <v>738</v>
      </c>
      <c r="M201" s="31">
        <f>33500</f>
        <v>33500</v>
      </c>
      <c r="N201" s="32" t="s">
        <v>1212</v>
      </c>
      <c r="O201" s="31">
        <f>30040</f>
        <v>30040</v>
      </c>
      <c r="P201" s="32" t="s">
        <v>1220</v>
      </c>
      <c r="Q201" s="31">
        <f>32330</f>
        <v>32330</v>
      </c>
      <c r="R201" s="32" t="s">
        <v>661</v>
      </c>
      <c r="S201" s="33">
        <f>32227</f>
        <v>32227</v>
      </c>
      <c r="T201" s="30">
        <f>689</f>
        <v>689</v>
      </c>
      <c r="U201" s="30" t="str">
        <f t="shared" si="4"/>
        <v>－</v>
      </c>
      <c r="V201" s="30">
        <f>22336360</f>
        <v>22336360</v>
      </c>
      <c r="W201" s="30" t="str">
        <f t="shared" si="5"/>
        <v>－</v>
      </c>
      <c r="X201" s="34">
        <f>10</f>
        <v>10</v>
      </c>
    </row>
    <row r="202" spans="1:24">
      <c r="A202" s="25" t="s">
        <v>1219</v>
      </c>
      <c r="B202" s="25" t="s">
        <v>499</v>
      </c>
      <c r="C202" s="25" t="s">
        <v>500</v>
      </c>
      <c r="D202" s="25" t="s">
        <v>501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19760</f>
        <v>19760</v>
      </c>
      <c r="L202" s="32" t="s">
        <v>1204</v>
      </c>
      <c r="M202" s="31">
        <f>20485</f>
        <v>20485</v>
      </c>
      <c r="N202" s="32" t="s">
        <v>1076</v>
      </c>
      <c r="O202" s="31">
        <f>19760</f>
        <v>19760</v>
      </c>
      <c r="P202" s="32" t="s">
        <v>1204</v>
      </c>
      <c r="Q202" s="31">
        <f>20000</f>
        <v>20000</v>
      </c>
      <c r="R202" s="32" t="s">
        <v>661</v>
      </c>
      <c r="S202" s="33">
        <f>19985</f>
        <v>19985</v>
      </c>
      <c r="T202" s="30">
        <f>23</f>
        <v>23</v>
      </c>
      <c r="U202" s="30" t="str">
        <f t="shared" si="4"/>
        <v>－</v>
      </c>
      <c r="V202" s="30">
        <f>461165</f>
        <v>461165</v>
      </c>
      <c r="W202" s="30" t="str">
        <f t="shared" si="5"/>
        <v>－</v>
      </c>
      <c r="X202" s="34">
        <f>7</f>
        <v>7</v>
      </c>
    </row>
    <row r="203" spans="1:24">
      <c r="A203" s="25" t="s">
        <v>1219</v>
      </c>
      <c r="B203" s="25" t="s">
        <v>502</v>
      </c>
      <c r="C203" s="25" t="s">
        <v>503</v>
      </c>
      <c r="D203" s="25" t="s">
        <v>504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35840</f>
        <v>35840</v>
      </c>
      <c r="L203" s="32" t="s">
        <v>1209</v>
      </c>
      <c r="M203" s="31">
        <f>37460</f>
        <v>37460</v>
      </c>
      <c r="N203" s="32" t="s">
        <v>1076</v>
      </c>
      <c r="O203" s="31">
        <f>34660</f>
        <v>34660</v>
      </c>
      <c r="P203" s="32" t="s">
        <v>1220</v>
      </c>
      <c r="Q203" s="31">
        <f>36750</f>
        <v>36750</v>
      </c>
      <c r="R203" s="32" t="s">
        <v>663</v>
      </c>
      <c r="S203" s="33">
        <f>36003.75</f>
        <v>36003.75</v>
      </c>
      <c r="T203" s="30">
        <f>246</f>
        <v>246</v>
      </c>
      <c r="U203" s="30" t="str">
        <f t="shared" si="4"/>
        <v>－</v>
      </c>
      <c r="V203" s="30">
        <f>8710360</f>
        <v>8710360</v>
      </c>
      <c r="W203" s="30" t="str">
        <f t="shared" si="5"/>
        <v>－</v>
      </c>
      <c r="X203" s="34">
        <f>8</f>
        <v>8</v>
      </c>
    </row>
    <row r="204" spans="1:24">
      <c r="A204" s="25" t="s">
        <v>1219</v>
      </c>
      <c r="B204" s="25" t="s">
        <v>505</v>
      </c>
      <c r="C204" s="25" t="s">
        <v>506</v>
      </c>
      <c r="D204" s="25" t="s">
        <v>507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19435</f>
        <v>19435</v>
      </c>
      <c r="L204" s="32" t="s">
        <v>1085</v>
      </c>
      <c r="M204" s="31">
        <f>20295</f>
        <v>20295</v>
      </c>
      <c r="N204" s="32" t="s">
        <v>1078</v>
      </c>
      <c r="O204" s="31">
        <f>18845</f>
        <v>18845</v>
      </c>
      <c r="P204" s="32" t="s">
        <v>1206</v>
      </c>
      <c r="Q204" s="31">
        <f>20295</f>
        <v>20295</v>
      </c>
      <c r="R204" s="32" t="s">
        <v>1078</v>
      </c>
      <c r="S204" s="33">
        <f>19292.5</f>
        <v>19292.5</v>
      </c>
      <c r="T204" s="30">
        <f>61</f>
        <v>61</v>
      </c>
      <c r="U204" s="30" t="str">
        <f t="shared" si="4"/>
        <v>－</v>
      </c>
      <c r="V204" s="30">
        <f>1174885</f>
        <v>1174885</v>
      </c>
      <c r="W204" s="30" t="str">
        <f t="shared" si="5"/>
        <v>－</v>
      </c>
      <c r="X204" s="34">
        <f>8</f>
        <v>8</v>
      </c>
    </row>
    <row r="205" spans="1:24">
      <c r="A205" s="25" t="s">
        <v>1219</v>
      </c>
      <c r="B205" s="25" t="s">
        <v>508</v>
      </c>
      <c r="C205" s="25" t="s">
        <v>509</v>
      </c>
      <c r="D205" s="25" t="s">
        <v>510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19700</f>
        <v>19700</v>
      </c>
      <c r="L205" s="32" t="s">
        <v>1204</v>
      </c>
      <c r="M205" s="31">
        <f>20395</f>
        <v>20395</v>
      </c>
      <c r="N205" s="32" t="s">
        <v>1212</v>
      </c>
      <c r="O205" s="31">
        <f>19225</f>
        <v>19225</v>
      </c>
      <c r="P205" s="32" t="s">
        <v>1211</v>
      </c>
      <c r="Q205" s="31">
        <f>19250</f>
        <v>19250</v>
      </c>
      <c r="R205" s="32" t="s">
        <v>661</v>
      </c>
      <c r="S205" s="33">
        <f>19859.12</f>
        <v>19859.12</v>
      </c>
      <c r="T205" s="30">
        <f>410</f>
        <v>410</v>
      </c>
      <c r="U205" s="30" t="str">
        <f t="shared" si="4"/>
        <v>－</v>
      </c>
      <c r="V205" s="30">
        <f>8198155</f>
        <v>8198155</v>
      </c>
      <c r="W205" s="30" t="str">
        <f t="shared" si="5"/>
        <v>－</v>
      </c>
      <c r="X205" s="34">
        <f>17</f>
        <v>17</v>
      </c>
    </row>
    <row r="206" spans="1:24">
      <c r="A206" s="25" t="s">
        <v>1219</v>
      </c>
      <c r="B206" s="25" t="s">
        <v>511</v>
      </c>
      <c r="C206" s="25" t="s">
        <v>512</v>
      </c>
      <c r="D206" s="25" t="s">
        <v>513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22930</f>
        <v>22930</v>
      </c>
      <c r="L206" s="32" t="s">
        <v>1204</v>
      </c>
      <c r="M206" s="31">
        <f>23500</f>
        <v>23500</v>
      </c>
      <c r="N206" s="32" t="s">
        <v>1076</v>
      </c>
      <c r="O206" s="31">
        <f>22425</f>
        <v>22425</v>
      </c>
      <c r="P206" s="32" t="s">
        <v>738</v>
      </c>
      <c r="Q206" s="31">
        <f>23500</f>
        <v>23500</v>
      </c>
      <c r="R206" s="32" t="s">
        <v>1076</v>
      </c>
      <c r="S206" s="33">
        <f>22951.67</f>
        <v>22951.67</v>
      </c>
      <c r="T206" s="30">
        <f>42</f>
        <v>42</v>
      </c>
      <c r="U206" s="30" t="str">
        <f t="shared" si="4"/>
        <v>－</v>
      </c>
      <c r="V206" s="30">
        <f>982680</f>
        <v>982680</v>
      </c>
      <c r="W206" s="30" t="str">
        <f t="shared" si="5"/>
        <v>－</v>
      </c>
      <c r="X206" s="34">
        <f>3</f>
        <v>3</v>
      </c>
    </row>
    <row r="207" spans="1:24">
      <c r="A207" s="25" t="s">
        <v>1219</v>
      </c>
      <c r="B207" s="25" t="s">
        <v>514</v>
      </c>
      <c r="C207" s="25" t="s">
        <v>515</v>
      </c>
      <c r="D207" s="25" t="s">
        <v>516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 t="str">
        <f>"－"</f>
        <v>－</v>
      </c>
      <c r="L207" s="32"/>
      <c r="M207" s="31" t="str">
        <f>"－"</f>
        <v>－</v>
      </c>
      <c r="N207" s="32"/>
      <c r="O207" s="31" t="str">
        <f>"－"</f>
        <v>－</v>
      </c>
      <c r="P207" s="32"/>
      <c r="Q207" s="31" t="str">
        <f>"－"</f>
        <v>－</v>
      </c>
      <c r="R207" s="32"/>
      <c r="S207" s="33" t="str">
        <f>"－"</f>
        <v>－</v>
      </c>
      <c r="T207" s="30" t="str">
        <f>"－"</f>
        <v>－</v>
      </c>
      <c r="U207" s="30" t="str">
        <f t="shared" si="4"/>
        <v>－</v>
      </c>
      <c r="V207" s="30" t="str">
        <f>"－"</f>
        <v>－</v>
      </c>
      <c r="W207" s="30" t="str">
        <f t="shared" si="5"/>
        <v>－</v>
      </c>
      <c r="X207" s="34" t="str">
        <f>"－"</f>
        <v>－</v>
      </c>
    </row>
    <row r="208" spans="1:24">
      <c r="A208" s="25" t="s">
        <v>1219</v>
      </c>
      <c r="B208" s="25" t="s">
        <v>517</v>
      </c>
      <c r="C208" s="25" t="s">
        <v>518</v>
      </c>
      <c r="D208" s="25" t="s">
        <v>519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12020</f>
        <v>12020</v>
      </c>
      <c r="L208" s="32" t="s">
        <v>1204</v>
      </c>
      <c r="M208" s="31">
        <f>12200</f>
        <v>12200</v>
      </c>
      <c r="N208" s="32" t="s">
        <v>1075</v>
      </c>
      <c r="O208" s="31">
        <f>11805</f>
        <v>11805</v>
      </c>
      <c r="P208" s="32" t="s">
        <v>1080</v>
      </c>
      <c r="Q208" s="31">
        <f>11860</f>
        <v>11860</v>
      </c>
      <c r="R208" s="32" t="s">
        <v>661</v>
      </c>
      <c r="S208" s="33">
        <f>11990</f>
        <v>11990</v>
      </c>
      <c r="T208" s="30">
        <f>3803</f>
        <v>3803</v>
      </c>
      <c r="U208" s="30" t="str">
        <f t="shared" si="4"/>
        <v>－</v>
      </c>
      <c r="V208" s="30">
        <f>45386985</f>
        <v>45386985</v>
      </c>
      <c r="W208" s="30" t="str">
        <f t="shared" si="5"/>
        <v>－</v>
      </c>
      <c r="X208" s="34">
        <f>7</f>
        <v>7</v>
      </c>
    </row>
    <row r="209" spans="1:24">
      <c r="A209" s="25" t="s">
        <v>1219</v>
      </c>
      <c r="B209" s="25" t="s">
        <v>520</v>
      </c>
      <c r="C209" s="25" t="s">
        <v>521</v>
      </c>
      <c r="D209" s="25" t="s">
        <v>522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14105</f>
        <v>14105</v>
      </c>
      <c r="L209" s="32" t="s">
        <v>1204</v>
      </c>
      <c r="M209" s="31">
        <f>14590</f>
        <v>14590</v>
      </c>
      <c r="N209" s="32" t="s">
        <v>1078</v>
      </c>
      <c r="O209" s="31">
        <f>13875</f>
        <v>13875</v>
      </c>
      <c r="P209" s="32" t="s">
        <v>1080</v>
      </c>
      <c r="Q209" s="31">
        <f>13980</f>
        <v>13980</v>
      </c>
      <c r="R209" s="32" t="s">
        <v>661</v>
      </c>
      <c r="S209" s="33">
        <f>14253.75</f>
        <v>14253.75</v>
      </c>
      <c r="T209" s="30">
        <f>7517</f>
        <v>7517</v>
      </c>
      <c r="U209" s="30">
        <f>1</f>
        <v>1</v>
      </c>
      <c r="V209" s="30">
        <f>106743720</f>
        <v>106743720</v>
      </c>
      <c r="W209" s="30">
        <f>14590</f>
        <v>14590</v>
      </c>
      <c r="X209" s="34">
        <f>16</f>
        <v>16</v>
      </c>
    </row>
    <row r="210" spans="1:24">
      <c r="A210" s="25" t="s">
        <v>1219</v>
      </c>
      <c r="B210" s="25" t="s">
        <v>523</v>
      </c>
      <c r="C210" s="25" t="s">
        <v>524</v>
      </c>
      <c r="D210" s="25" t="s">
        <v>525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12495</f>
        <v>12495</v>
      </c>
      <c r="L210" s="32" t="s">
        <v>1204</v>
      </c>
      <c r="M210" s="31">
        <f>13020</f>
        <v>13020</v>
      </c>
      <c r="N210" s="32" t="s">
        <v>1207</v>
      </c>
      <c r="O210" s="31">
        <f>12455</f>
        <v>12455</v>
      </c>
      <c r="P210" s="32" t="s">
        <v>1206</v>
      </c>
      <c r="Q210" s="31">
        <f>12570</f>
        <v>12570</v>
      </c>
      <c r="R210" s="32" t="s">
        <v>661</v>
      </c>
      <c r="S210" s="33">
        <f>12690</f>
        <v>12690</v>
      </c>
      <c r="T210" s="30">
        <f>5863</f>
        <v>5863</v>
      </c>
      <c r="U210" s="30">
        <f>1</f>
        <v>1</v>
      </c>
      <c r="V210" s="30">
        <f>74023325</f>
        <v>74023325</v>
      </c>
      <c r="W210" s="30">
        <f>12570</f>
        <v>12570</v>
      </c>
      <c r="X210" s="34">
        <f>10</f>
        <v>10</v>
      </c>
    </row>
    <row r="211" spans="1:24">
      <c r="A211" s="25" t="s">
        <v>1219</v>
      </c>
      <c r="B211" s="25" t="s">
        <v>761</v>
      </c>
      <c r="C211" s="25" t="s">
        <v>762</v>
      </c>
      <c r="D211" s="25" t="s">
        <v>763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>
        <f>13680</f>
        <v>13680</v>
      </c>
      <c r="L211" s="32" t="s">
        <v>1209</v>
      </c>
      <c r="M211" s="31">
        <f>13930</f>
        <v>13930</v>
      </c>
      <c r="N211" s="32" t="s">
        <v>663</v>
      </c>
      <c r="O211" s="31">
        <f>13120</f>
        <v>13120</v>
      </c>
      <c r="P211" s="32" t="s">
        <v>1220</v>
      </c>
      <c r="Q211" s="31">
        <f>13650</f>
        <v>13650</v>
      </c>
      <c r="R211" s="32" t="s">
        <v>663</v>
      </c>
      <c r="S211" s="33">
        <f>13483.33</f>
        <v>13483.33</v>
      </c>
      <c r="T211" s="30">
        <f>22</f>
        <v>22</v>
      </c>
      <c r="U211" s="30" t="str">
        <f>"－"</f>
        <v>－</v>
      </c>
      <c r="V211" s="30">
        <f>297410</f>
        <v>297410</v>
      </c>
      <c r="W211" s="30" t="str">
        <f>"－"</f>
        <v>－</v>
      </c>
      <c r="X211" s="34">
        <f>3</f>
        <v>3</v>
      </c>
    </row>
    <row r="212" spans="1:24">
      <c r="A212" s="25" t="s">
        <v>1219</v>
      </c>
      <c r="B212" s="25" t="s">
        <v>963</v>
      </c>
      <c r="C212" s="25" t="s">
        <v>964</v>
      </c>
      <c r="D212" s="25" t="s">
        <v>965</v>
      </c>
      <c r="E212" s="26" t="s">
        <v>43</v>
      </c>
      <c r="F212" s="27" t="s">
        <v>43</v>
      </c>
      <c r="G212" s="28" t="s">
        <v>43</v>
      </c>
      <c r="H212" s="29"/>
      <c r="I212" s="29" t="s">
        <v>44</v>
      </c>
      <c r="J212" s="30">
        <v>1</v>
      </c>
      <c r="K212" s="31">
        <f>1210</f>
        <v>1210</v>
      </c>
      <c r="L212" s="32" t="s">
        <v>1204</v>
      </c>
      <c r="M212" s="31">
        <f>1285</f>
        <v>1285</v>
      </c>
      <c r="N212" s="32" t="s">
        <v>1076</v>
      </c>
      <c r="O212" s="31">
        <f>1179</f>
        <v>1179</v>
      </c>
      <c r="P212" s="32" t="s">
        <v>1220</v>
      </c>
      <c r="Q212" s="31">
        <f>1228</f>
        <v>1228</v>
      </c>
      <c r="R212" s="32" t="s">
        <v>661</v>
      </c>
      <c r="S212" s="33">
        <f>1242.8</f>
        <v>1242.8</v>
      </c>
      <c r="T212" s="30">
        <f>1015613</f>
        <v>1015613</v>
      </c>
      <c r="U212" s="30">
        <f>732</f>
        <v>732</v>
      </c>
      <c r="V212" s="30">
        <f>1252585093</f>
        <v>1252585093</v>
      </c>
      <c r="W212" s="30">
        <f>886705</f>
        <v>886705</v>
      </c>
      <c r="X212" s="34">
        <f>20</f>
        <v>20</v>
      </c>
    </row>
    <row r="213" spans="1:24">
      <c r="A213" s="25" t="s">
        <v>1219</v>
      </c>
      <c r="B213" s="25" t="s">
        <v>966</v>
      </c>
      <c r="C213" s="25" t="s">
        <v>967</v>
      </c>
      <c r="D213" s="25" t="s">
        <v>968</v>
      </c>
      <c r="E213" s="26" t="s">
        <v>43</v>
      </c>
      <c r="F213" s="27" t="s">
        <v>43</v>
      </c>
      <c r="G213" s="28" t="s">
        <v>43</v>
      </c>
      <c r="H213" s="29"/>
      <c r="I213" s="29" t="s">
        <v>44</v>
      </c>
      <c r="J213" s="30">
        <v>1</v>
      </c>
      <c r="K213" s="31">
        <f>1210</f>
        <v>1210</v>
      </c>
      <c r="L213" s="32" t="s">
        <v>1204</v>
      </c>
      <c r="M213" s="31">
        <f>1338</f>
        <v>1338</v>
      </c>
      <c r="N213" s="32" t="s">
        <v>1076</v>
      </c>
      <c r="O213" s="31">
        <f>1210</f>
        <v>1210</v>
      </c>
      <c r="P213" s="32" t="s">
        <v>1204</v>
      </c>
      <c r="Q213" s="31">
        <f>1278</f>
        <v>1278</v>
      </c>
      <c r="R213" s="32" t="s">
        <v>661</v>
      </c>
      <c r="S213" s="33">
        <f>1288.1</f>
        <v>1288.0999999999999</v>
      </c>
      <c r="T213" s="30">
        <f>28822</f>
        <v>28822</v>
      </c>
      <c r="U213" s="30" t="str">
        <f>"－"</f>
        <v>－</v>
      </c>
      <c r="V213" s="30">
        <f>37458063</f>
        <v>37458063</v>
      </c>
      <c r="W213" s="30" t="str">
        <f>"－"</f>
        <v>－</v>
      </c>
      <c r="X213" s="34">
        <f>20</f>
        <v>20</v>
      </c>
    </row>
    <row r="214" spans="1:24">
      <c r="A214" s="25" t="s">
        <v>1219</v>
      </c>
      <c r="B214" s="25" t="s">
        <v>969</v>
      </c>
      <c r="C214" s="25" t="s">
        <v>970</v>
      </c>
      <c r="D214" s="25" t="s">
        <v>971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1025</f>
        <v>1025</v>
      </c>
      <c r="L214" s="32" t="s">
        <v>1204</v>
      </c>
      <c r="M214" s="31">
        <f>1053</f>
        <v>1053</v>
      </c>
      <c r="N214" s="32" t="s">
        <v>1075</v>
      </c>
      <c r="O214" s="31">
        <f>997</f>
        <v>997</v>
      </c>
      <c r="P214" s="32" t="s">
        <v>1220</v>
      </c>
      <c r="Q214" s="31">
        <f>1018</f>
        <v>1018</v>
      </c>
      <c r="R214" s="32" t="s">
        <v>661</v>
      </c>
      <c r="S214" s="33">
        <f>1033.3</f>
        <v>1033.3</v>
      </c>
      <c r="T214" s="30">
        <f>3908</f>
        <v>3908</v>
      </c>
      <c r="U214" s="30" t="str">
        <f>"－"</f>
        <v>－</v>
      </c>
      <c r="V214" s="30">
        <f>4038422</f>
        <v>4038422</v>
      </c>
      <c r="W214" s="30" t="str">
        <f>"－"</f>
        <v>－</v>
      </c>
      <c r="X214" s="34">
        <f>20</f>
        <v>20</v>
      </c>
    </row>
    <row r="215" spans="1:24">
      <c r="A215" s="25" t="s">
        <v>1219</v>
      </c>
      <c r="B215" s="25" t="s">
        <v>972</v>
      </c>
      <c r="C215" s="25" t="s">
        <v>973</v>
      </c>
      <c r="D215" s="25" t="s">
        <v>974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2199</f>
        <v>2199</v>
      </c>
      <c r="L215" s="32" t="s">
        <v>1204</v>
      </c>
      <c r="M215" s="31">
        <f>2209</f>
        <v>2209</v>
      </c>
      <c r="N215" s="32" t="s">
        <v>1212</v>
      </c>
      <c r="O215" s="31">
        <f>2068</f>
        <v>2068</v>
      </c>
      <c r="P215" s="32" t="s">
        <v>1220</v>
      </c>
      <c r="Q215" s="31">
        <f>2088</f>
        <v>2088</v>
      </c>
      <c r="R215" s="32" t="s">
        <v>661</v>
      </c>
      <c r="S215" s="33">
        <f>2161.55</f>
        <v>2161.5500000000002</v>
      </c>
      <c r="T215" s="30">
        <f>104768</f>
        <v>104768</v>
      </c>
      <c r="U215" s="30">
        <f>2</f>
        <v>2</v>
      </c>
      <c r="V215" s="30">
        <f>225919557</f>
        <v>225919557</v>
      </c>
      <c r="W215" s="30">
        <f>4286</f>
        <v>4286</v>
      </c>
      <c r="X215" s="34">
        <f>20</f>
        <v>20</v>
      </c>
    </row>
    <row r="216" spans="1:24">
      <c r="A216" s="25" t="s">
        <v>1219</v>
      </c>
      <c r="B216" s="25" t="s">
        <v>975</v>
      </c>
      <c r="C216" s="25" t="s">
        <v>976</v>
      </c>
      <c r="D216" s="25" t="s">
        <v>977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2288</f>
        <v>2288</v>
      </c>
      <c r="L216" s="32" t="s">
        <v>1204</v>
      </c>
      <c r="M216" s="31">
        <f>2384</f>
        <v>2384</v>
      </c>
      <c r="N216" s="32" t="s">
        <v>1076</v>
      </c>
      <c r="O216" s="31">
        <f>2215</f>
        <v>2215</v>
      </c>
      <c r="P216" s="32" t="s">
        <v>1220</v>
      </c>
      <c r="Q216" s="31">
        <f>2320</f>
        <v>2320</v>
      </c>
      <c r="R216" s="32" t="s">
        <v>661</v>
      </c>
      <c r="S216" s="33">
        <f>2323.75</f>
        <v>2323.75</v>
      </c>
      <c r="T216" s="30">
        <f>250379</f>
        <v>250379</v>
      </c>
      <c r="U216" s="30" t="str">
        <f>"－"</f>
        <v>－</v>
      </c>
      <c r="V216" s="30">
        <f>576960934</f>
        <v>576960934</v>
      </c>
      <c r="W216" s="30" t="str">
        <f>"－"</f>
        <v>－</v>
      </c>
      <c r="X216" s="34">
        <f>20</f>
        <v>20</v>
      </c>
    </row>
    <row r="217" spans="1:24">
      <c r="A217" s="25" t="s">
        <v>1219</v>
      </c>
      <c r="B217" s="25" t="s">
        <v>978</v>
      </c>
      <c r="C217" s="25" t="s">
        <v>979</v>
      </c>
      <c r="D217" s="25" t="s">
        <v>980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10</v>
      </c>
      <c r="K217" s="31">
        <f>565</f>
        <v>565</v>
      </c>
      <c r="L217" s="32" t="s">
        <v>1204</v>
      </c>
      <c r="M217" s="31">
        <f>590</f>
        <v>590</v>
      </c>
      <c r="N217" s="32" t="s">
        <v>1076</v>
      </c>
      <c r="O217" s="31">
        <f>556</f>
        <v>556</v>
      </c>
      <c r="P217" s="32" t="s">
        <v>1209</v>
      </c>
      <c r="Q217" s="31">
        <f>570</f>
        <v>570</v>
      </c>
      <c r="R217" s="32" t="s">
        <v>661</v>
      </c>
      <c r="S217" s="33">
        <f>575.47</f>
        <v>575.47</v>
      </c>
      <c r="T217" s="30">
        <f>1846640</f>
        <v>1846640</v>
      </c>
      <c r="U217" s="30">
        <f>900000</f>
        <v>900000</v>
      </c>
      <c r="V217" s="30">
        <f>1053197666</f>
        <v>1053197666</v>
      </c>
      <c r="W217" s="30">
        <f>510089900</f>
        <v>510089900</v>
      </c>
      <c r="X217" s="34">
        <f>20</f>
        <v>20</v>
      </c>
    </row>
    <row r="218" spans="1:24">
      <c r="A218" s="25" t="s">
        <v>1219</v>
      </c>
      <c r="B218" s="25" t="s">
        <v>981</v>
      </c>
      <c r="C218" s="25" t="s">
        <v>982</v>
      </c>
      <c r="D218" s="25" t="s">
        <v>983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10</v>
      </c>
      <c r="K218" s="31">
        <f>2521</f>
        <v>2521</v>
      </c>
      <c r="L218" s="32" t="s">
        <v>1204</v>
      </c>
      <c r="M218" s="31">
        <f>2521</f>
        <v>2521</v>
      </c>
      <c r="N218" s="32" t="s">
        <v>1204</v>
      </c>
      <c r="O218" s="31">
        <f>2325</f>
        <v>2325</v>
      </c>
      <c r="P218" s="32" t="s">
        <v>661</v>
      </c>
      <c r="Q218" s="31">
        <f>2327.5</f>
        <v>2327.5</v>
      </c>
      <c r="R218" s="32" t="s">
        <v>661</v>
      </c>
      <c r="S218" s="33">
        <f>2415.1</f>
        <v>2415.1</v>
      </c>
      <c r="T218" s="30">
        <f>1041550</f>
        <v>1041550</v>
      </c>
      <c r="U218" s="30">
        <f>928000</f>
        <v>928000</v>
      </c>
      <c r="V218" s="30">
        <f>2478582417</f>
        <v>2478582417</v>
      </c>
      <c r="W218" s="30">
        <f>2201680802</f>
        <v>2201680802</v>
      </c>
      <c r="X218" s="34">
        <f>10</f>
        <v>10</v>
      </c>
    </row>
    <row r="219" spans="1:24">
      <c r="A219" s="25" t="s">
        <v>1219</v>
      </c>
      <c r="B219" s="25" t="s">
        <v>984</v>
      </c>
      <c r="C219" s="25" t="s">
        <v>985</v>
      </c>
      <c r="D219" s="25" t="s">
        <v>986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2583</f>
        <v>2583</v>
      </c>
      <c r="L219" s="32" t="s">
        <v>1204</v>
      </c>
      <c r="M219" s="31">
        <f>2583</f>
        <v>2583</v>
      </c>
      <c r="N219" s="32" t="s">
        <v>1204</v>
      </c>
      <c r="O219" s="31">
        <f>2339.5</f>
        <v>2339.5</v>
      </c>
      <c r="P219" s="32" t="s">
        <v>661</v>
      </c>
      <c r="Q219" s="31">
        <f>2340</f>
        <v>2340</v>
      </c>
      <c r="R219" s="32" t="s">
        <v>661</v>
      </c>
      <c r="S219" s="33">
        <f>2463.97</f>
        <v>2463.9699999999998</v>
      </c>
      <c r="T219" s="30">
        <f>4272970</f>
        <v>4272970</v>
      </c>
      <c r="U219" s="30">
        <f>4080000</f>
        <v>4080000</v>
      </c>
      <c r="V219" s="30">
        <f>10533371119</f>
        <v>10533371119</v>
      </c>
      <c r="W219" s="30">
        <f>10056592154</f>
        <v>10056592154</v>
      </c>
      <c r="X219" s="34">
        <f>15</f>
        <v>15</v>
      </c>
    </row>
    <row r="220" spans="1:24">
      <c r="A220" s="25" t="s">
        <v>1219</v>
      </c>
      <c r="B220" s="25" t="s">
        <v>987</v>
      </c>
      <c r="C220" s="25" t="s">
        <v>988</v>
      </c>
      <c r="D220" s="25" t="s">
        <v>989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2327</f>
        <v>2327</v>
      </c>
      <c r="L220" s="32" t="s">
        <v>1204</v>
      </c>
      <c r="M220" s="31">
        <f>2329</f>
        <v>2329</v>
      </c>
      <c r="N220" s="32" t="s">
        <v>1204</v>
      </c>
      <c r="O220" s="31">
        <f>2240.5</f>
        <v>2240.5</v>
      </c>
      <c r="P220" s="32" t="s">
        <v>1207</v>
      </c>
      <c r="Q220" s="31">
        <f>2240.5</f>
        <v>2240.5</v>
      </c>
      <c r="R220" s="32" t="s">
        <v>1207</v>
      </c>
      <c r="S220" s="33">
        <f>2285.4</f>
        <v>2285.4</v>
      </c>
      <c r="T220" s="30">
        <f>72760</f>
        <v>72760</v>
      </c>
      <c r="U220" s="30" t="str">
        <f>"－"</f>
        <v>－</v>
      </c>
      <c r="V220" s="30">
        <f>166951480</f>
        <v>166951480</v>
      </c>
      <c r="W220" s="30" t="str">
        <f>"－"</f>
        <v>－</v>
      </c>
      <c r="X220" s="34">
        <f>5</f>
        <v>5</v>
      </c>
    </row>
    <row r="221" spans="1:24">
      <c r="A221" s="25" t="s">
        <v>1219</v>
      </c>
      <c r="B221" s="25" t="s">
        <v>990</v>
      </c>
      <c r="C221" s="25" t="s">
        <v>991</v>
      </c>
      <c r="D221" s="25" t="s">
        <v>992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2668.5</f>
        <v>2668.5</v>
      </c>
      <c r="L221" s="32" t="s">
        <v>1208</v>
      </c>
      <c r="M221" s="31">
        <f>2727.5</f>
        <v>2727.5</v>
      </c>
      <c r="N221" s="32" t="s">
        <v>1205</v>
      </c>
      <c r="O221" s="31">
        <f>2580</f>
        <v>2580</v>
      </c>
      <c r="P221" s="32" t="s">
        <v>661</v>
      </c>
      <c r="Q221" s="31">
        <f>2580</f>
        <v>2580</v>
      </c>
      <c r="R221" s="32" t="s">
        <v>661</v>
      </c>
      <c r="S221" s="33">
        <f>2658.77</f>
        <v>2658.77</v>
      </c>
      <c r="T221" s="30">
        <f>11100</f>
        <v>11100</v>
      </c>
      <c r="U221" s="30" t="str">
        <f>"－"</f>
        <v>－</v>
      </c>
      <c r="V221" s="30">
        <f>29784330</f>
        <v>29784330</v>
      </c>
      <c r="W221" s="30" t="str">
        <f>"－"</f>
        <v>－</v>
      </c>
      <c r="X221" s="34">
        <f>15</f>
        <v>15</v>
      </c>
    </row>
    <row r="222" spans="1:24">
      <c r="A222" s="25" t="s">
        <v>1219</v>
      </c>
      <c r="B222" s="25" t="s">
        <v>993</v>
      </c>
      <c r="C222" s="25" t="s">
        <v>994</v>
      </c>
      <c r="D222" s="25" t="s">
        <v>995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>
        <f>4771</f>
        <v>4771</v>
      </c>
      <c r="L222" s="32" t="s">
        <v>1080</v>
      </c>
      <c r="M222" s="31">
        <f>4830</f>
        <v>4830</v>
      </c>
      <c r="N222" s="32" t="s">
        <v>1080</v>
      </c>
      <c r="O222" s="31">
        <f>4771</f>
        <v>4771</v>
      </c>
      <c r="P222" s="32" t="s">
        <v>1080</v>
      </c>
      <c r="Q222" s="31">
        <f>4827</f>
        <v>4827</v>
      </c>
      <c r="R222" s="32" t="s">
        <v>1207</v>
      </c>
      <c r="S222" s="33">
        <f>4828.5</f>
        <v>4828.5</v>
      </c>
      <c r="T222" s="30">
        <f>30</f>
        <v>30</v>
      </c>
      <c r="U222" s="30" t="str">
        <f>"－"</f>
        <v>－</v>
      </c>
      <c r="V222" s="30">
        <f>144280</f>
        <v>144280</v>
      </c>
      <c r="W222" s="30" t="str">
        <f>"－"</f>
        <v>－</v>
      </c>
      <c r="X222" s="34">
        <f>2</f>
        <v>2</v>
      </c>
    </row>
    <row r="223" spans="1:24">
      <c r="A223" s="25" t="s">
        <v>1219</v>
      </c>
      <c r="B223" s="25" t="s">
        <v>996</v>
      </c>
      <c r="C223" s="25" t="s">
        <v>997</v>
      </c>
      <c r="D223" s="25" t="s">
        <v>998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 t="str">
        <f>"－"</f>
        <v>－</v>
      </c>
      <c r="L223" s="32"/>
      <c r="M223" s="31" t="str">
        <f>"－"</f>
        <v>－</v>
      </c>
      <c r="N223" s="32"/>
      <c r="O223" s="31" t="str">
        <f>"－"</f>
        <v>－</v>
      </c>
      <c r="P223" s="32"/>
      <c r="Q223" s="31" t="str">
        <f>"－"</f>
        <v>－</v>
      </c>
      <c r="R223" s="32"/>
      <c r="S223" s="33" t="str">
        <f>"－"</f>
        <v>－</v>
      </c>
      <c r="T223" s="30" t="str">
        <f>"－"</f>
        <v>－</v>
      </c>
      <c r="U223" s="30" t="str">
        <f>"－"</f>
        <v>－</v>
      </c>
      <c r="V223" s="30" t="str">
        <f>"－"</f>
        <v>－</v>
      </c>
      <c r="W223" s="30" t="str">
        <f>"－"</f>
        <v>－</v>
      </c>
      <c r="X223" s="34" t="str">
        <f>"－"</f>
        <v>－</v>
      </c>
    </row>
    <row r="224" spans="1:24">
      <c r="A224" s="25" t="s">
        <v>1219</v>
      </c>
      <c r="B224" s="25" t="s">
        <v>999</v>
      </c>
      <c r="C224" s="25" t="s">
        <v>1000</v>
      </c>
      <c r="D224" s="25" t="s">
        <v>1001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 t="str">
        <f>"－"</f>
        <v>－</v>
      </c>
      <c r="L224" s="32"/>
      <c r="M224" s="31" t="str">
        <f>"－"</f>
        <v>－</v>
      </c>
      <c r="N224" s="32"/>
      <c r="O224" s="31" t="str">
        <f>"－"</f>
        <v>－</v>
      </c>
      <c r="P224" s="32"/>
      <c r="Q224" s="31" t="str">
        <f>"－"</f>
        <v>－</v>
      </c>
      <c r="R224" s="32"/>
      <c r="S224" s="33" t="str">
        <f>"－"</f>
        <v>－</v>
      </c>
      <c r="T224" s="30" t="str">
        <f>"－"</f>
        <v>－</v>
      </c>
      <c r="U224" s="30" t="str">
        <f>"－"</f>
        <v>－</v>
      </c>
      <c r="V224" s="30" t="str">
        <f>"－"</f>
        <v>－</v>
      </c>
      <c r="W224" s="30" t="str">
        <f>"－"</f>
        <v>－</v>
      </c>
      <c r="X224" s="34" t="str">
        <f>"－"</f>
        <v>－</v>
      </c>
    </row>
    <row r="225" spans="1:24">
      <c r="A225" s="25" t="s">
        <v>1219</v>
      </c>
      <c r="B225" s="25" t="s">
        <v>1025</v>
      </c>
      <c r="C225" s="25" t="s">
        <v>1024</v>
      </c>
      <c r="D225" s="25" t="s">
        <v>1023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5035</f>
        <v>5035</v>
      </c>
      <c r="L225" s="32" t="s">
        <v>1204</v>
      </c>
      <c r="M225" s="31">
        <f>5100</f>
        <v>5100</v>
      </c>
      <c r="N225" s="32" t="s">
        <v>1085</v>
      </c>
      <c r="O225" s="31">
        <f>4909</f>
        <v>4909</v>
      </c>
      <c r="P225" s="32" t="s">
        <v>1220</v>
      </c>
      <c r="Q225" s="31">
        <f>4992</f>
        <v>4992</v>
      </c>
      <c r="R225" s="32" t="s">
        <v>661</v>
      </c>
      <c r="S225" s="33">
        <f>4995.9</f>
        <v>4995.8999999999996</v>
      </c>
      <c r="T225" s="30">
        <f>83540</f>
        <v>83540</v>
      </c>
      <c r="U225" s="30">
        <f>50000</f>
        <v>50000</v>
      </c>
      <c r="V225" s="30">
        <f>416793870</f>
        <v>416793870</v>
      </c>
      <c r="W225" s="30">
        <f>247525000</f>
        <v>247525000</v>
      </c>
      <c r="X225" s="34">
        <f>20</f>
        <v>20</v>
      </c>
    </row>
    <row r="226" spans="1:24">
      <c r="A226" s="25" t="s">
        <v>1219</v>
      </c>
      <c r="B226" s="25" t="s">
        <v>1022</v>
      </c>
      <c r="C226" s="25" t="s">
        <v>1021</v>
      </c>
      <c r="D226" s="25" t="s">
        <v>1020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</v>
      </c>
      <c r="K226" s="31">
        <f>949</f>
        <v>949</v>
      </c>
      <c r="L226" s="32" t="s">
        <v>1204</v>
      </c>
      <c r="M226" s="31">
        <f>980</f>
        <v>980</v>
      </c>
      <c r="N226" s="32" t="s">
        <v>1220</v>
      </c>
      <c r="O226" s="31">
        <f>926</f>
        <v>926</v>
      </c>
      <c r="P226" s="32" t="s">
        <v>1075</v>
      </c>
      <c r="Q226" s="31">
        <f>945</f>
        <v>945</v>
      </c>
      <c r="R226" s="32" t="s">
        <v>661</v>
      </c>
      <c r="S226" s="33">
        <f>951.8</f>
        <v>951.8</v>
      </c>
      <c r="T226" s="30">
        <f>570054</f>
        <v>570054</v>
      </c>
      <c r="U226" s="30">
        <f>530000</f>
        <v>530000</v>
      </c>
      <c r="V226" s="30">
        <f>540150171</f>
        <v>540150171</v>
      </c>
      <c r="W226" s="30">
        <f>502334000</f>
        <v>502334000</v>
      </c>
      <c r="X226" s="34">
        <f>20</f>
        <v>20</v>
      </c>
    </row>
    <row r="227" spans="1:24">
      <c r="A227" s="25" t="s">
        <v>1219</v>
      </c>
      <c r="B227" s="25" t="s">
        <v>1019</v>
      </c>
      <c r="C227" s="25" t="s">
        <v>1018</v>
      </c>
      <c r="D227" s="25" t="s">
        <v>1017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</v>
      </c>
      <c r="K227" s="31">
        <f>1150</f>
        <v>1150</v>
      </c>
      <c r="L227" s="32" t="s">
        <v>1204</v>
      </c>
      <c r="M227" s="31">
        <f>1150</f>
        <v>1150</v>
      </c>
      <c r="N227" s="32" t="s">
        <v>1204</v>
      </c>
      <c r="O227" s="31">
        <f>1088</f>
        <v>1088</v>
      </c>
      <c r="P227" s="32" t="s">
        <v>1080</v>
      </c>
      <c r="Q227" s="31">
        <f>1096</f>
        <v>1096</v>
      </c>
      <c r="R227" s="32" t="s">
        <v>661</v>
      </c>
      <c r="S227" s="33">
        <f>1108.85</f>
        <v>1108.8499999999999</v>
      </c>
      <c r="T227" s="30">
        <f>54282</f>
        <v>54282</v>
      </c>
      <c r="U227" s="30" t="str">
        <f>"－"</f>
        <v>－</v>
      </c>
      <c r="V227" s="30">
        <f>61080196</f>
        <v>61080196</v>
      </c>
      <c r="W227" s="30" t="str">
        <f>"－"</f>
        <v>－</v>
      </c>
      <c r="X227" s="34">
        <f>20</f>
        <v>20</v>
      </c>
    </row>
    <row r="228" spans="1:24">
      <c r="A228" s="25" t="s">
        <v>1219</v>
      </c>
      <c r="B228" s="25" t="s">
        <v>1016</v>
      </c>
      <c r="C228" s="25" t="s">
        <v>1015</v>
      </c>
      <c r="D228" s="25" t="s">
        <v>1014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969</f>
        <v>969</v>
      </c>
      <c r="L228" s="32" t="s">
        <v>1204</v>
      </c>
      <c r="M228" s="31">
        <f>1000</f>
        <v>1000</v>
      </c>
      <c r="N228" s="32" t="s">
        <v>1075</v>
      </c>
      <c r="O228" s="31">
        <f>942</f>
        <v>942</v>
      </c>
      <c r="P228" s="32" t="s">
        <v>1220</v>
      </c>
      <c r="Q228" s="31">
        <f>983</f>
        <v>983</v>
      </c>
      <c r="R228" s="32" t="s">
        <v>661</v>
      </c>
      <c r="S228" s="33">
        <f>970.1</f>
        <v>970.1</v>
      </c>
      <c r="T228" s="30">
        <f>70288</f>
        <v>70288</v>
      </c>
      <c r="U228" s="30" t="str">
        <f>"－"</f>
        <v>－</v>
      </c>
      <c r="V228" s="30">
        <f>68326982</f>
        <v>68326982</v>
      </c>
      <c r="W228" s="30" t="str">
        <f>"－"</f>
        <v>－</v>
      </c>
      <c r="X228" s="34">
        <f>20</f>
        <v>20</v>
      </c>
    </row>
    <row r="229" spans="1:24">
      <c r="A229" s="25" t="s">
        <v>1219</v>
      </c>
      <c r="B229" s="25" t="s">
        <v>1013</v>
      </c>
      <c r="C229" s="25" t="s">
        <v>1012</v>
      </c>
      <c r="D229" s="25" t="s">
        <v>1011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919</f>
        <v>919</v>
      </c>
      <c r="L229" s="32" t="s">
        <v>1204</v>
      </c>
      <c r="M229" s="31">
        <f>929</f>
        <v>929</v>
      </c>
      <c r="N229" s="32" t="s">
        <v>1212</v>
      </c>
      <c r="O229" s="31">
        <f>890</f>
        <v>890</v>
      </c>
      <c r="P229" s="32" t="s">
        <v>738</v>
      </c>
      <c r="Q229" s="31">
        <f>908</f>
        <v>908</v>
      </c>
      <c r="R229" s="32" t="s">
        <v>661</v>
      </c>
      <c r="S229" s="33">
        <f>908.2</f>
        <v>908.2</v>
      </c>
      <c r="T229" s="30">
        <f>43948</f>
        <v>43948</v>
      </c>
      <c r="U229" s="30" t="str">
        <f>"－"</f>
        <v>－</v>
      </c>
      <c r="V229" s="30">
        <f>40064188</f>
        <v>40064188</v>
      </c>
      <c r="W229" s="30" t="str">
        <f>"－"</f>
        <v>－</v>
      </c>
      <c r="X229" s="34">
        <f>20</f>
        <v>20</v>
      </c>
    </row>
    <row r="230" spans="1:24">
      <c r="A230" s="25" t="s">
        <v>1219</v>
      </c>
      <c r="B230" s="25" t="s">
        <v>1010</v>
      </c>
      <c r="C230" s="25" t="s">
        <v>1009</v>
      </c>
      <c r="D230" s="25" t="s">
        <v>1008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975</f>
        <v>975</v>
      </c>
      <c r="L230" s="32" t="s">
        <v>1204</v>
      </c>
      <c r="M230" s="31">
        <f>999</f>
        <v>999</v>
      </c>
      <c r="N230" s="32" t="s">
        <v>1075</v>
      </c>
      <c r="O230" s="31">
        <f>933</f>
        <v>933</v>
      </c>
      <c r="P230" s="32" t="s">
        <v>1220</v>
      </c>
      <c r="Q230" s="31">
        <f>970</f>
        <v>970</v>
      </c>
      <c r="R230" s="32" t="s">
        <v>661</v>
      </c>
      <c r="S230" s="33">
        <f>962.05</f>
        <v>962.05</v>
      </c>
      <c r="T230" s="30">
        <f>40908</f>
        <v>40908</v>
      </c>
      <c r="U230" s="30">
        <f>1</f>
        <v>1</v>
      </c>
      <c r="V230" s="30">
        <f>39472171</f>
        <v>39472171</v>
      </c>
      <c r="W230" s="30">
        <f>963</f>
        <v>963</v>
      </c>
      <c r="X230" s="34">
        <f>20</f>
        <v>20</v>
      </c>
    </row>
    <row r="231" spans="1:24">
      <c r="A231" s="25" t="s">
        <v>1219</v>
      </c>
      <c r="B231" s="25" t="s">
        <v>1125</v>
      </c>
      <c r="C231" s="25" t="s">
        <v>1126</v>
      </c>
      <c r="D231" s="25" t="s">
        <v>1127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1495</f>
        <v>1495</v>
      </c>
      <c r="L231" s="32" t="s">
        <v>1204</v>
      </c>
      <c r="M231" s="31">
        <f>1521</f>
        <v>1521</v>
      </c>
      <c r="N231" s="32" t="s">
        <v>1075</v>
      </c>
      <c r="O231" s="31">
        <f>1438</f>
        <v>1438</v>
      </c>
      <c r="P231" s="32" t="s">
        <v>1206</v>
      </c>
      <c r="Q231" s="31">
        <f>1495</f>
        <v>1495</v>
      </c>
      <c r="R231" s="32" t="s">
        <v>661</v>
      </c>
      <c r="S231" s="33">
        <f>1481.95</f>
        <v>1481.95</v>
      </c>
      <c r="T231" s="30">
        <f>191068</f>
        <v>191068</v>
      </c>
      <c r="U231" s="30">
        <f>30000</f>
        <v>30000</v>
      </c>
      <c r="V231" s="30">
        <f>282485794</f>
        <v>282485794</v>
      </c>
      <c r="W231" s="30">
        <f>43664520</f>
        <v>43664520</v>
      </c>
      <c r="X231" s="34">
        <f>20</f>
        <v>20</v>
      </c>
    </row>
    <row r="232" spans="1:24">
      <c r="A232" s="25" t="s">
        <v>1219</v>
      </c>
      <c r="B232" s="25" t="s">
        <v>1139</v>
      </c>
      <c r="C232" s="25" t="s">
        <v>1138</v>
      </c>
      <c r="D232" s="25" t="s">
        <v>1137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10</v>
      </c>
      <c r="K232" s="31">
        <f>145.6</f>
        <v>145.6</v>
      </c>
      <c r="L232" s="32" t="s">
        <v>1204</v>
      </c>
      <c r="M232" s="31">
        <f>147</f>
        <v>147</v>
      </c>
      <c r="N232" s="32" t="s">
        <v>1205</v>
      </c>
      <c r="O232" s="31">
        <f>128.4</f>
        <v>128.4</v>
      </c>
      <c r="P232" s="32" t="s">
        <v>661</v>
      </c>
      <c r="Q232" s="31">
        <f>128.5</f>
        <v>128.5</v>
      </c>
      <c r="R232" s="32" t="s">
        <v>661</v>
      </c>
      <c r="S232" s="33">
        <f>140.57</f>
        <v>140.57</v>
      </c>
      <c r="T232" s="30">
        <f>4638100</f>
        <v>4638100</v>
      </c>
      <c r="U232" s="30">
        <f>100000</f>
        <v>100000</v>
      </c>
      <c r="V232" s="30">
        <f>648936935</f>
        <v>648936935</v>
      </c>
      <c r="W232" s="30">
        <f>13797780</f>
        <v>13797780</v>
      </c>
      <c r="X232" s="34">
        <f>20</f>
        <v>20</v>
      </c>
    </row>
    <row r="233" spans="1:24">
      <c r="A233" s="25" t="s">
        <v>1219</v>
      </c>
      <c r="B233" s="25" t="s">
        <v>1136</v>
      </c>
      <c r="C233" s="25" t="s">
        <v>1135</v>
      </c>
      <c r="D233" s="25" t="s">
        <v>1134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10</v>
      </c>
      <c r="K233" s="31">
        <f>427.5</f>
        <v>427.5</v>
      </c>
      <c r="L233" s="32" t="s">
        <v>1204</v>
      </c>
      <c r="M233" s="31">
        <f>427.5</f>
        <v>427.5</v>
      </c>
      <c r="N233" s="32" t="s">
        <v>1204</v>
      </c>
      <c r="O233" s="31">
        <f>365</f>
        <v>365</v>
      </c>
      <c r="P233" s="32" t="s">
        <v>661</v>
      </c>
      <c r="Q233" s="31">
        <f>381.2</f>
        <v>381.2</v>
      </c>
      <c r="R233" s="32" t="s">
        <v>661</v>
      </c>
      <c r="S233" s="33">
        <f>399.85</f>
        <v>399.85</v>
      </c>
      <c r="T233" s="30">
        <f>1333240</f>
        <v>1333240</v>
      </c>
      <c r="U233" s="30" t="str">
        <f>"－"</f>
        <v>－</v>
      </c>
      <c r="V233" s="30">
        <f>507485384</f>
        <v>507485384</v>
      </c>
      <c r="W233" s="30" t="str">
        <f>"－"</f>
        <v>－</v>
      </c>
      <c r="X233" s="34">
        <f>20</f>
        <v>20</v>
      </c>
    </row>
    <row r="234" spans="1:24">
      <c r="A234" s="25" t="s">
        <v>1219</v>
      </c>
      <c r="B234" s="25" t="s">
        <v>844</v>
      </c>
      <c r="C234" s="25" t="s">
        <v>845</v>
      </c>
      <c r="D234" s="25" t="s">
        <v>846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10</v>
      </c>
      <c r="K234" s="31">
        <f>2885.5</f>
        <v>2885.5</v>
      </c>
      <c r="L234" s="32" t="s">
        <v>1204</v>
      </c>
      <c r="M234" s="31">
        <f>2885.5</f>
        <v>2885.5</v>
      </c>
      <c r="N234" s="32" t="s">
        <v>1204</v>
      </c>
      <c r="O234" s="31">
        <f>2643.5</f>
        <v>2643.5</v>
      </c>
      <c r="P234" s="32" t="s">
        <v>1080</v>
      </c>
      <c r="Q234" s="31">
        <f>2693</f>
        <v>2693</v>
      </c>
      <c r="R234" s="32" t="s">
        <v>661</v>
      </c>
      <c r="S234" s="33">
        <f>2750.33</f>
        <v>2750.33</v>
      </c>
      <c r="T234" s="30">
        <f>123450</f>
        <v>123450</v>
      </c>
      <c r="U234" s="30" t="str">
        <f>"－"</f>
        <v>－</v>
      </c>
      <c r="V234" s="30">
        <f>337048305</f>
        <v>337048305</v>
      </c>
      <c r="W234" s="30" t="str">
        <f>"－"</f>
        <v>－</v>
      </c>
      <c r="X234" s="34">
        <f>20</f>
        <v>20</v>
      </c>
    </row>
    <row r="235" spans="1:24">
      <c r="A235" s="25" t="s">
        <v>1219</v>
      </c>
      <c r="B235" s="25" t="s">
        <v>847</v>
      </c>
      <c r="C235" s="25" t="s">
        <v>848</v>
      </c>
      <c r="D235" s="25" t="s">
        <v>849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</v>
      </c>
      <c r="K235" s="31">
        <f>1276</f>
        <v>1276</v>
      </c>
      <c r="L235" s="32" t="s">
        <v>1204</v>
      </c>
      <c r="M235" s="31">
        <f>1280</f>
        <v>1280</v>
      </c>
      <c r="N235" s="32" t="s">
        <v>1204</v>
      </c>
      <c r="O235" s="31">
        <f>1204</f>
        <v>1204</v>
      </c>
      <c r="P235" s="32" t="s">
        <v>1211</v>
      </c>
      <c r="Q235" s="31">
        <f>1222</f>
        <v>1222</v>
      </c>
      <c r="R235" s="32" t="s">
        <v>661</v>
      </c>
      <c r="S235" s="33">
        <f>1237.1</f>
        <v>1237.0999999999999</v>
      </c>
      <c r="T235" s="30">
        <f>1016651</f>
        <v>1016651</v>
      </c>
      <c r="U235" s="30">
        <f>400722</f>
        <v>400722</v>
      </c>
      <c r="V235" s="30">
        <f>1265970911</f>
        <v>1265970911</v>
      </c>
      <c r="W235" s="30">
        <f>501338232</f>
        <v>501338232</v>
      </c>
      <c r="X235" s="34">
        <f>20</f>
        <v>20</v>
      </c>
    </row>
    <row r="236" spans="1:24">
      <c r="A236" s="25" t="s">
        <v>1219</v>
      </c>
      <c r="B236" s="25" t="s">
        <v>853</v>
      </c>
      <c r="C236" s="25" t="s">
        <v>854</v>
      </c>
      <c r="D236" s="25" t="s">
        <v>855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86430</f>
        <v>86430</v>
      </c>
      <c r="L236" s="32" t="s">
        <v>1204</v>
      </c>
      <c r="M236" s="31">
        <f>86560</f>
        <v>86560</v>
      </c>
      <c r="N236" s="32" t="s">
        <v>1204</v>
      </c>
      <c r="O236" s="31">
        <f>73670</f>
        <v>73670</v>
      </c>
      <c r="P236" s="32" t="s">
        <v>661</v>
      </c>
      <c r="Q236" s="31">
        <f>73800</f>
        <v>73800</v>
      </c>
      <c r="R236" s="32" t="s">
        <v>661</v>
      </c>
      <c r="S236" s="33">
        <f>79114</f>
        <v>79114</v>
      </c>
      <c r="T236" s="30">
        <f>41643</f>
        <v>41643</v>
      </c>
      <c r="U236" s="30" t="str">
        <f t="shared" ref="U236:U241" si="6">"－"</f>
        <v>－</v>
      </c>
      <c r="V236" s="30">
        <f>3264816780</f>
        <v>3264816780</v>
      </c>
      <c r="W236" s="30" t="str">
        <f t="shared" ref="W236:W241" si="7">"－"</f>
        <v>－</v>
      </c>
      <c r="X236" s="34">
        <f>20</f>
        <v>20</v>
      </c>
    </row>
    <row r="237" spans="1:24">
      <c r="A237" s="25" t="s">
        <v>1219</v>
      </c>
      <c r="B237" s="25" t="s">
        <v>856</v>
      </c>
      <c r="C237" s="25" t="s">
        <v>857</v>
      </c>
      <c r="D237" s="25" t="s">
        <v>858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6786</f>
        <v>6786</v>
      </c>
      <c r="L237" s="32" t="s">
        <v>1204</v>
      </c>
      <c r="M237" s="31">
        <f>7296</f>
        <v>7296</v>
      </c>
      <c r="N237" s="32" t="s">
        <v>661</v>
      </c>
      <c r="O237" s="31">
        <f>6762</f>
        <v>6762</v>
      </c>
      <c r="P237" s="32" t="s">
        <v>1204</v>
      </c>
      <c r="Q237" s="31">
        <f>7292</f>
        <v>7292</v>
      </c>
      <c r="R237" s="32" t="s">
        <v>661</v>
      </c>
      <c r="S237" s="33">
        <f>7093.8</f>
        <v>7093.8</v>
      </c>
      <c r="T237" s="30">
        <f>64998</f>
        <v>64998</v>
      </c>
      <c r="U237" s="30" t="str">
        <f t="shared" si="6"/>
        <v>－</v>
      </c>
      <c r="V237" s="30">
        <f>461583980</f>
        <v>461583980</v>
      </c>
      <c r="W237" s="30" t="str">
        <f t="shared" si="7"/>
        <v>－</v>
      </c>
      <c r="X237" s="34">
        <f>20</f>
        <v>20</v>
      </c>
    </row>
    <row r="238" spans="1:24">
      <c r="A238" s="25" t="s">
        <v>1219</v>
      </c>
      <c r="B238" s="25" t="s">
        <v>860</v>
      </c>
      <c r="C238" s="25" t="s">
        <v>861</v>
      </c>
      <c r="D238" s="25" t="s">
        <v>862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10</v>
      </c>
      <c r="K238" s="31">
        <f>18690</f>
        <v>18690</v>
      </c>
      <c r="L238" s="32" t="s">
        <v>1204</v>
      </c>
      <c r="M238" s="31">
        <f>18730</f>
        <v>18730</v>
      </c>
      <c r="N238" s="32" t="s">
        <v>1204</v>
      </c>
      <c r="O238" s="31">
        <f>15970</f>
        <v>15970</v>
      </c>
      <c r="P238" s="32" t="s">
        <v>661</v>
      </c>
      <c r="Q238" s="31">
        <f>16040</f>
        <v>16040</v>
      </c>
      <c r="R238" s="32" t="s">
        <v>661</v>
      </c>
      <c r="S238" s="33">
        <f>17057.5</f>
        <v>17057.5</v>
      </c>
      <c r="T238" s="30">
        <f>150090</f>
        <v>150090</v>
      </c>
      <c r="U238" s="30" t="str">
        <f t="shared" si="6"/>
        <v>－</v>
      </c>
      <c r="V238" s="30">
        <f>2526944700</f>
        <v>2526944700</v>
      </c>
      <c r="W238" s="30" t="str">
        <f t="shared" si="7"/>
        <v>－</v>
      </c>
      <c r="X238" s="34">
        <f>20</f>
        <v>20</v>
      </c>
    </row>
    <row r="239" spans="1:24">
      <c r="A239" s="25" t="s">
        <v>1219</v>
      </c>
      <c r="B239" s="25" t="s">
        <v>1133</v>
      </c>
      <c r="C239" s="25" t="s">
        <v>1132</v>
      </c>
      <c r="D239" s="25" t="s">
        <v>1131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1064</f>
        <v>1064</v>
      </c>
      <c r="L239" s="32" t="s">
        <v>1204</v>
      </c>
      <c r="M239" s="31">
        <f>1064</f>
        <v>1064</v>
      </c>
      <c r="N239" s="32" t="s">
        <v>1204</v>
      </c>
      <c r="O239" s="31">
        <f>951</f>
        <v>951</v>
      </c>
      <c r="P239" s="32" t="s">
        <v>1220</v>
      </c>
      <c r="Q239" s="31">
        <f>965</f>
        <v>965</v>
      </c>
      <c r="R239" s="32" t="s">
        <v>661</v>
      </c>
      <c r="S239" s="33">
        <f>1014.9</f>
        <v>1014.9</v>
      </c>
      <c r="T239" s="30">
        <f>324138</f>
        <v>324138</v>
      </c>
      <c r="U239" s="30" t="str">
        <f t="shared" si="6"/>
        <v>－</v>
      </c>
      <c r="V239" s="30">
        <f>327505234</f>
        <v>327505234</v>
      </c>
      <c r="W239" s="30" t="str">
        <f t="shared" si="7"/>
        <v>－</v>
      </c>
      <c r="X239" s="34">
        <f>20</f>
        <v>20</v>
      </c>
    </row>
    <row r="240" spans="1:24">
      <c r="A240" s="25" t="s">
        <v>1219</v>
      </c>
      <c r="B240" s="25" t="s">
        <v>863</v>
      </c>
      <c r="C240" s="25" t="s">
        <v>864</v>
      </c>
      <c r="D240" s="25" t="s">
        <v>865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10</v>
      </c>
      <c r="K240" s="31">
        <f>6827</f>
        <v>6827</v>
      </c>
      <c r="L240" s="32" t="s">
        <v>1204</v>
      </c>
      <c r="M240" s="31">
        <f>7581</f>
        <v>7581</v>
      </c>
      <c r="N240" s="32" t="s">
        <v>1206</v>
      </c>
      <c r="O240" s="31">
        <f>6827</f>
        <v>6827</v>
      </c>
      <c r="P240" s="32" t="s">
        <v>1204</v>
      </c>
      <c r="Q240" s="31">
        <f>7361</f>
        <v>7361</v>
      </c>
      <c r="R240" s="32" t="s">
        <v>661</v>
      </c>
      <c r="S240" s="33">
        <f>7165.05</f>
        <v>7165.05</v>
      </c>
      <c r="T240" s="30">
        <f>45900</f>
        <v>45900</v>
      </c>
      <c r="U240" s="30" t="str">
        <f t="shared" si="6"/>
        <v>－</v>
      </c>
      <c r="V240" s="30">
        <f>329890100</f>
        <v>329890100</v>
      </c>
      <c r="W240" s="30" t="str">
        <f t="shared" si="7"/>
        <v>－</v>
      </c>
      <c r="X240" s="34">
        <f>20</f>
        <v>20</v>
      </c>
    </row>
    <row r="241" spans="1:24">
      <c r="A241" s="25" t="s">
        <v>1219</v>
      </c>
      <c r="B241" s="25" t="s">
        <v>866</v>
      </c>
      <c r="C241" s="25" t="s">
        <v>867</v>
      </c>
      <c r="D241" s="25" t="s">
        <v>868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10</v>
      </c>
      <c r="K241" s="31">
        <f>740.1</f>
        <v>740.1</v>
      </c>
      <c r="L241" s="32" t="s">
        <v>1204</v>
      </c>
      <c r="M241" s="31">
        <f>740.1</f>
        <v>740.1</v>
      </c>
      <c r="N241" s="32" t="s">
        <v>1204</v>
      </c>
      <c r="O241" s="31">
        <f>678</f>
        <v>678</v>
      </c>
      <c r="P241" s="32" t="s">
        <v>1080</v>
      </c>
      <c r="Q241" s="31">
        <f>689.1</f>
        <v>689.1</v>
      </c>
      <c r="R241" s="32" t="s">
        <v>661</v>
      </c>
      <c r="S241" s="33">
        <f>704</f>
        <v>704</v>
      </c>
      <c r="T241" s="30">
        <f>610240</f>
        <v>610240</v>
      </c>
      <c r="U241" s="30" t="str">
        <f t="shared" si="6"/>
        <v>－</v>
      </c>
      <c r="V241" s="30">
        <f>425083578</f>
        <v>425083578</v>
      </c>
      <c r="W241" s="30" t="str">
        <f t="shared" si="7"/>
        <v>－</v>
      </c>
      <c r="X241" s="34">
        <f>20</f>
        <v>20</v>
      </c>
    </row>
    <row r="242" spans="1:24">
      <c r="A242" s="25" t="s">
        <v>1219</v>
      </c>
      <c r="B242" s="25" t="s">
        <v>869</v>
      </c>
      <c r="C242" s="25" t="s">
        <v>870</v>
      </c>
      <c r="D242" s="25" t="s">
        <v>871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10</v>
      </c>
      <c r="K242" s="31">
        <f>596</f>
        <v>596</v>
      </c>
      <c r="L242" s="32" t="s">
        <v>1204</v>
      </c>
      <c r="M242" s="31">
        <f>596</f>
        <v>596</v>
      </c>
      <c r="N242" s="32" t="s">
        <v>1204</v>
      </c>
      <c r="O242" s="31">
        <f>554</f>
        <v>554</v>
      </c>
      <c r="P242" s="32" t="s">
        <v>1080</v>
      </c>
      <c r="Q242" s="31">
        <f>559.6</f>
        <v>559.6</v>
      </c>
      <c r="R242" s="32" t="s">
        <v>661</v>
      </c>
      <c r="S242" s="33">
        <f>570.82</f>
        <v>570.82000000000005</v>
      </c>
      <c r="T242" s="30">
        <f>536230</f>
        <v>536230</v>
      </c>
      <c r="U242" s="30">
        <f>355000</f>
        <v>355000</v>
      </c>
      <c r="V242" s="30">
        <f>303706853</f>
        <v>303706853</v>
      </c>
      <c r="W242" s="30">
        <f>200251867</f>
        <v>200251867</v>
      </c>
      <c r="X242" s="34">
        <f>20</f>
        <v>20</v>
      </c>
    </row>
    <row r="243" spans="1:24">
      <c r="A243" s="25" t="s">
        <v>1219</v>
      </c>
      <c r="B243" s="25" t="s">
        <v>906</v>
      </c>
      <c r="C243" s="25" t="s">
        <v>907</v>
      </c>
      <c r="D243" s="25" t="s">
        <v>908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</v>
      </c>
      <c r="K243" s="31">
        <f>1726</f>
        <v>1726</v>
      </c>
      <c r="L243" s="32" t="s">
        <v>1204</v>
      </c>
      <c r="M243" s="31">
        <f>1733</f>
        <v>1733</v>
      </c>
      <c r="N243" s="32" t="s">
        <v>1204</v>
      </c>
      <c r="O243" s="31">
        <f>1492</f>
        <v>1492</v>
      </c>
      <c r="P243" s="32" t="s">
        <v>661</v>
      </c>
      <c r="Q243" s="31">
        <f>1500</f>
        <v>1500</v>
      </c>
      <c r="R243" s="32" t="s">
        <v>661</v>
      </c>
      <c r="S243" s="33">
        <f>1631.25</f>
        <v>1631.25</v>
      </c>
      <c r="T243" s="30">
        <f>3760888</f>
        <v>3760888</v>
      </c>
      <c r="U243" s="30">
        <f>200161</f>
        <v>200161</v>
      </c>
      <c r="V243" s="30">
        <f>6050354750</f>
        <v>6050354750</v>
      </c>
      <c r="W243" s="30">
        <f>316956401</f>
        <v>316956401</v>
      </c>
      <c r="X243" s="34">
        <f>20</f>
        <v>20</v>
      </c>
    </row>
    <row r="244" spans="1:24">
      <c r="A244" s="25" t="s">
        <v>1219</v>
      </c>
      <c r="B244" s="25" t="s">
        <v>909</v>
      </c>
      <c r="C244" s="25" t="s">
        <v>910</v>
      </c>
      <c r="D244" s="25" t="s">
        <v>911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</v>
      </c>
      <c r="K244" s="31">
        <f>2328</f>
        <v>2328</v>
      </c>
      <c r="L244" s="32" t="s">
        <v>1204</v>
      </c>
      <c r="M244" s="31">
        <f>2330</f>
        <v>2330</v>
      </c>
      <c r="N244" s="32" t="s">
        <v>1204</v>
      </c>
      <c r="O244" s="31">
        <f>2031</f>
        <v>2031</v>
      </c>
      <c r="P244" s="32" t="s">
        <v>1220</v>
      </c>
      <c r="Q244" s="31">
        <f>2065</f>
        <v>2065</v>
      </c>
      <c r="R244" s="32" t="s">
        <v>661</v>
      </c>
      <c r="S244" s="33">
        <f>2189.85</f>
        <v>2189.85</v>
      </c>
      <c r="T244" s="30">
        <f>5861823</f>
        <v>5861823</v>
      </c>
      <c r="U244" s="30">
        <f>51832</f>
        <v>51832</v>
      </c>
      <c r="V244" s="30">
        <f>12765430500</f>
        <v>12765430500</v>
      </c>
      <c r="W244" s="30">
        <f>115730971</f>
        <v>115730971</v>
      </c>
      <c r="X244" s="34">
        <f>20</f>
        <v>20</v>
      </c>
    </row>
    <row r="245" spans="1:24">
      <c r="A245" s="25" t="s">
        <v>1219</v>
      </c>
      <c r="B245" s="25" t="s">
        <v>912</v>
      </c>
      <c r="C245" s="25" t="s">
        <v>913</v>
      </c>
      <c r="D245" s="25" t="s">
        <v>914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10</v>
      </c>
      <c r="K245" s="31">
        <f>746.9</f>
        <v>746.9</v>
      </c>
      <c r="L245" s="32" t="s">
        <v>1209</v>
      </c>
      <c r="M245" s="31">
        <f>772</f>
        <v>772</v>
      </c>
      <c r="N245" s="32" t="s">
        <v>1085</v>
      </c>
      <c r="O245" s="31">
        <f>720.3</f>
        <v>720.3</v>
      </c>
      <c r="P245" s="32" t="s">
        <v>1206</v>
      </c>
      <c r="Q245" s="31">
        <f>750.8</f>
        <v>750.8</v>
      </c>
      <c r="R245" s="32" t="s">
        <v>661</v>
      </c>
      <c r="S245" s="33">
        <f>737.14</f>
        <v>737.14</v>
      </c>
      <c r="T245" s="30">
        <f>4560</f>
        <v>4560</v>
      </c>
      <c r="U245" s="30">
        <f>20</f>
        <v>20</v>
      </c>
      <c r="V245" s="30">
        <f>3347149</f>
        <v>3347149</v>
      </c>
      <c r="W245" s="30">
        <f>14635</f>
        <v>14635</v>
      </c>
      <c r="X245" s="34">
        <f>16</f>
        <v>16</v>
      </c>
    </row>
    <row r="246" spans="1:24">
      <c r="A246" s="25" t="s">
        <v>1219</v>
      </c>
      <c r="B246" s="25" t="s">
        <v>915</v>
      </c>
      <c r="C246" s="25" t="s">
        <v>916</v>
      </c>
      <c r="D246" s="25" t="s">
        <v>917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10</v>
      </c>
      <c r="K246" s="31">
        <f>749.6</f>
        <v>749.6</v>
      </c>
      <c r="L246" s="32" t="s">
        <v>1209</v>
      </c>
      <c r="M246" s="31">
        <f>818.7</f>
        <v>818.7</v>
      </c>
      <c r="N246" s="32" t="s">
        <v>1085</v>
      </c>
      <c r="O246" s="31">
        <f>729.9</f>
        <v>729.9</v>
      </c>
      <c r="P246" s="32" t="s">
        <v>738</v>
      </c>
      <c r="Q246" s="31">
        <f>741.4</f>
        <v>741.4</v>
      </c>
      <c r="R246" s="32" t="s">
        <v>661</v>
      </c>
      <c r="S246" s="33">
        <f>735.35</f>
        <v>735.35</v>
      </c>
      <c r="T246" s="30">
        <f>304240</f>
        <v>304240</v>
      </c>
      <c r="U246" s="30" t="str">
        <f>"－"</f>
        <v>－</v>
      </c>
      <c r="V246" s="30">
        <f>222287027</f>
        <v>222287027</v>
      </c>
      <c r="W246" s="30" t="str">
        <f>"－"</f>
        <v>－</v>
      </c>
      <c r="X246" s="34">
        <f>11</f>
        <v>11</v>
      </c>
    </row>
    <row r="247" spans="1:24">
      <c r="A247" s="25" t="s">
        <v>1219</v>
      </c>
      <c r="B247" s="25" t="s">
        <v>924</v>
      </c>
      <c r="C247" s="25" t="s">
        <v>925</v>
      </c>
      <c r="D247" s="25" t="s">
        <v>926</v>
      </c>
      <c r="E247" s="26" t="s">
        <v>1221</v>
      </c>
      <c r="F247" s="27" t="s">
        <v>1222</v>
      </c>
      <c r="G247" s="28" t="s">
        <v>43</v>
      </c>
      <c r="H247" s="29"/>
      <c r="I247" s="29" t="s">
        <v>44</v>
      </c>
      <c r="J247" s="30">
        <v>1</v>
      </c>
      <c r="K247" s="31">
        <f>16980</f>
        <v>16980</v>
      </c>
      <c r="L247" s="32" t="s">
        <v>1204</v>
      </c>
      <c r="M247" s="31">
        <f>16980</f>
        <v>16980</v>
      </c>
      <c r="N247" s="32" t="s">
        <v>1204</v>
      </c>
      <c r="O247" s="31">
        <f>15260</f>
        <v>15260</v>
      </c>
      <c r="P247" s="32" t="s">
        <v>1220</v>
      </c>
      <c r="Q247" s="31">
        <f>15805</f>
        <v>15805</v>
      </c>
      <c r="R247" s="32" t="s">
        <v>1207</v>
      </c>
      <c r="S247" s="33">
        <f>15937.31</f>
        <v>15937.31</v>
      </c>
      <c r="T247" s="30">
        <f>183647</f>
        <v>183647</v>
      </c>
      <c r="U247" s="30" t="str">
        <f>"－"</f>
        <v>－</v>
      </c>
      <c r="V247" s="30">
        <f>2943500050</f>
        <v>2943500050</v>
      </c>
      <c r="W247" s="30" t="str">
        <f>"－"</f>
        <v>－</v>
      </c>
      <c r="X247" s="34">
        <f>13</f>
        <v>13</v>
      </c>
    </row>
    <row r="248" spans="1:24">
      <c r="A248" s="25" t="s">
        <v>1219</v>
      </c>
      <c r="B248" s="25" t="s">
        <v>924</v>
      </c>
      <c r="C248" s="25" t="s">
        <v>925</v>
      </c>
      <c r="D248" s="25" t="s">
        <v>926</v>
      </c>
      <c r="E248" s="26" t="s">
        <v>1221</v>
      </c>
      <c r="F248" s="27" t="s">
        <v>1222</v>
      </c>
      <c r="G248" s="28" t="s">
        <v>43</v>
      </c>
      <c r="H248" s="29"/>
      <c r="I248" s="29" t="s">
        <v>44</v>
      </c>
      <c r="J248" s="30">
        <v>1</v>
      </c>
      <c r="K248" s="31">
        <f>1558</f>
        <v>1558</v>
      </c>
      <c r="L248" s="32" t="s">
        <v>1076</v>
      </c>
      <c r="M248" s="31">
        <f>1632</f>
        <v>1632</v>
      </c>
      <c r="N248" s="32" t="s">
        <v>1212</v>
      </c>
      <c r="O248" s="31">
        <f>1545</f>
        <v>1545</v>
      </c>
      <c r="P248" s="32" t="s">
        <v>661</v>
      </c>
      <c r="Q248" s="31">
        <f>1546</f>
        <v>1546</v>
      </c>
      <c r="R248" s="32" t="s">
        <v>661</v>
      </c>
      <c r="S248" s="33">
        <f>1601.71</f>
        <v>1601.71</v>
      </c>
      <c r="T248" s="30">
        <f>484367</f>
        <v>484367</v>
      </c>
      <c r="U248" s="30">
        <f>1</f>
        <v>1</v>
      </c>
      <c r="V248" s="30">
        <f>775259614</f>
        <v>775259614</v>
      </c>
      <c r="W248" s="30">
        <f>1611</f>
        <v>1611</v>
      </c>
      <c r="X248" s="34">
        <f>7</f>
        <v>7</v>
      </c>
    </row>
    <row r="249" spans="1:24">
      <c r="A249" s="25" t="s">
        <v>1219</v>
      </c>
      <c r="B249" s="25" t="s">
        <v>927</v>
      </c>
      <c r="C249" s="25" t="s">
        <v>928</v>
      </c>
      <c r="D249" s="25" t="s">
        <v>929</v>
      </c>
      <c r="E249" s="26" t="s">
        <v>1221</v>
      </c>
      <c r="F249" s="27" t="s">
        <v>1222</v>
      </c>
      <c r="G249" s="28" t="s">
        <v>43</v>
      </c>
      <c r="H249" s="29"/>
      <c r="I249" s="29" t="s">
        <v>44</v>
      </c>
      <c r="J249" s="30">
        <v>1</v>
      </c>
      <c r="K249" s="31">
        <f>45320</f>
        <v>45320</v>
      </c>
      <c r="L249" s="32" t="s">
        <v>1204</v>
      </c>
      <c r="M249" s="31">
        <f>45350</f>
        <v>45350</v>
      </c>
      <c r="N249" s="32" t="s">
        <v>1204</v>
      </c>
      <c r="O249" s="31">
        <f>41920</f>
        <v>41920</v>
      </c>
      <c r="P249" s="32" t="s">
        <v>1080</v>
      </c>
      <c r="Q249" s="31">
        <f>42400</f>
        <v>42400</v>
      </c>
      <c r="R249" s="32" t="s">
        <v>1207</v>
      </c>
      <c r="S249" s="33">
        <f>43187.69</f>
        <v>43187.69</v>
      </c>
      <c r="T249" s="30">
        <f>64974</f>
        <v>64974</v>
      </c>
      <c r="U249" s="30">
        <f>700</f>
        <v>700</v>
      </c>
      <c r="V249" s="30">
        <f>2820780350</f>
        <v>2820780350</v>
      </c>
      <c r="W249" s="30">
        <f>30581000</f>
        <v>30581000</v>
      </c>
      <c r="X249" s="34">
        <f>13</f>
        <v>13</v>
      </c>
    </row>
    <row r="250" spans="1:24">
      <c r="A250" s="25" t="s">
        <v>1219</v>
      </c>
      <c r="B250" s="25" t="s">
        <v>927</v>
      </c>
      <c r="C250" s="25" t="s">
        <v>928</v>
      </c>
      <c r="D250" s="25" t="s">
        <v>929</v>
      </c>
      <c r="E250" s="26" t="s">
        <v>1221</v>
      </c>
      <c r="F250" s="27" t="s">
        <v>1222</v>
      </c>
      <c r="G250" s="28" t="s">
        <v>43</v>
      </c>
      <c r="H250" s="29"/>
      <c r="I250" s="29" t="s">
        <v>44</v>
      </c>
      <c r="J250" s="30">
        <v>1</v>
      </c>
      <c r="K250" s="31">
        <f>2165</f>
        <v>2165</v>
      </c>
      <c r="L250" s="32" t="s">
        <v>1076</v>
      </c>
      <c r="M250" s="31">
        <f>2203</f>
        <v>2203</v>
      </c>
      <c r="N250" s="32" t="s">
        <v>663</v>
      </c>
      <c r="O250" s="31">
        <f>2085</f>
        <v>2085</v>
      </c>
      <c r="P250" s="32" t="s">
        <v>661</v>
      </c>
      <c r="Q250" s="31">
        <f>2085</f>
        <v>2085</v>
      </c>
      <c r="R250" s="32" t="s">
        <v>661</v>
      </c>
      <c r="S250" s="33">
        <f>2149</f>
        <v>2149</v>
      </c>
      <c r="T250" s="30">
        <f>1950820</f>
        <v>1950820</v>
      </c>
      <c r="U250" s="30">
        <f>718115</f>
        <v>718115</v>
      </c>
      <c r="V250" s="30">
        <f>4138306076</f>
        <v>4138306076</v>
      </c>
      <c r="W250" s="30">
        <f>1499375871</f>
        <v>1499375871</v>
      </c>
      <c r="X250" s="34">
        <f>7</f>
        <v>7</v>
      </c>
    </row>
    <row r="251" spans="1:24">
      <c r="A251" s="25" t="s">
        <v>1219</v>
      </c>
      <c r="B251" s="25" t="s">
        <v>930</v>
      </c>
      <c r="C251" s="25" t="s">
        <v>931</v>
      </c>
      <c r="D251" s="25" t="s">
        <v>932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</v>
      </c>
      <c r="K251" s="31">
        <f>16660</f>
        <v>16660</v>
      </c>
      <c r="L251" s="32" t="s">
        <v>1204</v>
      </c>
      <c r="M251" s="31">
        <f>19335</f>
        <v>19335</v>
      </c>
      <c r="N251" s="32" t="s">
        <v>1080</v>
      </c>
      <c r="O251" s="31">
        <f>16610</f>
        <v>16610</v>
      </c>
      <c r="P251" s="32" t="s">
        <v>1204</v>
      </c>
      <c r="Q251" s="31">
        <f>19155</f>
        <v>19155</v>
      </c>
      <c r="R251" s="32" t="s">
        <v>661</v>
      </c>
      <c r="S251" s="33">
        <f>18154.75</f>
        <v>18154.75</v>
      </c>
      <c r="T251" s="30">
        <f>158903</f>
        <v>158903</v>
      </c>
      <c r="U251" s="30">
        <f>91</f>
        <v>91</v>
      </c>
      <c r="V251" s="30">
        <f>2923111820</f>
        <v>2923111820</v>
      </c>
      <c r="W251" s="30">
        <f>1667720</f>
        <v>1667720</v>
      </c>
      <c r="X251" s="34">
        <f>20</f>
        <v>20</v>
      </c>
    </row>
    <row r="252" spans="1:24">
      <c r="A252" s="25" t="s">
        <v>1219</v>
      </c>
      <c r="B252" s="25" t="s">
        <v>1130</v>
      </c>
      <c r="C252" s="25" t="s">
        <v>1129</v>
      </c>
      <c r="D252" s="25" t="s">
        <v>1128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</v>
      </c>
      <c r="K252" s="31">
        <f>859</f>
        <v>859</v>
      </c>
      <c r="L252" s="32" t="s">
        <v>1204</v>
      </c>
      <c r="M252" s="31">
        <f>874</f>
        <v>874</v>
      </c>
      <c r="N252" s="32" t="s">
        <v>1210</v>
      </c>
      <c r="O252" s="31">
        <f>757</f>
        <v>757</v>
      </c>
      <c r="P252" s="32" t="s">
        <v>1220</v>
      </c>
      <c r="Q252" s="31">
        <f>779</f>
        <v>779</v>
      </c>
      <c r="R252" s="32" t="s">
        <v>661</v>
      </c>
      <c r="S252" s="33">
        <f>822.9</f>
        <v>822.9</v>
      </c>
      <c r="T252" s="30">
        <f>312275</f>
        <v>312275</v>
      </c>
      <c r="U252" s="30">
        <f>39</f>
        <v>39</v>
      </c>
      <c r="V252" s="30">
        <f>254823622</f>
        <v>254823622</v>
      </c>
      <c r="W252" s="30">
        <f>31590</f>
        <v>31590</v>
      </c>
      <c r="X252" s="34">
        <f>20</f>
        <v>20</v>
      </c>
    </row>
    <row r="253" spans="1:24">
      <c r="A253" s="25" t="s">
        <v>1219</v>
      </c>
      <c r="B253" s="25" t="s">
        <v>933</v>
      </c>
      <c r="C253" s="25" t="s">
        <v>934</v>
      </c>
      <c r="D253" s="25" t="s">
        <v>935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10</v>
      </c>
      <c r="K253" s="31">
        <f>244.7</f>
        <v>244.7</v>
      </c>
      <c r="L253" s="32" t="s">
        <v>1204</v>
      </c>
      <c r="M253" s="31">
        <f>256.1</f>
        <v>256.10000000000002</v>
      </c>
      <c r="N253" s="32" t="s">
        <v>1210</v>
      </c>
      <c r="O253" s="31">
        <f>233.6</f>
        <v>233.6</v>
      </c>
      <c r="P253" s="32" t="s">
        <v>1220</v>
      </c>
      <c r="Q253" s="31">
        <f>237.5</f>
        <v>237.5</v>
      </c>
      <c r="R253" s="32" t="s">
        <v>661</v>
      </c>
      <c r="S253" s="33">
        <f>244.42</f>
        <v>244.42</v>
      </c>
      <c r="T253" s="30">
        <f>15590</f>
        <v>15590</v>
      </c>
      <c r="U253" s="30">
        <f>20</f>
        <v>20</v>
      </c>
      <c r="V253" s="30">
        <f>3799933</f>
        <v>3799933</v>
      </c>
      <c r="W253" s="30">
        <f>4837</f>
        <v>4837</v>
      </c>
      <c r="X253" s="34">
        <f>20</f>
        <v>20</v>
      </c>
    </row>
    <row r="254" spans="1:24">
      <c r="A254" s="25" t="s">
        <v>1219</v>
      </c>
      <c r="B254" s="25" t="s">
        <v>936</v>
      </c>
      <c r="C254" s="25" t="s">
        <v>937</v>
      </c>
      <c r="D254" s="25" t="s">
        <v>938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10</v>
      </c>
      <c r="K254" s="31">
        <f>789.9</f>
        <v>789.9</v>
      </c>
      <c r="L254" s="32" t="s">
        <v>1204</v>
      </c>
      <c r="M254" s="31">
        <f>819</f>
        <v>819</v>
      </c>
      <c r="N254" s="32" t="s">
        <v>1075</v>
      </c>
      <c r="O254" s="31">
        <f>789.9</f>
        <v>789.9</v>
      </c>
      <c r="P254" s="32" t="s">
        <v>1204</v>
      </c>
      <c r="Q254" s="31">
        <f>802</f>
        <v>802</v>
      </c>
      <c r="R254" s="32" t="s">
        <v>661</v>
      </c>
      <c r="S254" s="33">
        <f>805.61</f>
        <v>805.61</v>
      </c>
      <c r="T254" s="30">
        <f>1072630</f>
        <v>1072630</v>
      </c>
      <c r="U254" s="30" t="str">
        <f>"－"</f>
        <v>－</v>
      </c>
      <c r="V254" s="30">
        <f>864031281</f>
        <v>864031281</v>
      </c>
      <c r="W254" s="30" t="str">
        <f>"－"</f>
        <v>－</v>
      </c>
      <c r="X254" s="34">
        <f>20</f>
        <v>20</v>
      </c>
    </row>
    <row r="255" spans="1:24">
      <c r="A255" s="25" t="s">
        <v>1219</v>
      </c>
      <c r="B255" s="25" t="s">
        <v>954</v>
      </c>
      <c r="C255" s="25" t="s">
        <v>955</v>
      </c>
      <c r="D255" s="25" t="s">
        <v>956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1220</f>
        <v>1220</v>
      </c>
      <c r="L255" s="32" t="s">
        <v>1204</v>
      </c>
      <c r="M255" s="31">
        <f>1245</f>
        <v>1245</v>
      </c>
      <c r="N255" s="32" t="s">
        <v>1204</v>
      </c>
      <c r="O255" s="31">
        <f>1100</f>
        <v>1100</v>
      </c>
      <c r="P255" s="32" t="s">
        <v>1080</v>
      </c>
      <c r="Q255" s="31">
        <f>1107</f>
        <v>1107</v>
      </c>
      <c r="R255" s="32" t="s">
        <v>661</v>
      </c>
      <c r="S255" s="33">
        <f>1150.8</f>
        <v>1150.8</v>
      </c>
      <c r="T255" s="30">
        <f>382669</f>
        <v>382669</v>
      </c>
      <c r="U255" s="30">
        <f>9</f>
        <v>9</v>
      </c>
      <c r="V255" s="30">
        <f>435993419</f>
        <v>435993419</v>
      </c>
      <c r="W255" s="30">
        <f>9881</f>
        <v>9881</v>
      </c>
      <c r="X255" s="34">
        <f>20</f>
        <v>20</v>
      </c>
    </row>
    <row r="256" spans="1:24">
      <c r="A256" s="25" t="s">
        <v>1219</v>
      </c>
      <c r="B256" s="25" t="s">
        <v>957</v>
      </c>
      <c r="C256" s="25" t="s">
        <v>958</v>
      </c>
      <c r="D256" s="25" t="s">
        <v>959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</v>
      </c>
      <c r="K256" s="31">
        <f>1234</f>
        <v>1234</v>
      </c>
      <c r="L256" s="32" t="s">
        <v>1204</v>
      </c>
      <c r="M256" s="31">
        <f>1234</f>
        <v>1234</v>
      </c>
      <c r="N256" s="32" t="s">
        <v>1204</v>
      </c>
      <c r="O256" s="31">
        <f>1175</f>
        <v>1175</v>
      </c>
      <c r="P256" s="32" t="s">
        <v>1211</v>
      </c>
      <c r="Q256" s="31">
        <f>1189</f>
        <v>1189</v>
      </c>
      <c r="R256" s="32" t="s">
        <v>661</v>
      </c>
      <c r="S256" s="33">
        <f>1199.65</f>
        <v>1199.6500000000001</v>
      </c>
      <c r="T256" s="30">
        <f>279510</f>
        <v>279510</v>
      </c>
      <c r="U256" s="30">
        <f>19</f>
        <v>19</v>
      </c>
      <c r="V256" s="30">
        <f>336449523</f>
        <v>336449523</v>
      </c>
      <c r="W256" s="30">
        <f>22762</f>
        <v>22762</v>
      </c>
      <c r="X256" s="34">
        <f>20</f>
        <v>20</v>
      </c>
    </row>
    <row r="257" spans="1:24">
      <c r="A257" s="25" t="s">
        <v>1219</v>
      </c>
      <c r="B257" s="25" t="s">
        <v>960</v>
      </c>
      <c r="C257" s="25" t="s">
        <v>961</v>
      </c>
      <c r="D257" s="25" t="s">
        <v>962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</v>
      </c>
      <c r="K257" s="31">
        <f>990</f>
        <v>990</v>
      </c>
      <c r="L257" s="32" t="s">
        <v>1204</v>
      </c>
      <c r="M257" s="31">
        <f>1011</f>
        <v>1011</v>
      </c>
      <c r="N257" s="32" t="s">
        <v>1207</v>
      </c>
      <c r="O257" s="31">
        <f>925</f>
        <v>925</v>
      </c>
      <c r="P257" s="32" t="s">
        <v>1220</v>
      </c>
      <c r="Q257" s="31">
        <f>935</f>
        <v>935</v>
      </c>
      <c r="R257" s="32" t="s">
        <v>661</v>
      </c>
      <c r="S257" s="33">
        <f>967.35</f>
        <v>967.35</v>
      </c>
      <c r="T257" s="30">
        <f>3021476</f>
        <v>3021476</v>
      </c>
      <c r="U257" s="30" t="str">
        <f>"－"</f>
        <v>－</v>
      </c>
      <c r="V257" s="30">
        <f>2916203393</f>
        <v>2916203393</v>
      </c>
      <c r="W257" s="30" t="str">
        <f>"－"</f>
        <v>－</v>
      </c>
      <c r="X257" s="34">
        <f>20</f>
        <v>20</v>
      </c>
    </row>
    <row r="258" spans="1:24">
      <c r="A258" s="25" t="s">
        <v>1219</v>
      </c>
      <c r="B258" s="25" t="s">
        <v>1031</v>
      </c>
      <c r="C258" s="25" t="s">
        <v>1032</v>
      </c>
      <c r="D258" s="25" t="s">
        <v>1033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211.2</f>
        <v>211.2</v>
      </c>
      <c r="L258" s="32" t="s">
        <v>1204</v>
      </c>
      <c r="M258" s="31">
        <f>211.4</f>
        <v>211.4</v>
      </c>
      <c r="N258" s="32" t="s">
        <v>1208</v>
      </c>
      <c r="O258" s="31">
        <f>202.7</f>
        <v>202.7</v>
      </c>
      <c r="P258" s="32" t="s">
        <v>1211</v>
      </c>
      <c r="Q258" s="31">
        <f>206.5</f>
        <v>206.5</v>
      </c>
      <c r="R258" s="32" t="s">
        <v>661</v>
      </c>
      <c r="S258" s="33">
        <f>206.14</f>
        <v>206.14</v>
      </c>
      <c r="T258" s="30">
        <f>7140930</f>
        <v>7140930</v>
      </c>
      <c r="U258" s="30">
        <f>1830</f>
        <v>1830</v>
      </c>
      <c r="V258" s="30">
        <f>1468630524</f>
        <v>1468630524</v>
      </c>
      <c r="W258" s="30">
        <f>382613</f>
        <v>382613</v>
      </c>
      <c r="X258" s="34">
        <f>20</f>
        <v>20</v>
      </c>
    </row>
    <row r="259" spans="1:24">
      <c r="A259" s="25" t="s">
        <v>1219</v>
      </c>
      <c r="B259" s="25" t="s">
        <v>1034</v>
      </c>
      <c r="C259" s="25" t="s">
        <v>1035</v>
      </c>
      <c r="D259" s="25" t="s">
        <v>1036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213.9</f>
        <v>213.9</v>
      </c>
      <c r="L259" s="32" t="s">
        <v>1204</v>
      </c>
      <c r="M259" s="31">
        <f>213.9</f>
        <v>213.9</v>
      </c>
      <c r="N259" s="32" t="s">
        <v>1204</v>
      </c>
      <c r="O259" s="31">
        <f>206.4</f>
        <v>206.4</v>
      </c>
      <c r="P259" s="32" t="s">
        <v>738</v>
      </c>
      <c r="Q259" s="31">
        <f>210</f>
        <v>210</v>
      </c>
      <c r="R259" s="32" t="s">
        <v>661</v>
      </c>
      <c r="S259" s="33">
        <f>209.71</f>
        <v>209.71</v>
      </c>
      <c r="T259" s="30">
        <f>893450</f>
        <v>893450</v>
      </c>
      <c r="U259" s="30" t="str">
        <f>"－"</f>
        <v>－</v>
      </c>
      <c r="V259" s="30">
        <f>187397972</f>
        <v>187397972</v>
      </c>
      <c r="W259" s="30" t="str">
        <f>"－"</f>
        <v>－</v>
      </c>
      <c r="X259" s="34">
        <f>20</f>
        <v>20</v>
      </c>
    </row>
    <row r="260" spans="1:24">
      <c r="A260" s="25" t="s">
        <v>1219</v>
      </c>
      <c r="B260" s="25" t="s">
        <v>1037</v>
      </c>
      <c r="C260" s="25" t="s">
        <v>1038</v>
      </c>
      <c r="D260" s="25" t="s">
        <v>1039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215</f>
        <v>215</v>
      </c>
      <c r="L260" s="32" t="s">
        <v>1204</v>
      </c>
      <c r="M260" s="31">
        <f>219.5</f>
        <v>219.5</v>
      </c>
      <c r="N260" s="32" t="s">
        <v>1210</v>
      </c>
      <c r="O260" s="31">
        <f>207.3</f>
        <v>207.3</v>
      </c>
      <c r="P260" s="32" t="s">
        <v>1211</v>
      </c>
      <c r="Q260" s="31">
        <f>210.6</f>
        <v>210.6</v>
      </c>
      <c r="R260" s="32" t="s">
        <v>661</v>
      </c>
      <c r="S260" s="33">
        <f>210.51</f>
        <v>210.51</v>
      </c>
      <c r="T260" s="30">
        <f>502100</f>
        <v>502100</v>
      </c>
      <c r="U260" s="30">
        <f>420</f>
        <v>420</v>
      </c>
      <c r="V260" s="30">
        <f>106338468</f>
        <v>106338468</v>
      </c>
      <c r="W260" s="30">
        <f>85620</f>
        <v>85620</v>
      </c>
      <c r="X260" s="34">
        <f>20</f>
        <v>20</v>
      </c>
    </row>
    <row r="261" spans="1:24">
      <c r="A261" s="25" t="s">
        <v>1219</v>
      </c>
      <c r="B261" s="25" t="s">
        <v>1040</v>
      </c>
      <c r="C261" s="25" t="s">
        <v>1041</v>
      </c>
      <c r="D261" s="25" t="s">
        <v>1042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10</v>
      </c>
      <c r="K261" s="31">
        <f>217.8</f>
        <v>217.8</v>
      </c>
      <c r="L261" s="32" t="s">
        <v>1204</v>
      </c>
      <c r="M261" s="31">
        <f>219.5</f>
        <v>219.5</v>
      </c>
      <c r="N261" s="32" t="s">
        <v>1208</v>
      </c>
      <c r="O261" s="31">
        <f>208.8</f>
        <v>208.8</v>
      </c>
      <c r="P261" s="32" t="s">
        <v>1220</v>
      </c>
      <c r="Q261" s="31">
        <f>211.3</f>
        <v>211.3</v>
      </c>
      <c r="R261" s="32" t="s">
        <v>661</v>
      </c>
      <c r="S261" s="33">
        <f>213.18</f>
        <v>213.18</v>
      </c>
      <c r="T261" s="30">
        <f>1102450</f>
        <v>1102450</v>
      </c>
      <c r="U261" s="30" t="str">
        <f>"－"</f>
        <v>－</v>
      </c>
      <c r="V261" s="30">
        <f>235153457</f>
        <v>235153457</v>
      </c>
      <c r="W261" s="30" t="str">
        <f>"－"</f>
        <v>－</v>
      </c>
      <c r="X261" s="34">
        <f>20</f>
        <v>20</v>
      </c>
    </row>
    <row r="262" spans="1:24">
      <c r="A262" s="25" t="s">
        <v>1219</v>
      </c>
      <c r="B262" s="25" t="s">
        <v>1043</v>
      </c>
      <c r="C262" s="25" t="s">
        <v>1044</v>
      </c>
      <c r="D262" s="25" t="s">
        <v>1045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10</v>
      </c>
      <c r="K262" s="31">
        <f>195.5</f>
        <v>195.5</v>
      </c>
      <c r="L262" s="32" t="s">
        <v>1204</v>
      </c>
      <c r="M262" s="31">
        <f>195.5</f>
        <v>195.5</v>
      </c>
      <c r="N262" s="32" t="s">
        <v>1204</v>
      </c>
      <c r="O262" s="31">
        <f>189.2</f>
        <v>189.2</v>
      </c>
      <c r="P262" s="32" t="s">
        <v>1206</v>
      </c>
      <c r="Q262" s="31">
        <f>192.3</f>
        <v>192.3</v>
      </c>
      <c r="R262" s="32" t="s">
        <v>661</v>
      </c>
      <c r="S262" s="33">
        <f>191.4</f>
        <v>191.4</v>
      </c>
      <c r="T262" s="30">
        <f>12156750</f>
        <v>12156750</v>
      </c>
      <c r="U262" s="30">
        <f>10713110</f>
        <v>10713110</v>
      </c>
      <c r="V262" s="30">
        <f>2305315758</f>
        <v>2305315758</v>
      </c>
      <c r="W262" s="30">
        <f>2028334547</f>
        <v>2028334547</v>
      </c>
      <c r="X262" s="34">
        <f>20</f>
        <v>20</v>
      </c>
    </row>
    <row r="263" spans="1:24">
      <c r="A263" s="25" t="s">
        <v>1219</v>
      </c>
      <c r="B263" s="25" t="s">
        <v>1140</v>
      </c>
      <c r="C263" s="25" t="s">
        <v>1141</v>
      </c>
      <c r="D263" s="25" t="s">
        <v>1142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1804</f>
        <v>1804</v>
      </c>
      <c r="L263" s="32" t="s">
        <v>1204</v>
      </c>
      <c r="M263" s="31">
        <f>1966</f>
        <v>1966</v>
      </c>
      <c r="N263" s="32" t="s">
        <v>1210</v>
      </c>
      <c r="O263" s="31">
        <f>1746</f>
        <v>1746</v>
      </c>
      <c r="P263" s="32" t="s">
        <v>1220</v>
      </c>
      <c r="Q263" s="31">
        <f>1886</f>
        <v>1886</v>
      </c>
      <c r="R263" s="32" t="s">
        <v>661</v>
      </c>
      <c r="S263" s="33">
        <f>1842.6</f>
        <v>1842.6</v>
      </c>
      <c r="T263" s="30">
        <f>1320408</f>
        <v>1320408</v>
      </c>
      <c r="U263" s="30">
        <f>190649</f>
        <v>190649</v>
      </c>
      <c r="V263" s="30">
        <f>2429712946</f>
        <v>2429712946</v>
      </c>
      <c r="W263" s="30">
        <f>358742399</f>
        <v>358742399</v>
      </c>
      <c r="X263" s="34">
        <f>20</f>
        <v>20</v>
      </c>
    </row>
    <row r="264" spans="1:24">
      <c r="A264" s="25" t="s">
        <v>1219</v>
      </c>
      <c r="B264" s="25" t="s">
        <v>1143</v>
      </c>
      <c r="C264" s="25" t="s">
        <v>1144</v>
      </c>
      <c r="D264" s="25" t="s">
        <v>1145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</v>
      </c>
      <c r="K264" s="31">
        <f>1031</f>
        <v>1031</v>
      </c>
      <c r="L264" s="32" t="s">
        <v>1204</v>
      </c>
      <c r="M264" s="31">
        <f>1080</f>
        <v>1080</v>
      </c>
      <c r="N264" s="32" t="s">
        <v>1075</v>
      </c>
      <c r="O264" s="31">
        <f>1011</f>
        <v>1011</v>
      </c>
      <c r="P264" s="32" t="s">
        <v>1220</v>
      </c>
      <c r="Q264" s="31">
        <f>1016</f>
        <v>1016</v>
      </c>
      <c r="R264" s="32" t="s">
        <v>661</v>
      </c>
      <c r="S264" s="33">
        <f>1043.6</f>
        <v>1043.5999999999999</v>
      </c>
      <c r="T264" s="30">
        <f>14338</f>
        <v>14338</v>
      </c>
      <c r="U264" s="30" t="str">
        <f>"－"</f>
        <v>－</v>
      </c>
      <c r="V264" s="30">
        <f>14857838</f>
        <v>14857838</v>
      </c>
      <c r="W264" s="30" t="str">
        <f>"－"</f>
        <v>－</v>
      </c>
      <c r="X264" s="34">
        <f>20</f>
        <v>20</v>
      </c>
    </row>
    <row r="265" spans="1:24">
      <c r="A265" s="25" t="s">
        <v>1219</v>
      </c>
      <c r="B265" s="25" t="s">
        <v>1146</v>
      </c>
      <c r="C265" s="25" t="s">
        <v>1147</v>
      </c>
      <c r="D265" s="25" t="s">
        <v>1148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</v>
      </c>
      <c r="K265" s="31">
        <f>1014</f>
        <v>1014</v>
      </c>
      <c r="L265" s="32" t="s">
        <v>1204</v>
      </c>
      <c r="M265" s="31">
        <f>1064</f>
        <v>1064</v>
      </c>
      <c r="N265" s="32" t="s">
        <v>1212</v>
      </c>
      <c r="O265" s="31">
        <f>1010</f>
        <v>1010</v>
      </c>
      <c r="P265" s="32" t="s">
        <v>1220</v>
      </c>
      <c r="Q265" s="31">
        <f>1025</f>
        <v>1025</v>
      </c>
      <c r="R265" s="32" t="s">
        <v>661</v>
      </c>
      <c r="S265" s="33">
        <f>1036.4</f>
        <v>1036.4000000000001</v>
      </c>
      <c r="T265" s="30">
        <f>1292262</f>
        <v>1292262</v>
      </c>
      <c r="U265" s="30">
        <f>845700</f>
        <v>845700</v>
      </c>
      <c r="V265" s="30">
        <f>1320832275</f>
        <v>1320832275</v>
      </c>
      <c r="W265" s="30">
        <f>861763031</f>
        <v>861763031</v>
      </c>
      <c r="X265" s="34">
        <f>20</f>
        <v>20</v>
      </c>
    </row>
    <row r="266" spans="1:24">
      <c r="A266" s="25" t="s">
        <v>1219</v>
      </c>
      <c r="B266" s="25" t="s">
        <v>1149</v>
      </c>
      <c r="C266" s="25" t="s">
        <v>1150</v>
      </c>
      <c r="D266" s="25" t="s">
        <v>1151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483.5</f>
        <v>483.5</v>
      </c>
      <c r="L266" s="32" t="s">
        <v>1204</v>
      </c>
      <c r="M266" s="31">
        <f>483.5</f>
        <v>483.5</v>
      </c>
      <c r="N266" s="32" t="s">
        <v>1204</v>
      </c>
      <c r="O266" s="31">
        <f>475.2</f>
        <v>475.2</v>
      </c>
      <c r="P266" s="32" t="s">
        <v>1212</v>
      </c>
      <c r="Q266" s="31">
        <f>478.8</f>
        <v>478.8</v>
      </c>
      <c r="R266" s="32" t="s">
        <v>661</v>
      </c>
      <c r="S266" s="33">
        <f>477.95</f>
        <v>477.95</v>
      </c>
      <c r="T266" s="30">
        <f>7158450</f>
        <v>7158450</v>
      </c>
      <c r="U266" s="30">
        <f>6821630</f>
        <v>6821630</v>
      </c>
      <c r="V266" s="30">
        <f>3423868493</f>
        <v>3423868493</v>
      </c>
      <c r="W266" s="30">
        <f>3262996427</f>
        <v>3262996427</v>
      </c>
      <c r="X266" s="34">
        <f>20</f>
        <v>20</v>
      </c>
    </row>
    <row r="267" spans="1:24">
      <c r="A267" s="25" t="s">
        <v>1219</v>
      </c>
      <c r="B267" s="25" t="s">
        <v>1152</v>
      </c>
      <c r="C267" s="25" t="s">
        <v>1153</v>
      </c>
      <c r="D267" s="25" t="s">
        <v>1154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184.5</f>
        <v>184.5</v>
      </c>
      <c r="L267" s="32" t="s">
        <v>1204</v>
      </c>
      <c r="M267" s="31">
        <f>186.6</f>
        <v>186.6</v>
      </c>
      <c r="N267" s="32" t="s">
        <v>1208</v>
      </c>
      <c r="O267" s="31">
        <f>174.4</f>
        <v>174.4</v>
      </c>
      <c r="P267" s="32" t="s">
        <v>1075</v>
      </c>
      <c r="Q267" s="31">
        <f>177.7</f>
        <v>177.7</v>
      </c>
      <c r="R267" s="32" t="s">
        <v>661</v>
      </c>
      <c r="S267" s="33">
        <f>178.52</f>
        <v>178.52</v>
      </c>
      <c r="T267" s="30">
        <f>1869940</f>
        <v>1869940</v>
      </c>
      <c r="U267" s="30" t="str">
        <f>"－"</f>
        <v>－</v>
      </c>
      <c r="V267" s="30">
        <f>334699854</f>
        <v>334699854</v>
      </c>
      <c r="W267" s="30" t="str">
        <f>"－"</f>
        <v>－</v>
      </c>
      <c r="X267" s="34">
        <f>20</f>
        <v>20</v>
      </c>
    </row>
    <row r="268" spans="1:24">
      <c r="A268" s="25" t="s">
        <v>1219</v>
      </c>
      <c r="B268" s="25" t="s">
        <v>1155</v>
      </c>
      <c r="C268" s="25" t="s">
        <v>1156</v>
      </c>
      <c r="D268" s="25" t="s">
        <v>1157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171</f>
        <v>171</v>
      </c>
      <c r="L268" s="32" t="s">
        <v>1204</v>
      </c>
      <c r="M268" s="31">
        <f>173.2</f>
        <v>173.2</v>
      </c>
      <c r="N268" s="32" t="s">
        <v>1208</v>
      </c>
      <c r="O268" s="31">
        <f>159.2</f>
        <v>159.19999999999999</v>
      </c>
      <c r="P268" s="32" t="s">
        <v>1078</v>
      </c>
      <c r="Q268" s="31">
        <f>164.8</f>
        <v>164.8</v>
      </c>
      <c r="R268" s="32" t="s">
        <v>661</v>
      </c>
      <c r="S268" s="33">
        <f>165.6</f>
        <v>165.6</v>
      </c>
      <c r="T268" s="30">
        <f>1700670</f>
        <v>1700670</v>
      </c>
      <c r="U268" s="30" t="str">
        <f>"－"</f>
        <v>－</v>
      </c>
      <c r="V268" s="30">
        <f>279902847</f>
        <v>279902847</v>
      </c>
      <c r="W268" s="30" t="str">
        <f>"－"</f>
        <v>－</v>
      </c>
      <c r="X268" s="34">
        <f>20</f>
        <v>20</v>
      </c>
    </row>
    <row r="269" spans="1:24">
      <c r="A269" s="25" t="s">
        <v>1219</v>
      </c>
      <c r="B269" s="25" t="s">
        <v>526</v>
      </c>
      <c r="C269" s="25" t="s">
        <v>527</v>
      </c>
      <c r="D269" s="25" t="s">
        <v>528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885.6</f>
        <v>885.6</v>
      </c>
      <c r="L269" s="32" t="s">
        <v>1204</v>
      </c>
      <c r="M269" s="31">
        <f>902.8</f>
        <v>902.8</v>
      </c>
      <c r="N269" s="32" t="s">
        <v>1208</v>
      </c>
      <c r="O269" s="31">
        <f>867.2</f>
        <v>867.2</v>
      </c>
      <c r="P269" s="32" t="s">
        <v>1211</v>
      </c>
      <c r="Q269" s="31">
        <f>877</f>
        <v>877</v>
      </c>
      <c r="R269" s="32" t="s">
        <v>661</v>
      </c>
      <c r="S269" s="33">
        <f>877.13</f>
        <v>877.13</v>
      </c>
      <c r="T269" s="30">
        <f>8401900</f>
        <v>8401900</v>
      </c>
      <c r="U269" s="30">
        <f>6505770</f>
        <v>6505770</v>
      </c>
      <c r="V269" s="30">
        <f>7344047599</f>
        <v>7344047599</v>
      </c>
      <c r="W269" s="30">
        <f>5680872548</f>
        <v>5680872548</v>
      </c>
      <c r="X269" s="34">
        <f>20</f>
        <v>20</v>
      </c>
    </row>
    <row r="270" spans="1:24">
      <c r="A270" s="25" t="s">
        <v>1219</v>
      </c>
      <c r="B270" s="25" t="s">
        <v>529</v>
      </c>
      <c r="C270" s="25" t="s">
        <v>530</v>
      </c>
      <c r="D270" s="25" t="s">
        <v>531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1089.5</f>
        <v>1089.5</v>
      </c>
      <c r="L270" s="32" t="s">
        <v>1204</v>
      </c>
      <c r="M270" s="31">
        <f>1137.5</f>
        <v>1137.5</v>
      </c>
      <c r="N270" s="32" t="s">
        <v>1209</v>
      </c>
      <c r="O270" s="31">
        <f>1051.5</f>
        <v>1051.5</v>
      </c>
      <c r="P270" s="32" t="s">
        <v>738</v>
      </c>
      <c r="Q270" s="31">
        <f>1075</f>
        <v>1075</v>
      </c>
      <c r="R270" s="32" t="s">
        <v>661</v>
      </c>
      <c r="S270" s="33">
        <f>1075.4</f>
        <v>1075.4000000000001</v>
      </c>
      <c r="T270" s="30">
        <f>4186680</f>
        <v>4186680</v>
      </c>
      <c r="U270" s="30">
        <f>2971330</f>
        <v>2971330</v>
      </c>
      <c r="V270" s="30">
        <f>4488108273</f>
        <v>4488108273</v>
      </c>
      <c r="W270" s="30">
        <f>3183755963</f>
        <v>3183755963</v>
      </c>
      <c r="X270" s="34">
        <f>20</f>
        <v>20</v>
      </c>
    </row>
    <row r="271" spans="1:24">
      <c r="A271" s="25" t="s">
        <v>1219</v>
      </c>
      <c r="B271" s="25" t="s">
        <v>532</v>
      </c>
      <c r="C271" s="25" t="s">
        <v>533</v>
      </c>
      <c r="D271" s="25" t="s">
        <v>534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774.2</f>
        <v>774.2</v>
      </c>
      <c r="L271" s="32" t="s">
        <v>1204</v>
      </c>
      <c r="M271" s="31">
        <f>790</f>
        <v>790</v>
      </c>
      <c r="N271" s="32" t="s">
        <v>1085</v>
      </c>
      <c r="O271" s="31">
        <f>755</f>
        <v>755</v>
      </c>
      <c r="P271" s="32" t="s">
        <v>1085</v>
      </c>
      <c r="Q271" s="31">
        <f>759.9</f>
        <v>759.9</v>
      </c>
      <c r="R271" s="32" t="s">
        <v>661</v>
      </c>
      <c r="S271" s="33">
        <f>762.45</f>
        <v>762.45</v>
      </c>
      <c r="T271" s="30">
        <f>5052190</f>
        <v>5052190</v>
      </c>
      <c r="U271" s="30">
        <f>4675280</f>
        <v>4675280</v>
      </c>
      <c r="V271" s="30">
        <f>3826759022</f>
        <v>3826759022</v>
      </c>
      <c r="W271" s="30">
        <f>3540729962</f>
        <v>3540729962</v>
      </c>
      <c r="X271" s="34">
        <f>20</f>
        <v>20</v>
      </c>
    </row>
    <row r="272" spans="1:24">
      <c r="A272" s="25" t="s">
        <v>1219</v>
      </c>
      <c r="B272" s="25" t="s">
        <v>535</v>
      </c>
      <c r="C272" s="25" t="s">
        <v>536</v>
      </c>
      <c r="D272" s="25" t="s">
        <v>537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2647</f>
        <v>2647</v>
      </c>
      <c r="L272" s="32" t="s">
        <v>1204</v>
      </c>
      <c r="M272" s="31">
        <f>2653</f>
        <v>2653</v>
      </c>
      <c r="N272" s="32" t="s">
        <v>1204</v>
      </c>
      <c r="O272" s="31">
        <f>2415</f>
        <v>2415</v>
      </c>
      <c r="P272" s="32" t="s">
        <v>1220</v>
      </c>
      <c r="Q272" s="31">
        <f>2451</f>
        <v>2451</v>
      </c>
      <c r="R272" s="32" t="s">
        <v>661</v>
      </c>
      <c r="S272" s="33">
        <f>2528.73</f>
        <v>2528.73</v>
      </c>
      <c r="T272" s="30">
        <f>2136390</f>
        <v>2136390</v>
      </c>
      <c r="U272" s="30">
        <f>1566160</f>
        <v>1566160</v>
      </c>
      <c r="V272" s="30">
        <f>5357406851</f>
        <v>5357406851</v>
      </c>
      <c r="W272" s="30">
        <f>3918711411</f>
        <v>3918711411</v>
      </c>
      <c r="X272" s="34">
        <f>20</f>
        <v>20</v>
      </c>
    </row>
    <row r="273" spans="1:24">
      <c r="A273" s="25" t="s">
        <v>1219</v>
      </c>
      <c r="B273" s="25" t="s">
        <v>538</v>
      </c>
      <c r="C273" s="25" t="s">
        <v>539</v>
      </c>
      <c r="D273" s="25" t="s">
        <v>540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1686.5</f>
        <v>1686.5</v>
      </c>
      <c r="L273" s="32" t="s">
        <v>1204</v>
      </c>
      <c r="M273" s="31">
        <f>1691</f>
        <v>1691</v>
      </c>
      <c r="N273" s="32" t="s">
        <v>1085</v>
      </c>
      <c r="O273" s="31">
        <f>1568.5</f>
        <v>1568.5</v>
      </c>
      <c r="P273" s="32" t="s">
        <v>661</v>
      </c>
      <c r="Q273" s="31">
        <f>1570</f>
        <v>1570</v>
      </c>
      <c r="R273" s="32" t="s">
        <v>661</v>
      </c>
      <c r="S273" s="33">
        <f>1615.55</f>
        <v>1615.55</v>
      </c>
      <c r="T273" s="30">
        <f>1284930</f>
        <v>1284930</v>
      </c>
      <c r="U273" s="30">
        <f>838780</f>
        <v>838780</v>
      </c>
      <c r="V273" s="30">
        <f>2067202413</f>
        <v>2067202413</v>
      </c>
      <c r="W273" s="30">
        <f>1345595473</f>
        <v>1345595473</v>
      </c>
      <c r="X273" s="34">
        <f>20</f>
        <v>20</v>
      </c>
    </row>
    <row r="274" spans="1:24">
      <c r="A274" s="25" t="s">
        <v>1219</v>
      </c>
      <c r="B274" s="25" t="s">
        <v>541</v>
      </c>
      <c r="C274" s="25" t="s">
        <v>542</v>
      </c>
      <c r="D274" s="25" t="s">
        <v>543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1440.5</f>
        <v>1440.5</v>
      </c>
      <c r="L274" s="32" t="s">
        <v>1204</v>
      </c>
      <c r="M274" s="31">
        <f>1442.5</f>
        <v>1442.5</v>
      </c>
      <c r="N274" s="32" t="s">
        <v>1204</v>
      </c>
      <c r="O274" s="31">
        <f>1336</f>
        <v>1336</v>
      </c>
      <c r="P274" s="32" t="s">
        <v>1080</v>
      </c>
      <c r="Q274" s="31">
        <f>1362</f>
        <v>1362</v>
      </c>
      <c r="R274" s="32" t="s">
        <v>661</v>
      </c>
      <c r="S274" s="33">
        <f>1383.58</f>
        <v>1383.58</v>
      </c>
      <c r="T274" s="30">
        <f>715250</f>
        <v>715250</v>
      </c>
      <c r="U274" s="30">
        <f>261820</f>
        <v>261820</v>
      </c>
      <c r="V274" s="30">
        <f>988446120</f>
        <v>988446120</v>
      </c>
      <c r="W274" s="30">
        <f>358655645</f>
        <v>358655645</v>
      </c>
      <c r="X274" s="34">
        <f>20</f>
        <v>20</v>
      </c>
    </row>
    <row r="275" spans="1:24">
      <c r="A275" s="25" t="s">
        <v>1219</v>
      </c>
      <c r="B275" s="25" t="s">
        <v>544</v>
      </c>
      <c r="C275" s="25" t="s">
        <v>1046</v>
      </c>
      <c r="D275" s="25" t="s">
        <v>1047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10</v>
      </c>
      <c r="K275" s="31">
        <f>519.2</f>
        <v>519.20000000000005</v>
      </c>
      <c r="L275" s="32" t="s">
        <v>1204</v>
      </c>
      <c r="M275" s="31">
        <f>530</f>
        <v>530</v>
      </c>
      <c r="N275" s="32" t="s">
        <v>1078</v>
      </c>
      <c r="O275" s="31">
        <f>488.8</f>
        <v>488.8</v>
      </c>
      <c r="P275" s="32" t="s">
        <v>1220</v>
      </c>
      <c r="Q275" s="31">
        <f>509.8</f>
        <v>509.8</v>
      </c>
      <c r="R275" s="32" t="s">
        <v>661</v>
      </c>
      <c r="S275" s="33">
        <f>515.75</f>
        <v>515.75</v>
      </c>
      <c r="T275" s="30">
        <f>12514970</f>
        <v>12514970</v>
      </c>
      <c r="U275" s="30">
        <f>90270</f>
        <v>90270</v>
      </c>
      <c r="V275" s="30">
        <f>6404199799</f>
        <v>6404199799</v>
      </c>
      <c r="W275" s="30">
        <f>45782885</f>
        <v>45782885</v>
      </c>
      <c r="X275" s="34">
        <f>20</f>
        <v>20</v>
      </c>
    </row>
    <row r="276" spans="1:24">
      <c r="A276" s="25" t="s">
        <v>1219</v>
      </c>
      <c r="B276" s="25" t="s">
        <v>545</v>
      </c>
      <c r="C276" s="25" t="s">
        <v>546</v>
      </c>
      <c r="D276" s="25" t="s">
        <v>547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1027.5</f>
        <v>1027.5</v>
      </c>
      <c r="L276" s="32" t="s">
        <v>1204</v>
      </c>
      <c r="M276" s="31">
        <f>1047</f>
        <v>1047</v>
      </c>
      <c r="N276" s="32" t="s">
        <v>1075</v>
      </c>
      <c r="O276" s="31">
        <f>994.3</f>
        <v>994.3</v>
      </c>
      <c r="P276" s="32" t="s">
        <v>1220</v>
      </c>
      <c r="Q276" s="31">
        <f>1023.5</f>
        <v>1023.5</v>
      </c>
      <c r="R276" s="32" t="s">
        <v>661</v>
      </c>
      <c r="S276" s="33">
        <f>1022.23</f>
        <v>1022.23</v>
      </c>
      <c r="T276" s="30">
        <f>260530</f>
        <v>260530</v>
      </c>
      <c r="U276" s="30">
        <f>183230</f>
        <v>183230</v>
      </c>
      <c r="V276" s="30">
        <f>269324770</f>
        <v>269324770</v>
      </c>
      <c r="W276" s="30">
        <f>190622506</f>
        <v>190622506</v>
      </c>
      <c r="X276" s="34">
        <f>20</f>
        <v>20</v>
      </c>
    </row>
    <row r="277" spans="1:24">
      <c r="A277" s="25" t="s">
        <v>1219</v>
      </c>
      <c r="B277" s="25" t="s">
        <v>548</v>
      </c>
      <c r="C277" s="25" t="s">
        <v>549</v>
      </c>
      <c r="D277" s="25" t="s">
        <v>550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</v>
      </c>
      <c r="K277" s="31">
        <f>1600</f>
        <v>1600</v>
      </c>
      <c r="L277" s="32" t="s">
        <v>1204</v>
      </c>
      <c r="M277" s="31">
        <f>1633</f>
        <v>1633</v>
      </c>
      <c r="N277" s="32" t="s">
        <v>663</v>
      </c>
      <c r="O277" s="31">
        <f>1520</f>
        <v>1520</v>
      </c>
      <c r="P277" s="32" t="s">
        <v>1220</v>
      </c>
      <c r="Q277" s="31">
        <f>1567</f>
        <v>1567</v>
      </c>
      <c r="R277" s="32" t="s">
        <v>661</v>
      </c>
      <c r="S277" s="33">
        <f>1594.8</f>
        <v>1594.8</v>
      </c>
      <c r="T277" s="30">
        <f>25094</f>
        <v>25094</v>
      </c>
      <c r="U277" s="30" t="str">
        <f>"－"</f>
        <v>－</v>
      </c>
      <c r="V277" s="30">
        <f>40152690</f>
        <v>40152690</v>
      </c>
      <c r="W277" s="30" t="str">
        <f>"－"</f>
        <v>－</v>
      </c>
      <c r="X277" s="34">
        <f>20</f>
        <v>20</v>
      </c>
    </row>
    <row r="278" spans="1:24">
      <c r="A278" s="25" t="s">
        <v>1219</v>
      </c>
      <c r="B278" s="25" t="s">
        <v>551</v>
      </c>
      <c r="C278" s="25" t="s">
        <v>552</v>
      </c>
      <c r="D278" s="25" t="s">
        <v>553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10</v>
      </c>
      <c r="K278" s="31">
        <f>1105</f>
        <v>1105</v>
      </c>
      <c r="L278" s="32" t="s">
        <v>1204</v>
      </c>
      <c r="M278" s="31">
        <f>1109.5</f>
        <v>1109.5</v>
      </c>
      <c r="N278" s="32" t="s">
        <v>1208</v>
      </c>
      <c r="O278" s="31">
        <f>1050</f>
        <v>1050</v>
      </c>
      <c r="P278" s="32" t="s">
        <v>738</v>
      </c>
      <c r="Q278" s="31">
        <f>1061</f>
        <v>1061</v>
      </c>
      <c r="R278" s="32" t="s">
        <v>661</v>
      </c>
      <c r="S278" s="33">
        <f>1077.53</f>
        <v>1077.53</v>
      </c>
      <c r="T278" s="30">
        <f>75830</f>
        <v>75830</v>
      </c>
      <c r="U278" s="30">
        <f>90</f>
        <v>90</v>
      </c>
      <c r="V278" s="30">
        <f>81981285</f>
        <v>81981285</v>
      </c>
      <c r="W278" s="30">
        <f>94680</f>
        <v>94680</v>
      </c>
      <c r="X278" s="34">
        <f>20</f>
        <v>20</v>
      </c>
    </row>
    <row r="279" spans="1:24">
      <c r="A279" s="25" t="s">
        <v>1219</v>
      </c>
      <c r="B279" s="25" t="s">
        <v>554</v>
      </c>
      <c r="C279" s="25" t="s">
        <v>555</v>
      </c>
      <c r="D279" s="25" t="s">
        <v>556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10</v>
      </c>
      <c r="K279" s="31">
        <f>1433</f>
        <v>1433</v>
      </c>
      <c r="L279" s="32" t="s">
        <v>1204</v>
      </c>
      <c r="M279" s="31">
        <f>1512</f>
        <v>1512</v>
      </c>
      <c r="N279" s="32" t="s">
        <v>1204</v>
      </c>
      <c r="O279" s="31">
        <f>1390.5</f>
        <v>1390.5</v>
      </c>
      <c r="P279" s="32" t="s">
        <v>1220</v>
      </c>
      <c r="Q279" s="31">
        <f>1450</f>
        <v>1450</v>
      </c>
      <c r="R279" s="32" t="s">
        <v>661</v>
      </c>
      <c r="S279" s="33">
        <f>1452.18</f>
        <v>1452.18</v>
      </c>
      <c r="T279" s="30">
        <f>70610</f>
        <v>70610</v>
      </c>
      <c r="U279" s="30" t="str">
        <f>"－"</f>
        <v>－</v>
      </c>
      <c r="V279" s="30">
        <f>102789765</f>
        <v>102789765</v>
      </c>
      <c r="W279" s="30" t="str">
        <f>"－"</f>
        <v>－</v>
      </c>
      <c r="X279" s="34">
        <f>20</f>
        <v>20</v>
      </c>
    </row>
    <row r="280" spans="1:24">
      <c r="A280" s="25" t="s">
        <v>1219</v>
      </c>
      <c r="B280" s="25" t="s">
        <v>557</v>
      </c>
      <c r="C280" s="25" t="s">
        <v>558</v>
      </c>
      <c r="D280" s="25" t="s">
        <v>559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10</v>
      </c>
      <c r="K280" s="31">
        <f>1771</f>
        <v>1771</v>
      </c>
      <c r="L280" s="32" t="s">
        <v>1204</v>
      </c>
      <c r="M280" s="31">
        <f>1772</f>
        <v>1772</v>
      </c>
      <c r="N280" s="32" t="s">
        <v>1204</v>
      </c>
      <c r="O280" s="31">
        <f>1639.5</f>
        <v>1639.5</v>
      </c>
      <c r="P280" s="32" t="s">
        <v>661</v>
      </c>
      <c r="Q280" s="31">
        <f>1641.5</f>
        <v>1641.5</v>
      </c>
      <c r="R280" s="32" t="s">
        <v>661</v>
      </c>
      <c r="S280" s="33">
        <f>1692.25</f>
        <v>1692.25</v>
      </c>
      <c r="T280" s="30">
        <f>5370200</f>
        <v>5370200</v>
      </c>
      <c r="U280" s="30">
        <f>4664020</f>
        <v>4664020</v>
      </c>
      <c r="V280" s="30">
        <f>9060110804</f>
        <v>9060110804</v>
      </c>
      <c r="W280" s="30">
        <f>7861542634</f>
        <v>7861542634</v>
      </c>
      <c r="X280" s="34">
        <f>20</f>
        <v>20</v>
      </c>
    </row>
    <row r="281" spans="1:24">
      <c r="A281" s="25" t="s">
        <v>1219</v>
      </c>
      <c r="B281" s="25" t="s">
        <v>560</v>
      </c>
      <c r="C281" s="25" t="s">
        <v>561</v>
      </c>
      <c r="D281" s="25" t="s">
        <v>562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</v>
      </c>
      <c r="K281" s="31">
        <f>5600</f>
        <v>5600</v>
      </c>
      <c r="L281" s="32" t="s">
        <v>1204</v>
      </c>
      <c r="M281" s="31">
        <f>5630</f>
        <v>5630</v>
      </c>
      <c r="N281" s="32" t="s">
        <v>1204</v>
      </c>
      <c r="O281" s="31">
        <f>5020</f>
        <v>5020</v>
      </c>
      <c r="P281" s="32" t="s">
        <v>661</v>
      </c>
      <c r="Q281" s="31">
        <f>5070</f>
        <v>5070</v>
      </c>
      <c r="R281" s="32" t="s">
        <v>661</v>
      </c>
      <c r="S281" s="33">
        <f>5337.5</f>
        <v>5337.5</v>
      </c>
      <c r="T281" s="30">
        <f>124372</f>
        <v>124372</v>
      </c>
      <c r="U281" s="30" t="str">
        <f>"－"</f>
        <v>－</v>
      </c>
      <c r="V281" s="30">
        <f>652615640</f>
        <v>652615640</v>
      </c>
      <c r="W281" s="30" t="str">
        <f>"－"</f>
        <v>－</v>
      </c>
      <c r="X281" s="34">
        <f>20</f>
        <v>20</v>
      </c>
    </row>
    <row r="282" spans="1:24">
      <c r="A282" s="25" t="s">
        <v>1219</v>
      </c>
      <c r="B282" s="25" t="s">
        <v>563</v>
      </c>
      <c r="C282" s="25" t="s">
        <v>564</v>
      </c>
      <c r="D282" s="25" t="s">
        <v>565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10</v>
      </c>
      <c r="K282" s="31">
        <f>2192</f>
        <v>2192</v>
      </c>
      <c r="L282" s="32" t="s">
        <v>738</v>
      </c>
      <c r="M282" s="31">
        <f>2520</f>
        <v>2520</v>
      </c>
      <c r="N282" s="32" t="s">
        <v>1212</v>
      </c>
      <c r="O282" s="31">
        <f>2192</f>
        <v>2192</v>
      </c>
      <c r="P282" s="32" t="s">
        <v>738</v>
      </c>
      <c r="Q282" s="31">
        <f>2241</f>
        <v>2241</v>
      </c>
      <c r="R282" s="32" t="s">
        <v>661</v>
      </c>
      <c r="S282" s="33">
        <f>2254.06</f>
        <v>2254.06</v>
      </c>
      <c r="T282" s="30">
        <f>2240</f>
        <v>2240</v>
      </c>
      <c r="U282" s="30" t="str">
        <f>"－"</f>
        <v>－</v>
      </c>
      <c r="V282" s="30">
        <f>5083995</f>
        <v>5083995</v>
      </c>
      <c r="W282" s="30" t="str">
        <f>"－"</f>
        <v>－</v>
      </c>
      <c r="X282" s="34">
        <f>8</f>
        <v>8</v>
      </c>
    </row>
    <row r="283" spans="1:24">
      <c r="A283" s="25" t="s">
        <v>1219</v>
      </c>
      <c r="B283" s="25" t="s">
        <v>566</v>
      </c>
      <c r="C283" s="25" t="s">
        <v>567</v>
      </c>
      <c r="D283" s="25" t="s">
        <v>568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10</v>
      </c>
      <c r="K283" s="31">
        <f>2780.5</f>
        <v>2780.5</v>
      </c>
      <c r="L283" s="32" t="s">
        <v>1204</v>
      </c>
      <c r="M283" s="31">
        <f>2864</f>
        <v>2864</v>
      </c>
      <c r="N283" s="32" t="s">
        <v>1212</v>
      </c>
      <c r="O283" s="31">
        <f>2694</f>
        <v>2694</v>
      </c>
      <c r="P283" s="32" t="s">
        <v>1220</v>
      </c>
      <c r="Q283" s="31">
        <f>2739</f>
        <v>2739</v>
      </c>
      <c r="R283" s="32" t="s">
        <v>661</v>
      </c>
      <c r="S283" s="33">
        <f>2796.41</f>
        <v>2796.41</v>
      </c>
      <c r="T283" s="30">
        <f>6346960</f>
        <v>6346960</v>
      </c>
      <c r="U283" s="30">
        <f>6056000</f>
        <v>6056000</v>
      </c>
      <c r="V283" s="30">
        <f>18001929338</f>
        <v>18001929338</v>
      </c>
      <c r="W283" s="30">
        <f>17179239858</f>
        <v>17179239858</v>
      </c>
      <c r="X283" s="34">
        <f>17</f>
        <v>17</v>
      </c>
    </row>
    <row r="284" spans="1:24">
      <c r="A284" s="25" t="s">
        <v>1219</v>
      </c>
      <c r="B284" s="25" t="s">
        <v>569</v>
      </c>
      <c r="C284" s="25" t="s">
        <v>570</v>
      </c>
      <c r="D284" s="25" t="s">
        <v>571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</v>
      </c>
      <c r="K284" s="31">
        <f>37760</f>
        <v>37760</v>
      </c>
      <c r="L284" s="32" t="s">
        <v>1204</v>
      </c>
      <c r="M284" s="31">
        <f>38260</f>
        <v>38260</v>
      </c>
      <c r="N284" s="32" t="s">
        <v>1212</v>
      </c>
      <c r="O284" s="31">
        <f>35960</f>
        <v>35960</v>
      </c>
      <c r="P284" s="32" t="s">
        <v>661</v>
      </c>
      <c r="Q284" s="31">
        <f>36060</f>
        <v>36060</v>
      </c>
      <c r="R284" s="32" t="s">
        <v>661</v>
      </c>
      <c r="S284" s="33">
        <f>37408.5</f>
        <v>37408.5</v>
      </c>
      <c r="T284" s="30">
        <f>68838</f>
        <v>68838</v>
      </c>
      <c r="U284" s="30">
        <f>22104</f>
        <v>22104</v>
      </c>
      <c r="V284" s="30">
        <f>2566931485</f>
        <v>2566931485</v>
      </c>
      <c r="W284" s="30">
        <f>817046975</f>
        <v>817046975</v>
      </c>
      <c r="X284" s="34">
        <f>20</f>
        <v>20</v>
      </c>
    </row>
    <row r="285" spans="1:24">
      <c r="A285" s="25" t="s">
        <v>1219</v>
      </c>
      <c r="B285" s="25" t="s">
        <v>572</v>
      </c>
      <c r="C285" s="25" t="s">
        <v>573</v>
      </c>
      <c r="D285" s="25" t="s">
        <v>574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24955</f>
        <v>24955</v>
      </c>
      <c r="L285" s="32" t="s">
        <v>1204</v>
      </c>
      <c r="M285" s="31">
        <f>26140</f>
        <v>26140</v>
      </c>
      <c r="N285" s="32" t="s">
        <v>1078</v>
      </c>
      <c r="O285" s="31">
        <f>24020</f>
        <v>24020</v>
      </c>
      <c r="P285" s="32" t="s">
        <v>1220</v>
      </c>
      <c r="Q285" s="31">
        <f>24670</f>
        <v>24670</v>
      </c>
      <c r="R285" s="32" t="s">
        <v>661</v>
      </c>
      <c r="S285" s="33">
        <f>25171.5</f>
        <v>25171.5</v>
      </c>
      <c r="T285" s="30">
        <f>2375</f>
        <v>2375</v>
      </c>
      <c r="U285" s="30" t="str">
        <f>"－"</f>
        <v>－</v>
      </c>
      <c r="V285" s="30">
        <f>60655615</f>
        <v>60655615</v>
      </c>
      <c r="W285" s="30" t="str">
        <f>"－"</f>
        <v>－</v>
      </c>
      <c r="X285" s="34">
        <f>10</f>
        <v>10</v>
      </c>
    </row>
    <row r="286" spans="1:24">
      <c r="A286" s="25" t="s">
        <v>1219</v>
      </c>
      <c r="B286" s="25" t="s">
        <v>575</v>
      </c>
      <c r="C286" s="25" t="s">
        <v>576</v>
      </c>
      <c r="D286" s="25" t="s">
        <v>577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10</v>
      </c>
      <c r="K286" s="31">
        <f>1037.5</f>
        <v>1037.5</v>
      </c>
      <c r="L286" s="32" t="s">
        <v>1208</v>
      </c>
      <c r="M286" s="31">
        <f>1055</f>
        <v>1055</v>
      </c>
      <c r="N286" s="32" t="s">
        <v>1075</v>
      </c>
      <c r="O286" s="31">
        <f>1005.5</f>
        <v>1005.5</v>
      </c>
      <c r="P286" s="32" t="s">
        <v>1220</v>
      </c>
      <c r="Q286" s="31">
        <f>1033.5</f>
        <v>1033.5</v>
      </c>
      <c r="R286" s="32" t="s">
        <v>661</v>
      </c>
      <c r="S286" s="33">
        <f>1031.38</f>
        <v>1031.3800000000001</v>
      </c>
      <c r="T286" s="30">
        <f>143770</f>
        <v>143770</v>
      </c>
      <c r="U286" s="30">
        <f>135440</f>
        <v>135440</v>
      </c>
      <c r="V286" s="30">
        <f>149745305</f>
        <v>149745305</v>
      </c>
      <c r="W286" s="30">
        <f>141228320</f>
        <v>141228320</v>
      </c>
      <c r="X286" s="34">
        <f>12</f>
        <v>12</v>
      </c>
    </row>
    <row r="287" spans="1:24">
      <c r="A287" s="25" t="s">
        <v>1219</v>
      </c>
      <c r="B287" s="25" t="s">
        <v>578</v>
      </c>
      <c r="C287" s="25" t="s">
        <v>918</v>
      </c>
      <c r="D287" s="25" t="s">
        <v>919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1039</f>
        <v>1039</v>
      </c>
      <c r="L287" s="32" t="s">
        <v>1204</v>
      </c>
      <c r="M287" s="31">
        <f>1044</f>
        <v>1044</v>
      </c>
      <c r="N287" s="32" t="s">
        <v>1204</v>
      </c>
      <c r="O287" s="31">
        <f>988</f>
        <v>988</v>
      </c>
      <c r="P287" s="32" t="s">
        <v>1220</v>
      </c>
      <c r="Q287" s="31">
        <f>1001</f>
        <v>1001</v>
      </c>
      <c r="R287" s="32" t="s">
        <v>661</v>
      </c>
      <c r="S287" s="33">
        <f>1017</f>
        <v>1017</v>
      </c>
      <c r="T287" s="30">
        <f>738779</f>
        <v>738779</v>
      </c>
      <c r="U287" s="30">
        <f>601501</f>
        <v>601501</v>
      </c>
      <c r="V287" s="30">
        <f>734688334</f>
        <v>734688334</v>
      </c>
      <c r="W287" s="30">
        <f>595505673</f>
        <v>595505673</v>
      </c>
      <c r="X287" s="34">
        <f>20</f>
        <v>20</v>
      </c>
    </row>
    <row r="288" spans="1:24">
      <c r="A288" s="25" t="s">
        <v>1219</v>
      </c>
      <c r="B288" s="25" t="s">
        <v>579</v>
      </c>
      <c r="C288" s="25" t="s">
        <v>580</v>
      </c>
      <c r="D288" s="25" t="s">
        <v>581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1648</f>
        <v>1648</v>
      </c>
      <c r="L288" s="32" t="s">
        <v>1204</v>
      </c>
      <c r="M288" s="31">
        <f>1710</f>
        <v>1710</v>
      </c>
      <c r="N288" s="32" t="s">
        <v>661</v>
      </c>
      <c r="O288" s="31">
        <f>1620</f>
        <v>1620</v>
      </c>
      <c r="P288" s="32" t="s">
        <v>1220</v>
      </c>
      <c r="Q288" s="31">
        <f>1643</f>
        <v>1643</v>
      </c>
      <c r="R288" s="32" t="s">
        <v>661</v>
      </c>
      <c r="S288" s="33">
        <f>1666.45</f>
        <v>1666.45</v>
      </c>
      <c r="T288" s="30">
        <f>7227091</f>
        <v>7227091</v>
      </c>
      <c r="U288" s="30">
        <f>7070427</f>
        <v>7070427</v>
      </c>
      <c r="V288" s="30">
        <f>12197268639</f>
        <v>12197268639</v>
      </c>
      <c r="W288" s="30">
        <f>11935555397</f>
        <v>11935555397</v>
      </c>
      <c r="X288" s="34">
        <f>20</f>
        <v>20</v>
      </c>
    </row>
    <row r="289" spans="1:24">
      <c r="A289" s="25" t="s">
        <v>1219</v>
      </c>
      <c r="B289" s="25" t="s">
        <v>582</v>
      </c>
      <c r="C289" s="25" t="s">
        <v>583</v>
      </c>
      <c r="D289" s="25" t="s">
        <v>584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</v>
      </c>
      <c r="K289" s="31">
        <f>14300</f>
        <v>14300</v>
      </c>
      <c r="L289" s="32" t="s">
        <v>1204</v>
      </c>
      <c r="M289" s="31">
        <f>14670</f>
        <v>14670</v>
      </c>
      <c r="N289" s="32" t="s">
        <v>662</v>
      </c>
      <c r="O289" s="31">
        <f>13680</f>
        <v>13680</v>
      </c>
      <c r="P289" s="32" t="s">
        <v>1220</v>
      </c>
      <c r="Q289" s="31">
        <f>13930</f>
        <v>13930</v>
      </c>
      <c r="R289" s="32" t="s">
        <v>661</v>
      </c>
      <c r="S289" s="33">
        <f>14199.75</f>
        <v>14199.75</v>
      </c>
      <c r="T289" s="30">
        <f>7134</f>
        <v>7134</v>
      </c>
      <c r="U289" s="30" t="str">
        <f>"－"</f>
        <v>－</v>
      </c>
      <c r="V289" s="30">
        <f>100667295</f>
        <v>100667295</v>
      </c>
      <c r="W289" s="30" t="str">
        <f>"－"</f>
        <v>－</v>
      </c>
      <c r="X289" s="34">
        <f>20</f>
        <v>20</v>
      </c>
    </row>
    <row r="290" spans="1:24">
      <c r="A290" s="25" t="s">
        <v>1219</v>
      </c>
      <c r="B290" s="25" t="s">
        <v>585</v>
      </c>
      <c r="C290" s="25" t="s">
        <v>586</v>
      </c>
      <c r="D290" s="25" t="s">
        <v>587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</v>
      </c>
      <c r="K290" s="31">
        <f>1817</f>
        <v>1817</v>
      </c>
      <c r="L290" s="32" t="s">
        <v>1204</v>
      </c>
      <c r="M290" s="31">
        <f>1879</f>
        <v>1879</v>
      </c>
      <c r="N290" s="32" t="s">
        <v>1078</v>
      </c>
      <c r="O290" s="31">
        <f>1772</f>
        <v>1772</v>
      </c>
      <c r="P290" s="32" t="s">
        <v>1220</v>
      </c>
      <c r="Q290" s="31">
        <f>1830</f>
        <v>1830</v>
      </c>
      <c r="R290" s="32" t="s">
        <v>661</v>
      </c>
      <c r="S290" s="33">
        <f>1823.2</f>
        <v>1823.2</v>
      </c>
      <c r="T290" s="30">
        <f>1153270</f>
        <v>1153270</v>
      </c>
      <c r="U290" s="30">
        <f>596760</f>
        <v>596760</v>
      </c>
      <c r="V290" s="30">
        <f>2088639507</f>
        <v>2088639507</v>
      </c>
      <c r="W290" s="30">
        <f>1062186144</f>
        <v>1062186144</v>
      </c>
      <c r="X290" s="34">
        <f>20</f>
        <v>20</v>
      </c>
    </row>
    <row r="291" spans="1:24">
      <c r="A291" s="25" t="s">
        <v>1219</v>
      </c>
      <c r="B291" s="25" t="s">
        <v>588</v>
      </c>
      <c r="C291" s="25" t="s">
        <v>589</v>
      </c>
      <c r="D291" s="25" t="s">
        <v>590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1697.5</f>
        <v>1697.5</v>
      </c>
      <c r="L291" s="32" t="s">
        <v>1204</v>
      </c>
      <c r="M291" s="31">
        <f>1742</f>
        <v>1742</v>
      </c>
      <c r="N291" s="32" t="s">
        <v>1205</v>
      </c>
      <c r="O291" s="31">
        <f>1631</f>
        <v>1631</v>
      </c>
      <c r="P291" s="32" t="s">
        <v>1208</v>
      </c>
      <c r="Q291" s="31">
        <f>1650</f>
        <v>1650</v>
      </c>
      <c r="R291" s="32" t="s">
        <v>661</v>
      </c>
      <c r="S291" s="33">
        <f>1688.23</f>
        <v>1688.23</v>
      </c>
      <c r="T291" s="30">
        <f>434070</f>
        <v>434070</v>
      </c>
      <c r="U291" s="30">
        <f>1000</f>
        <v>1000</v>
      </c>
      <c r="V291" s="30">
        <f>731751450</f>
        <v>731751450</v>
      </c>
      <c r="W291" s="30">
        <f>1675000</f>
        <v>1675000</v>
      </c>
      <c r="X291" s="34">
        <f>20</f>
        <v>20</v>
      </c>
    </row>
    <row r="292" spans="1:24">
      <c r="A292" s="25" t="s">
        <v>1219</v>
      </c>
      <c r="B292" s="25" t="s">
        <v>591</v>
      </c>
      <c r="C292" s="25" t="s">
        <v>664</v>
      </c>
      <c r="D292" s="25" t="s">
        <v>665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790.1</f>
        <v>790.1</v>
      </c>
      <c r="L292" s="32" t="s">
        <v>1204</v>
      </c>
      <c r="M292" s="31">
        <f>793.4</f>
        <v>793.4</v>
      </c>
      <c r="N292" s="32" t="s">
        <v>1208</v>
      </c>
      <c r="O292" s="31">
        <f>779.6</f>
        <v>779.6</v>
      </c>
      <c r="P292" s="32" t="s">
        <v>1205</v>
      </c>
      <c r="Q292" s="31">
        <f>784</f>
        <v>784</v>
      </c>
      <c r="R292" s="32" t="s">
        <v>661</v>
      </c>
      <c r="S292" s="33">
        <f>783.49</f>
        <v>783.49</v>
      </c>
      <c r="T292" s="30">
        <f>27060</f>
        <v>27060</v>
      </c>
      <c r="U292" s="30" t="str">
        <f>"－"</f>
        <v>－</v>
      </c>
      <c r="V292" s="30">
        <f>21245407</f>
        <v>21245407</v>
      </c>
      <c r="W292" s="30" t="str">
        <f>"－"</f>
        <v>－</v>
      </c>
      <c r="X292" s="34">
        <f>20</f>
        <v>20</v>
      </c>
    </row>
    <row r="293" spans="1:24">
      <c r="A293" s="25" t="s">
        <v>1219</v>
      </c>
      <c r="B293" s="25" t="s">
        <v>592</v>
      </c>
      <c r="C293" s="25" t="s">
        <v>593</v>
      </c>
      <c r="D293" s="25" t="s">
        <v>594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1753.5</f>
        <v>1753.5</v>
      </c>
      <c r="L293" s="32" t="s">
        <v>1204</v>
      </c>
      <c r="M293" s="31">
        <f>1796.5</f>
        <v>1796.5</v>
      </c>
      <c r="N293" s="32" t="s">
        <v>661</v>
      </c>
      <c r="O293" s="31">
        <f>1699.5</f>
        <v>1699.5</v>
      </c>
      <c r="P293" s="32" t="s">
        <v>1220</v>
      </c>
      <c r="Q293" s="31">
        <f>1754</f>
        <v>1754</v>
      </c>
      <c r="R293" s="32" t="s">
        <v>661</v>
      </c>
      <c r="S293" s="33">
        <f>1743.68</f>
        <v>1743.68</v>
      </c>
      <c r="T293" s="30">
        <f>293630</f>
        <v>293630</v>
      </c>
      <c r="U293" s="30">
        <f>103970</f>
        <v>103970</v>
      </c>
      <c r="V293" s="30">
        <f>511460685</f>
        <v>511460685</v>
      </c>
      <c r="W293" s="30">
        <f>180100690</f>
        <v>180100690</v>
      </c>
      <c r="X293" s="34">
        <f>20</f>
        <v>20</v>
      </c>
    </row>
    <row r="294" spans="1:24">
      <c r="A294" s="25" t="s">
        <v>1219</v>
      </c>
      <c r="B294" s="25" t="s">
        <v>595</v>
      </c>
      <c r="C294" s="25" t="s">
        <v>596</v>
      </c>
      <c r="D294" s="25" t="s">
        <v>597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10</v>
      </c>
      <c r="K294" s="31">
        <f>1752.5</f>
        <v>1752.5</v>
      </c>
      <c r="L294" s="32" t="s">
        <v>1204</v>
      </c>
      <c r="M294" s="31">
        <f>1790.5</f>
        <v>1790.5</v>
      </c>
      <c r="N294" s="32" t="s">
        <v>1075</v>
      </c>
      <c r="O294" s="31">
        <f>1694.5</f>
        <v>1694.5</v>
      </c>
      <c r="P294" s="32" t="s">
        <v>1220</v>
      </c>
      <c r="Q294" s="31">
        <f>1750</f>
        <v>1750</v>
      </c>
      <c r="R294" s="32" t="s">
        <v>661</v>
      </c>
      <c r="S294" s="33">
        <f>1748.23</f>
        <v>1748.23</v>
      </c>
      <c r="T294" s="30">
        <f>1711500</f>
        <v>1711500</v>
      </c>
      <c r="U294" s="30">
        <f>1304720</f>
        <v>1304720</v>
      </c>
      <c r="V294" s="30">
        <f>2960175228</f>
        <v>2960175228</v>
      </c>
      <c r="W294" s="30">
        <f>2249989668</f>
        <v>2249989668</v>
      </c>
      <c r="X294" s="34">
        <f>20</f>
        <v>20</v>
      </c>
    </row>
    <row r="295" spans="1:24">
      <c r="A295" s="25" t="s">
        <v>1219</v>
      </c>
      <c r="B295" s="25" t="s">
        <v>598</v>
      </c>
      <c r="C295" s="25" t="s">
        <v>599</v>
      </c>
      <c r="D295" s="25" t="s">
        <v>600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10</v>
      </c>
      <c r="K295" s="31">
        <f>2750</f>
        <v>2750</v>
      </c>
      <c r="L295" s="32" t="s">
        <v>1204</v>
      </c>
      <c r="M295" s="31">
        <f>2856.5</f>
        <v>2856.5</v>
      </c>
      <c r="N295" s="32" t="s">
        <v>1212</v>
      </c>
      <c r="O295" s="31">
        <f>2654</f>
        <v>2654</v>
      </c>
      <c r="P295" s="32" t="s">
        <v>1220</v>
      </c>
      <c r="Q295" s="31">
        <f>2728.5</f>
        <v>2728.5</v>
      </c>
      <c r="R295" s="32" t="s">
        <v>661</v>
      </c>
      <c r="S295" s="33">
        <f>2778.85</f>
        <v>2778.85</v>
      </c>
      <c r="T295" s="30">
        <f>377190</f>
        <v>377190</v>
      </c>
      <c r="U295" s="30">
        <f>335000</f>
        <v>335000</v>
      </c>
      <c r="V295" s="30">
        <f>1036114442</f>
        <v>1036114442</v>
      </c>
      <c r="W295" s="30">
        <f>918791132</f>
        <v>918791132</v>
      </c>
      <c r="X295" s="34">
        <f>20</f>
        <v>20</v>
      </c>
    </row>
    <row r="296" spans="1:24">
      <c r="A296" s="25" t="s">
        <v>1219</v>
      </c>
      <c r="B296" s="25" t="s">
        <v>601</v>
      </c>
      <c r="C296" s="25" t="s">
        <v>602</v>
      </c>
      <c r="D296" s="25" t="s">
        <v>603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25840</f>
        <v>25840</v>
      </c>
      <c r="L296" s="32" t="s">
        <v>1204</v>
      </c>
      <c r="M296" s="31">
        <f>25845</f>
        <v>25845</v>
      </c>
      <c r="N296" s="32" t="s">
        <v>1204</v>
      </c>
      <c r="O296" s="31">
        <f>23410</f>
        <v>23410</v>
      </c>
      <c r="P296" s="32" t="s">
        <v>1220</v>
      </c>
      <c r="Q296" s="31">
        <f>23750</f>
        <v>23750</v>
      </c>
      <c r="R296" s="32" t="s">
        <v>661</v>
      </c>
      <c r="S296" s="33">
        <f>24484.5</f>
        <v>24484.5</v>
      </c>
      <c r="T296" s="30">
        <f>903094</f>
        <v>903094</v>
      </c>
      <c r="U296" s="30">
        <f>97988</f>
        <v>97988</v>
      </c>
      <c r="V296" s="30">
        <f>22130860511</f>
        <v>22130860511</v>
      </c>
      <c r="W296" s="30">
        <f>2393774856</f>
        <v>2393774856</v>
      </c>
      <c r="X296" s="34">
        <f>20</f>
        <v>20</v>
      </c>
    </row>
    <row r="297" spans="1:24">
      <c r="A297" s="25" t="s">
        <v>1219</v>
      </c>
      <c r="B297" s="25" t="s">
        <v>604</v>
      </c>
      <c r="C297" s="25" t="s">
        <v>605</v>
      </c>
      <c r="D297" s="25" t="s">
        <v>606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21425</f>
        <v>21425</v>
      </c>
      <c r="L297" s="32" t="s">
        <v>1204</v>
      </c>
      <c r="M297" s="31">
        <f>21455</f>
        <v>21455</v>
      </c>
      <c r="N297" s="32" t="s">
        <v>1204</v>
      </c>
      <c r="O297" s="31">
        <f>19820</f>
        <v>19820</v>
      </c>
      <c r="P297" s="32" t="s">
        <v>1220</v>
      </c>
      <c r="Q297" s="31">
        <f>20145</f>
        <v>20145</v>
      </c>
      <c r="R297" s="32" t="s">
        <v>661</v>
      </c>
      <c r="S297" s="33">
        <f>20713</f>
        <v>20713</v>
      </c>
      <c r="T297" s="30">
        <f>312115</f>
        <v>312115</v>
      </c>
      <c r="U297" s="30">
        <f>1545</f>
        <v>1545</v>
      </c>
      <c r="V297" s="30">
        <f>6442135361</f>
        <v>6442135361</v>
      </c>
      <c r="W297" s="30">
        <f>31458336</f>
        <v>31458336</v>
      </c>
      <c r="X297" s="34">
        <f>20</f>
        <v>20</v>
      </c>
    </row>
    <row r="298" spans="1:24">
      <c r="A298" s="25" t="s">
        <v>1219</v>
      </c>
      <c r="B298" s="25" t="s">
        <v>607</v>
      </c>
      <c r="C298" s="25" t="s">
        <v>608</v>
      </c>
      <c r="D298" s="25" t="s">
        <v>609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</v>
      </c>
      <c r="K298" s="31">
        <f>36880</f>
        <v>36880</v>
      </c>
      <c r="L298" s="32" t="s">
        <v>1204</v>
      </c>
      <c r="M298" s="31">
        <f>37290</f>
        <v>37290</v>
      </c>
      <c r="N298" s="32" t="s">
        <v>1207</v>
      </c>
      <c r="O298" s="31">
        <f>36050</f>
        <v>36050</v>
      </c>
      <c r="P298" s="32" t="s">
        <v>1204</v>
      </c>
      <c r="Q298" s="31">
        <f>37290</f>
        <v>37290</v>
      </c>
      <c r="R298" s="32" t="s">
        <v>1207</v>
      </c>
      <c r="S298" s="33">
        <f>36486.67</f>
        <v>36486.67</v>
      </c>
      <c r="T298" s="30">
        <f>28</f>
        <v>28</v>
      </c>
      <c r="U298" s="30" t="str">
        <f>"－"</f>
        <v>－</v>
      </c>
      <c r="V298" s="30">
        <f>1016320</f>
        <v>1016320</v>
      </c>
      <c r="W298" s="30" t="str">
        <f>"－"</f>
        <v>－</v>
      </c>
      <c r="X298" s="34">
        <f>3</f>
        <v>3</v>
      </c>
    </row>
    <row r="299" spans="1:24">
      <c r="A299" s="25" t="s">
        <v>1219</v>
      </c>
      <c r="B299" s="25" t="s">
        <v>610</v>
      </c>
      <c r="C299" s="25" t="s">
        <v>611</v>
      </c>
      <c r="D299" s="25" t="s">
        <v>612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</v>
      </c>
      <c r="K299" s="31">
        <f>2281</f>
        <v>2281</v>
      </c>
      <c r="L299" s="32" t="s">
        <v>1204</v>
      </c>
      <c r="M299" s="31">
        <f>2288</f>
        <v>2288</v>
      </c>
      <c r="N299" s="32" t="s">
        <v>1204</v>
      </c>
      <c r="O299" s="31">
        <f>2230</f>
        <v>2230</v>
      </c>
      <c r="P299" s="32" t="s">
        <v>1206</v>
      </c>
      <c r="Q299" s="31">
        <f>2255</f>
        <v>2255</v>
      </c>
      <c r="R299" s="32" t="s">
        <v>661</v>
      </c>
      <c r="S299" s="33">
        <f>2248.95</f>
        <v>2248.9499999999998</v>
      </c>
      <c r="T299" s="30">
        <f>6088815</f>
        <v>6088815</v>
      </c>
      <c r="U299" s="30">
        <f>5796692</f>
        <v>5796692</v>
      </c>
      <c r="V299" s="30">
        <f>13684441264</f>
        <v>13684441264</v>
      </c>
      <c r="W299" s="30">
        <f>13027190740</f>
        <v>13027190740</v>
      </c>
      <c r="X299" s="34">
        <f>20</f>
        <v>20</v>
      </c>
    </row>
    <row r="300" spans="1:24">
      <c r="A300" s="25" t="s">
        <v>1219</v>
      </c>
      <c r="B300" s="25" t="s">
        <v>613</v>
      </c>
      <c r="C300" s="25" t="s">
        <v>614</v>
      </c>
      <c r="D300" s="25" t="s">
        <v>615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10</v>
      </c>
      <c r="K300" s="31">
        <f>3211</f>
        <v>3211</v>
      </c>
      <c r="L300" s="32" t="s">
        <v>1204</v>
      </c>
      <c r="M300" s="31">
        <f>3218</f>
        <v>3218</v>
      </c>
      <c r="N300" s="32" t="s">
        <v>1204</v>
      </c>
      <c r="O300" s="31">
        <f>3004</f>
        <v>3004</v>
      </c>
      <c r="P300" s="32" t="s">
        <v>1080</v>
      </c>
      <c r="Q300" s="31">
        <f>3029</f>
        <v>3029</v>
      </c>
      <c r="R300" s="32" t="s">
        <v>661</v>
      </c>
      <c r="S300" s="33">
        <f>3093.8</f>
        <v>3093.8</v>
      </c>
      <c r="T300" s="30">
        <f>543390</f>
        <v>543390</v>
      </c>
      <c r="U300" s="30">
        <f>327230</f>
        <v>327230</v>
      </c>
      <c r="V300" s="30">
        <f>1669803032</f>
        <v>1669803032</v>
      </c>
      <c r="W300" s="30">
        <f>998547422</f>
        <v>998547422</v>
      </c>
      <c r="X300" s="34">
        <f>20</f>
        <v>20</v>
      </c>
    </row>
    <row r="301" spans="1:24">
      <c r="A301" s="25" t="s">
        <v>1219</v>
      </c>
      <c r="B301" s="25" t="s">
        <v>616</v>
      </c>
      <c r="C301" s="25" t="s">
        <v>617</v>
      </c>
      <c r="D301" s="25" t="s">
        <v>618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10</v>
      </c>
      <c r="K301" s="31">
        <f>331.2</f>
        <v>331.2</v>
      </c>
      <c r="L301" s="32" t="s">
        <v>1204</v>
      </c>
      <c r="M301" s="31">
        <f>331.6</f>
        <v>331.6</v>
      </c>
      <c r="N301" s="32" t="s">
        <v>1204</v>
      </c>
      <c r="O301" s="31">
        <f>306.8</f>
        <v>306.8</v>
      </c>
      <c r="P301" s="32" t="s">
        <v>661</v>
      </c>
      <c r="Q301" s="31">
        <f>307.2</f>
        <v>307.2</v>
      </c>
      <c r="R301" s="32" t="s">
        <v>661</v>
      </c>
      <c r="S301" s="33">
        <f>316.94</f>
        <v>316.94</v>
      </c>
      <c r="T301" s="30">
        <f>86095600</f>
        <v>86095600</v>
      </c>
      <c r="U301" s="30">
        <f>59873330</f>
        <v>59873330</v>
      </c>
      <c r="V301" s="30">
        <f>27108778082</f>
        <v>27108778082</v>
      </c>
      <c r="W301" s="30">
        <f>18765287618</f>
        <v>18765287618</v>
      </c>
      <c r="X301" s="34">
        <f>20</f>
        <v>20</v>
      </c>
    </row>
    <row r="302" spans="1:24">
      <c r="A302" s="25" t="s">
        <v>1219</v>
      </c>
      <c r="B302" s="25" t="s">
        <v>619</v>
      </c>
      <c r="C302" s="25" t="s">
        <v>620</v>
      </c>
      <c r="D302" s="25" t="s">
        <v>621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</v>
      </c>
      <c r="K302" s="31">
        <f>2780</f>
        <v>2780</v>
      </c>
      <c r="L302" s="32" t="s">
        <v>1204</v>
      </c>
      <c r="M302" s="31">
        <f>2870</f>
        <v>2870</v>
      </c>
      <c r="N302" s="32" t="s">
        <v>1076</v>
      </c>
      <c r="O302" s="31">
        <f>2735</f>
        <v>2735</v>
      </c>
      <c r="P302" s="32" t="s">
        <v>1220</v>
      </c>
      <c r="Q302" s="31">
        <f>2806</f>
        <v>2806</v>
      </c>
      <c r="R302" s="32" t="s">
        <v>661</v>
      </c>
      <c r="S302" s="33">
        <f>2813.15</f>
        <v>2813.15</v>
      </c>
      <c r="T302" s="30">
        <f>594460</f>
        <v>594460</v>
      </c>
      <c r="U302" s="30">
        <f>348338</f>
        <v>348338</v>
      </c>
      <c r="V302" s="30">
        <f>1670704659</f>
        <v>1670704659</v>
      </c>
      <c r="W302" s="30">
        <f>976451664</f>
        <v>976451664</v>
      </c>
      <c r="X302" s="34">
        <f>20</f>
        <v>20</v>
      </c>
    </row>
    <row r="303" spans="1:24">
      <c r="A303" s="25" t="s">
        <v>1219</v>
      </c>
      <c r="B303" s="25" t="s">
        <v>622</v>
      </c>
      <c r="C303" s="25" t="s">
        <v>623</v>
      </c>
      <c r="D303" s="25" t="s">
        <v>624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</v>
      </c>
      <c r="K303" s="31">
        <f>873</f>
        <v>873</v>
      </c>
      <c r="L303" s="32" t="s">
        <v>1204</v>
      </c>
      <c r="M303" s="31">
        <f>873</f>
        <v>873</v>
      </c>
      <c r="N303" s="32" t="s">
        <v>1204</v>
      </c>
      <c r="O303" s="31">
        <f>813</f>
        <v>813</v>
      </c>
      <c r="P303" s="32" t="s">
        <v>1220</v>
      </c>
      <c r="Q303" s="31">
        <f>840</f>
        <v>840</v>
      </c>
      <c r="R303" s="32" t="s">
        <v>661</v>
      </c>
      <c r="S303" s="33">
        <f>837.95</f>
        <v>837.95</v>
      </c>
      <c r="T303" s="30">
        <f>134778</f>
        <v>134778</v>
      </c>
      <c r="U303" s="30">
        <f>91</f>
        <v>91</v>
      </c>
      <c r="V303" s="30">
        <f>113464580</f>
        <v>113464580</v>
      </c>
      <c r="W303" s="30">
        <f>75408</f>
        <v>75408</v>
      </c>
      <c r="X303" s="34">
        <f>20</f>
        <v>20</v>
      </c>
    </row>
    <row r="304" spans="1:24">
      <c r="A304" s="25" t="s">
        <v>1219</v>
      </c>
      <c r="B304" s="25" t="s">
        <v>625</v>
      </c>
      <c r="C304" s="25" t="s">
        <v>626</v>
      </c>
      <c r="D304" s="25" t="s">
        <v>627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10</v>
      </c>
      <c r="K304" s="31">
        <f>962</f>
        <v>962</v>
      </c>
      <c r="L304" s="32" t="s">
        <v>1204</v>
      </c>
      <c r="M304" s="31">
        <f>982</f>
        <v>982</v>
      </c>
      <c r="N304" s="32" t="s">
        <v>1075</v>
      </c>
      <c r="O304" s="31">
        <f>925.4</f>
        <v>925.4</v>
      </c>
      <c r="P304" s="32" t="s">
        <v>1220</v>
      </c>
      <c r="Q304" s="31">
        <f>935.5</f>
        <v>935.5</v>
      </c>
      <c r="R304" s="32" t="s">
        <v>661</v>
      </c>
      <c r="S304" s="33">
        <f>956.48</f>
        <v>956.48</v>
      </c>
      <c r="T304" s="30">
        <f>28620</f>
        <v>28620</v>
      </c>
      <c r="U304" s="30">
        <f>130</f>
        <v>130</v>
      </c>
      <c r="V304" s="30">
        <f>27182251</f>
        <v>27182251</v>
      </c>
      <c r="W304" s="30">
        <f>124508</f>
        <v>124508</v>
      </c>
      <c r="X304" s="34">
        <f>20</f>
        <v>20</v>
      </c>
    </row>
    <row r="305" spans="1:24">
      <c r="A305" s="25" t="s">
        <v>1219</v>
      </c>
      <c r="B305" s="25" t="s">
        <v>628</v>
      </c>
      <c r="C305" s="25" t="s">
        <v>629</v>
      </c>
      <c r="D305" s="25" t="s">
        <v>630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10</v>
      </c>
      <c r="K305" s="31">
        <f>360.5</f>
        <v>360.5</v>
      </c>
      <c r="L305" s="32" t="s">
        <v>1204</v>
      </c>
      <c r="M305" s="31">
        <f>379</f>
        <v>379</v>
      </c>
      <c r="N305" s="32" t="s">
        <v>661</v>
      </c>
      <c r="O305" s="31">
        <f>333.1</f>
        <v>333.1</v>
      </c>
      <c r="P305" s="32" t="s">
        <v>661</v>
      </c>
      <c r="Q305" s="31">
        <f>353</f>
        <v>353</v>
      </c>
      <c r="R305" s="32" t="s">
        <v>661</v>
      </c>
      <c r="S305" s="33">
        <f>360.35</f>
        <v>360.35</v>
      </c>
      <c r="T305" s="30">
        <f>5340</f>
        <v>5340</v>
      </c>
      <c r="U305" s="30" t="str">
        <f>"－"</f>
        <v>－</v>
      </c>
      <c r="V305" s="30">
        <f>1912942</f>
        <v>1912942</v>
      </c>
      <c r="W305" s="30" t="str">
        <f>"－"</f>
        <v>－</v>
      </c>
      <c r="X305" s="34">
        <f>17</f>
        <v>17</v>
      </c>
    </row>
    <row r="306" spans="1:24">
      <c r="A306" s="25" t="s">
        <v>1219</v>
      </c>
      <c r="B306" s="25" t="s">
        <v>631</v>
      </c>
      <c r="C306" s="25" t="s">
        <v>632</v>
      </c>
      <c r="D306" s="25" t="s">
        <v>633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10</v>
      </c>
      <c r="K306" s="31">
        <f>5404</f>
        <v>5404</v>
      </c>
      <c r="L306" s="32" t="s">
        <v>1204</v>
      </c>
      <c r="M306" s="31">
        <f>5412</f>
        <v>5412</v>
      </c>
      <c r="N306" s="32" t="s">
        <v>1204</v>
      </c>
      <c r="O306" s="31">
        <f>4812</f>
        <v>4812</v>
      </c>
      <c r="P306" s="32" t="s">
        <v>1220</v>
      </c>
      <c r="Q306" s="31">
        <f>4871</f>
        <v>4871</v>
      </c>
      <c r="R306" s="32" t="s">
        <v>661</v>
      </c>
      <c r="S306" s="33">
        <f>5102.75</f>
        <v>5102.75</v>
      </c>
      <c r="T306" s="30">
        <f>715030</f>
        <v>715030</v>
      </c>
      <c r="U306" s="30" t="str">
        <f>"－"</f>
        <v>－</v>
      </c>
      <c r="V306" s="30">
        <f>3631841070</f>
        <v>3631841070</v>
      </c>
      <c r="W306" s="30" t="str">
        <f>"－"</f>
        <v>－</v>
      </c>
      <c r="X306" s="34">
        <f>20</f>
        <v>20</v>
      </c>
    </row>
    <row r="307" spans="1:24">
      <c r="A307" s="25" t="s">
        <v>1219</v>
      </c>
      <c r="B307" s="25" t="s">
        <v>634</v>
      </c>
      <c r="C307" s="25" t="s">
        <v>635</v>
      </c>
      <c r="D307" s="25" t="s">
        <v>636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10</v>
      </c>
      <c r="K307" s="31">
        <f>3216</f>
        <v>3216</v>
      </c>
      <c r="L307" s="32" t="s">
        <v>1204</v>
      </c>
      <c r="M307" s="31">
        <f>3220</f>
        <v>3220</v>
      </c>
      <c r="N307" s="32" t="s">
        <v>1204</v>
      </c>
      <c r="O307" s="31">
        <f>2915</f>
        <v>2915</v>
      </c>
      <c r="P307" s="32" t="s">
        <v>661</v>
      </c>
      <c r="Q307" s="31">
        <f>2928</f>
        <v>2928</v>
      </c>
      <c r="R307" s="32" t="s">
        <v>661</v>
      </c>
      <c r="S307" s="33">
        <f>3059.23</f>
        <v>3059.23</v>
      </c>
      <c r="T307" s="30">
        <f>1548340</f>
        <v>1548340</v>
      </c>
      <c r="U307" s="30">
        <f>67430</f>
        <v>67430</v>
      </c>
      <c r="V307" s="30">
        <f>4768221563</f>
        <v>4768221563</v>
      </c>
      <c r="W307" s="30">
        <f>211583503</f>
        <v>211583503</v>
      </c>
      <c r="X307" s="34">
        <f>20</f>
        <v>20</v>
      </c>
    </row>
    <row r="308" spans="1:24">
      <c r="A308" s="25" t="s">
        <v>1219</v>
      </c>
      <c r="B308" s="25" t="s">
        <v>1158</v>
      </c>
      <c r="C308" s="25" t="s">
        <v>1159</v>
      </c>
      <c r="D308" s="25" t="s">
        <v>1160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</v>
      </c>
      <c r="K308" s="31">
        <f>2060</f>
        <v>2060</v>
      </c>
      <c r="L308" s="32" t="s">
        <v>1204</v>
      </c>
      <c r="M308" s="31">
        <f>2127</f>
        <v>2127</v>
      </c>
      <c r="N308" s="32" t="s">
        <v>1210</v>
      </c>
      <c r="O308" s="31">
        <f>1951</f>
        <v>1951</v>
      </c>
      <c r="P308" s="32" t="s">
        <v>1220</v>
      </c>
      <c r="Q308" s="31">
        <f>1998</f>
        <v>1998</v>
      </c>
      <c r="R308" s="32" t="s">
        <v>661</v>
      </c>
      <c r="S308" s="33">
        <f>2062.8</f>
        <v>2062.8000000000002</v>
      </c>
      <c r="T308" s="30">
        <f>17719</f>
        <v>17719</v>
      </c>
      <c r="U308" s="30" t="str">
        <f>"－"</f>
        <v>－</v>
      </c>
      <c r="V308" s="30">
        <f>36388499</f>
        <v>36388499</v>
      </c>
      <c r="W308" s="30" t="str">
        <f>"－"</f>
        <v>－</v>
      </c>
      <c r="X308" s="34">
        <f>20</f>
        <v>20</v>
      </c>
    </row>
    <row r="309" spans="1:24">
      <c r="A309" s="25" t="s">
        <v>1219</v>
      </c>
      <c r="B309" s="25" t="s">
        <v>1161</v>
      </c>
      <c r="C309" s="25" t="s">
        <v>1162</v>
      </c>
      <c r="D309" s="25" t="s">
        <v>1163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1900</f>
        <v>1900</v>
      </c>
      <c r="L309" s="32" t="s">
        <v>1204</v>
      </c>
      <c r="M309" s="31">
        <f>1980</f>
        <v>1980</v>
      </c>
      <c r="N309" s="32" t="s">
        <v>1210</v>
      </c>
      <c r="O309" s="31">
        <f>1871</f>
        <v>1871</v>
      </c>
      <c r="P309" s="32" t="s">
        <v>1220</v>
      </c>
      <c r="Q309" s="31">
        <f>1940</f>
        <v>1940</v>
      </c>
      <c r="R309" s="32" t="s">
        <v>661</v>
      </c>
      <c r="S309" s="33">
        <f>1927.3</f>
        <v>1927.3</v>
      </c>
      <c r="T309" s="30">
        <f>9241</f>
        <v>9241</v>
      </c>
      <c r="U309" s="30" t="str">
        <f>"－"</f>
        <v>－</v>
      </c>
      <c r="V309" s="30">
        <f>17878904</f>
        <v>17878904</v>
      </c>
      <c r="W309" s="30" t="str">
        <f>"－"</f>
        <v>－</v>
      </c>
      <c r="X309" s="34">
        <f>20</f>
        <v>20</v>
      </c>
    </row>
    <row r="310" spans="1:24">
      <c r="A310" s="25" t="s">
        <v>1219</v>
      </c>
      <c r="B310" s="25" t="s">
        <v>637</v>
      </c>
      <c r="C310" s="25" t="s">
        <v>638</v>
      </c>
      <c r="D310" s="25" t="s">
        <v>639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10</v>
      </c>
      <c r="K310" s="31">
        <f>346.5</f>
        <v>346.5</v>
      </c>
      <c r="L310" s="32" t="s">
        <v>1204</v>
      </c>
      <c r="M310" s="31">
        <f>349.7</f>
        <v>349.7</v>
      </c>
      <c r="N310" s="32" t="s">
        <v>1078</v>
      </c>
      <c r="O310" s="31">
        <f>339.2</f>
        <v>339.2</v>
      </c>
      <c r="P310" s="32" t="s">
        <v>1220</v>
      </c>
      <c r="Q310" s="31">
        <f>344.9</f>
        <v>344.9</v>
      </c>
      <c r="R310" s="32" t="s">
        <v>661</v>
      </c>
      <c r="S310" s="33">
        <f>344.66</f>
        <v>344.66</v>
      </c>
      <c r="T310" s="30">
        <f>11529830</f>
        <v>11529830</v>
      </c>
      <c r="U310" s="30">
        <f>9259590</f>
        <v>9259590</v>
      </c>
      <c r="V310" s="30">
        <f>3934019434</f>
        <v>3934019434</v>
      </c>
      <c r="W310" s="30">
        <f>3153003110</f>
        <v>3153003110</v>
      </c>
      <c r="X310" s="34">
        <f>20</f>
        <v>20</v>
      </c>
    </row>
    <row r="311" spans="1:24">
      <c r="A311" s="25" t="s">
        <v>1219</v>
      </c>
      <c r="B311" s="25" t="s">
        <v>640</v>
      </c>
      <c r="C311" s="25" t="s">
        <v>641</v>
      </c>
      <c r="D311" s="25" t="s">
        <v>642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1172</f>
        <v>1172</v>
      </c>
      <c r="L311" s="32" t="s">
        <v>1204</v>
      </c>
      <c r="M311" s="31">
        <f>1189</f>
        <v>1189</v>
      </c>
      <c r="N311" s="32" t="s">
        <v>1208</v>
      </c>
      <c r="O311" s="31">
        <f>1132</f>
        <v>1132</v>
      </c>
      <c r="P311" s="32" t="s">
        <v>1078</v>
      </c>
      <c r="Q311" s="31">
        <f>1159</f>
        <v>1159</v>
      </c>
      <c r="R311" s="32" t="s">
        <v>661</v>
      </c>
      <c r="S311" s="33">
        <f>1155.35</f>
        <v>1155.3499999999999</v>
      </c>
      <c r="T311" s="30">
        <f>15215491</f>
        <v>15215491</v>
      </c>
      <c r="U311" s="30">
        <f>112038</f>
        <v>112038</v>
      </c>
      <c r="V311" s="30">
        <f>17636645959</f>
        <v>17636645959</v>
      </c>
      <c r="W311" s="30">
        <f>129581301</f>
        <v>129581301</v>
      </c>
      <c r="X311" s="34">
        <f>20</f>
        <v>20</v>
      </c>
    </row>
    <row r="312" spans="1:24">
      <c r="A312" s="25" t="s">
        <v>1219</v>
      </c>
      <c r="B312" s="25" t="s">
        <v>643</v>
      </c>
      <c r="C312" s="25" t="s">
        <v>644</v>
      </c>
      <c r="D312" s="25" t="s">
        <v>645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1742</f>
        <v>1742</v>
      </c>
      <c r="L312" s="32" t="s">
        <v>1204</v>
      </c>
      <c r="M312" s="31">
        <f>1749</f>
        <v>1749</v>
      </c>
      <c r="N312" s="32" t="s">
        <v>1079</v>
      </c>
      <c r="O312" s="31">
        <f>1710</f>
        <v>1710</v>
      </c>
      <c r="P312" s="32" t="s">
        <v>1080</v>
      </c>
      <c r="Q312" s="31">
        <f>1729</f>
        <v>1729</v>
      </c>
      <c r="R312" s="32" t="s">
        <v>661</v>
      </c>
      <c r="S312" s="33">
        <f>1731.9</f>
        <v>1731.9</v>
      </c>
      <c r="T312" s="30">
        <f>56489</f>
        <v>56489</v>
      </c>
      <c r="U312" s="30" t="str">
        <f>"－"</f>
        <v>－</v>
      </c>
      <c r="V312" s="30">
        <f>97583713</f>
        <v>97583713</v>
      </c>
      <c r="W312" s="30" t="str">
        <f>"－"</f>
        <v>－</v>
      </c>
      <c r="X312" s="34">
        <f>20</f>
        <v>20</v>
      </c>
    </row>
    <row r="313" spans="1:24">
      <c r="A313" s="25" t="s">
        <v>1219</v>
      </c>
      <c r="B313" s="25" t="s">
        <v>646</v>
      </c>
      <c r="C313" s="25" t="s">
        <v>647</v>
      </c>
      <c r="D313" s="25" t="s">
        <v>648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2100</f>
        <v>2100</v>
      </c>
      <c r="L313" s="32" t="s">
        <v>1204</v>
      </c>
      <c r="M313" s="31">
        <f>2100</f>
        <v>2100</v>
      </c>
      <c r="N313" s="32" t="s">
        <v>1204</v>
      </c>
      <c r="O313" s="31">
        <f>2050</f>
        <v>2050</v>
      </c>
      <c r="P313" s="32" t="s">
        <v>1207</v>
      </c>
      <c r="Q313" s="31">
        <f>2065</f>
        <v>2065</v>
      </c>
      <c r="R313" s="32" t="s">
        <v>661</v>
      </c>
      <c r="S313" s="33">
        <f>2070.05</f>
        <v>2070.0500000000002</v>
      </c>
      <c r="T313" s="30">
        <f>1897409</f>
        <v>1897409</v>
      </c>
      <c r="U313" s="30">
        <f>1884000</f>
        <v>1884000</v>
      </c>
      <c r="V313" s="30">
        <f>3910005784</f>
        <v>3910005784</v>
      </c>
      <c r="W313" s="30">
        <f>3882170400</f>
        <v>3882170400</v>
      </c>
      <c r="X313" s="34">
        <f>20</f>
        <v>20</v>
      </c>
    </row>
    <row r="314" spans="1:24">
      <c r="A314" s="25" t="s">
        <v>1219</v>
      </c>
      <c r="B314" s="25" t="s">
        <v>649</v>
      </c>
      <c r="C314" s="25" t="s">
        <v>650</v>
      </c>
      <c r="D314" s="25" t="s">
        <v>920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3785</f>
        <v>3785</v>
      </c>
      <c r="L314" s="32" t="s">
        <v>1204</v>
      </c>
      <c r="M314" s="31">
        <f>3835</f>
        <v>3835</v>
      </c>
      <c r="N314" s="32" t="s">
        <v>1212</v>
      </c>
      <c r="O314" s="31">
        <f>3600</f>
        <v>3600</v>
      </c>
      <c r="P314" s="32" t="s">
        <v>661</v>
      </c>
      <c r="Q314" s="31">
        <f>3615</f>
        <v>3615</v>
      </c>
      <c r="R314" s="32" t="s">
        <v>661</v>
      </c>
      <c r="S314" s="33">
        <f>3751.5</f>
        <v>3751.5</v>
      </c>
      <c r="T314" s="30">
        <f>779177</f>
        <v>779177</v>
      </c>
      <c r="U314" s="30">
        <f>173555</f>
        <v>173555</v>
      </c>
      <c r="V314" s="30">
        <f>2919780993</f>
        <v>2919780993</v>
      </c>
      <c r="W314" s="30">
        <f>655378468</f>
        <v>655378468</v>
      </c>
      <c r="X314" s="34">
        <f>20</f>
        <v>20</v>
      </c>
    </row>
    <row r="315" spans="1:24">
      <c r="A315" s="25" t="s">
        <v>1219</v>
      </c>
      <c r="B315" s="25" t="s">
        <v>651</v>
      </c>
      <c r="C315" s="25" t="s">
        <v>652</v>
      </c>
      <c r="D315" s="25" t="s">
        <v>921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2718</f>
        <v>2718</v>
      </c>
      <c r="L315" s="32" t="s">
        <v>1204</v>
      </c>
      <c r="M315" s="31">
        <f>2828</f>
        <v>2828</v>
      </c>
      <c r="N315" s="32" t="s">
        <v>1212</v>
      </c>
      <c r="O315" s="31">
        <f>2628</f>
        <v>2628</v>
      </c>
      <c r="P315" s="32" t="s">
        <v>1220</v>
      </c>
      <c r="Q315" s="31">
        <f>2750</f>
        <v>2750</v>
      </c>
      <c r="R315" s="32" t="s">
        <v>661</v>
      </c>
      <c r="S315" s="33">
        <f>2758.2</f>
        <v>2758.2</v>
      </c>
      <c r="T315" s="30">
        <f>667799</f>
        <v>667799</v>
      </c>
      <c r="U315" s="30">
        <f>369251</f>
        <v>369251</v>
      </c>
      <c r="V315" s="30">
        <f>1813152867</f>
        <v>1813152867</v>
      </c>
      <c r="W315" s="30">
        <f>997590346</f>
        <v>997590346</v>
      </c>
      <c r="X315" s="34">
        <f>20</f>
        <v>20</v>
      </c>
    </row>
    <row r="316" spans="1:24">
      <c r="A316" s="25" t="s">
        <v>1219</v>
      </c>
      <c r="B316" s="25" t="s">
        <v>653</v>
      </c>
      <c r="C316" s="25" t="s">
        <v>654</v>
      </c>
      <c r="D316" s="25" t="s">
        <v>655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2597</f>
        <v>2597</v>
      </c>
      <c r="L316" s="32" t="s">
        <v>1204</v>
      </c>
      <c r="M316" s="31">
        <f>2620</f>
        <v>2620</v>
      </c>
      <c r="N316" s="32" t="s">
        <v>1075</v>
      </c>
      <c r="O316" s="31">
        <f>2392</f>
        <v>2392</v>
      </c>
      <c r="P316" s="32" t="s">
        <v>1220</v>
      </c>
      <c r="Q316" s="31">
        <f>2479</f>
        <v>2479</v>
      </c>
      <c r="R316" s="32" t="s">
        <v>661</v>
      </c>
      <c r="S316" s="33">
        <f>2515.35</f>
        <v>2515.35</v>
      </c>
      <c r="T316" s="30">
        <f>20319</f>
        <v>20319</v>
      </c>
      <c r="U316" s="30" t="str">
        <f>"－"</f>
        <v>－</v>
      </c>
      <c r="V316" s="30">
        <f>51009498</f>
        <v>51009498</v>
      </c>
      <c r="W316" s="30" t="str">
        <f>"－"</f>
        <v>－</v>
      </c>
      <c r="X316" s="34">
        <f>20</f>
        <v>20</v>
      </c>
    </row>
    <row r="317" spans="1:24">
      <c r="A317" s="25" t="s">
        <v>1219</v>
      </c>
      <c r="B317" s="25" t="s">
        <v>656</v>
      </c>
      <c r="C317" s="25" t="s">
        <v>657</v>
      </c>
      <c r="D317" s="25" t="s">
        <v>658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1443</f>
        <v>1443</v>
      </c>
      <c r="L317" s="32" t="s">
        <v>1204</v>
      </c>
      <c r="M317" s="31">
        <f>1515</f>
        <v>1515</v>
      </c>
      <c r="N317" s="32" t="s">
        <v>1075</v>
      </c>
      <c r="O317" s="31">
        <f>1384</f>
        <v>1384</v>
      </c>
      <c r="P317" s="32" t="s">
        <v>1220</v>
      </c>
      <c r="Q317" s="31">
        <f>1424</f>
        <v>1424</v>
      </c>
      <c r="R317" s="32" t="s">
        <v>661</v>
      </c>
      <c r="S317" s="33">
        <f>1444.7</f>
        <v>1444.7</v>
      </c>
      <c r="T317" s="30">
        <f>19054</f>
        <v>19054</v>
      </c>
      <c r="U317" s="30" t="str">
        <f>"－"</f>
        <v>－</v>
      </c>
      <c r="V317" s="30">
        <f>27439047</f>
        <v>27439047</v>
      </c>
      <c r="W317" s="30" t="str">
        <f>"－"</f>
        <v>－</v>
      </c>
      <c r="X317" s="34">
        <f>20</f>
        <v>20</v>
      </c>
    </row>
    <row r="318" spans="1:24">
      <c r="A318" s="25" t="s">
        <v>1219</v>
      </c>
      <c r="B318" s="25" t="s">
        <v>666</v>
      </c>
      <c r="C318" s="25" t="s">
        <v>667</v>
      </c>
      <c r="D318" s="25" t="s">
        <v>668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2172</f>
        <v>2172</v>
      </c>
      <c r="L318" s="32" t="s">
        <v>1204</v>
      </c>
      <c r="M318" s="31">
        <f>2239</f>
        <v>2239</v>
      </c>
      <c r="N318" s="32" t="s">
        <v>1079</v>
      </c>
      <c r="O318" s="31">
        <f>2004</f>
        <v>2004</v>
      </c>
      <c r="P318" s="32" t="s">
        <v>661</v>
      </c>
      <c r="Q318" s="31">
        <f>2035</f>
        <v>2035</v>
      </c>
      <c r="R318" s="32" t="s">
        <v>661</v>
      </c>
      <c r="S318" s="33">
        <f>2128.1</f>
        <v>2128.1</v>
      </c>
      <c r="T318" s="30">
        <f>272815</f>
        <v>272815</v>
      </c>
      <c r="U318" s="30" t="str">
        <f>"－"</f>
        <v>－</v>
      </c>
      <c r="V318" s="30">
        <f>582884511</f>
        <v>582884511</v>
      </c>
      <c r="W318" s="30" t="str">
        <f>"－"</f>
        <v>－</v>
      </c>
      <c r="X318" s="34">
        <f>20</f>
        <v>20</v>
      </c>
    </row>
    <row r="319" spans="1:24">
      <c r="A319" s="25" t="s">
        <v>1219</v>
      </c>
      <c r="B319" s="25" t="s">
        <v>669</v>
      </c>
      <c r="C319" s="25" t="s">
        <v>670</v>
      </c>
      <c r="D319" s="25" t="s">
        <v>671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2930</f>
        <v>2930</v>
      </c>
      <c r="L319" s="32" t="s">
        <v>1204</v>
      </c>
      <c r="M319" s="31">
        <f>3135</f>
        <v>3135</v>
      </c>
      <c r="N319" s="32" t="s">
        <v>1076</v>
      </c>
      <c r="O319" s="31">
        <f>2801</f>
        <v>2801</v>
      </c>
      <c r="P319" s="32" t="s">
        <v>1208</v>
      </c>
      <c r="Q319" s="31">
        <f>2866</f>
        <v>2866</v>
      </c>
      <c r="R319" s="32" t="s">
        <v>661</v>
      </c>
      <c r="S319" s="33">
        <f>2939</f>
        <v>2939</v>
      </c>
      <c r="T319" s="30">
        <f>34178</f>
        <v>34178</v>
      </c>
      <c r="U319" s="30" t="str">
        <f>"－"</f>
        <v>－</v>
      </c>
      <c r="V319" s="30">
        <f>100069292</f>
        <v>100069292</v>
      </c>
      <c r="W319" s="30" t="str">
        <f>"－"</f>
        <v>－</v>
      </c>
      <c r="X319" s="34">
        <f>20</f>
        <v>20</v>
      </c>
    </row>
    <row r="320" spans="1:24">
      <c r="A320" s="25" t="s">
        <v>1219</v>
      </c>
      <c r="B320" s="25" t="s">
        <v>672</v>
      </c>
      <c r="C320" s="25" t="s">
        <v>673</v>
      </c>
      <c r="D320" s="25" t="s">
        <v>674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13155</f>
        <v>13155</v>
      </c>
      <c r="L320" s="32" t="s">
        <v>1204</v>
      </c>
      <c r="M320" s="31">
        <f>13175</f>
        <v>13175</v>
      </c>
      <c r="N320" s="32" t="s">
        <v>1204</v>
      </c>
      <c r="O320" s="31">
        <f>12180</f>
        <v>12180</v>
      </c>
      <c r="P320" s="32" t="s">
        <v>661</v>
      </c>
      <c r="Q320" s="31">
        <f>12180</f>
        <v>12180</v>
      </c>
      <c r="R320" s="32" t="s">
        <v>661</v>
      </c>
      <c r="S320" s="33">
        <f>12595.25</f>
        <v>12595.25</v>
      </c>
      <c r="T320" s="30">
        <f>712152</f>
        <v>712152</v>
      </c>
      <c r="U320" s="30">
        <f>463415</f>
        <v>463415</v>
      </c>
      <c r="V320" s="30">
        <f>9072714491</f>
        <v>9072714491</v>
      </c>
      <c r="W320" s="30">
        <f>5959958081</f>
        <v>5959958081</v>
      </c>
      <c r="X320" s="34">
        <f>20</f>
        <v>20</v>
      </c>
    </row>
    <row r="321" spans="1:24">
      <c r="A321" s="25" t="s">
        <v>1219</v>
      </c>
      <c r="B321" s="25" t="s">
        <v>675</v>
      </c>
      <c r="C321" s="25" t="s">
        <v>676</v>
      </c>
      <c r="D321" s="25" t="s">
        <v>677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</v>
      </c>
      <c r="K321" s="31">
        <f>22615</f>
        <v>22615</v>
      </c>
      <c r="L321" s="32" t="s">
        <v>1204</v>
      </c>
      <c r="M321" s="31">
        <f>22645</f>
        <v>22645</v>
      </c>
      <c r="N321" s="32" t="s">
        <v>1204</v>
      </c>
      <c r="O321" s="31">
        <f>20095</f>
        <v>20095</v>
      </c>
      <c r="P321" s="32" t="s">
        <v>1220</v>
      </c>
      <c r="Q321" s="31">
        <f>20325</f>
        <v>20325</v>
      </c>
      <c r="R321" s="32" t="s">
        <v>661</v>
      </c>
      <c r="S321" s="33">
        <f>21301</f>
        <v>21301</v>
      </c>
      <c r="T321" s="30">
        <f>333677</f>
        <v>333677</v>
      </c>
      <c r="U321" s="30">
        <f>68</f>
        <v>68</v>
      </c>
      <c r="V321" s="30">
        <f>7065615045</f>
        <v>7065615045</v>
      </c>
      <c r="W321" s="30">
        <f>1398170</f>
        <v>1398170</v>
      </c>
      <c r="X321" s="34">
        <f>20</f>
        <v>20</v>
      </c>
    </row>
    <row r="322" spans="1:24">
      <c r="A322" s="25" t="s">
        <v>1219</v>
      </c>
      <c r="B322" s="25" t="s">
        <v>678</v>
      </c>
      <c r="C322" s="25" t="s">
        <v>679</v>
      </c>
      <c r="D322" s="25" t="s">
        <v>680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</v>
      </c>
      <c r="K322" s="31">
        <f>13420</f>
        <v>13420</v>
      </c>
      <c r="L322" s="32" t="s">
        <v>1204</v>
      </c>
      <c r="M322" s="31">
        <f>13440</f>
        <v>13440</v>
      </c>
      <c r="N322" s="32" t="s">
        <v>1204</v>
      </c>
      <c r="O322" s="31">
        <f>12165</f>
        <v>12165</v>
      </c>
      <c r="P322" s="32" t="s">
        <v>661</v>
      </c>
      <c r="Q322" s="31">
        <f>12185</f>
        <v>12185</v>
      </c>
      <c r="R322" s="32" t="s">
        <v>661</v>
      </c>
      <c r="S322" s="33">
        <f>12760.5</f>
        <v>12760.5</v>
      </c>
      <c r="T322" s="30">
        <f>392694</f>
        <v>392694</v>
      </c>
      <c r="U322" s="30">
        <f>200642</f>
        <v>200642</v>
      </c>
      <c r="V322" s="30">
        <f>5032918221</f>
        <v>5032918221</v>
      </c>
      <c r="W322" s="30">
        <f>2584064391</f>
        <v>2584064391</v>
      </c>
      <c r="X322" s="34">
        <f>20</f>
        <v>20</v>
      </c>
    </row>
    <row r="323" spans="1:24">
      <c r="A323" s="25" t="s">
        <v>1219</v>
      </c>
      <c r="B323" s="25" t="s">
        <v>681</v>
      </c>
      <c r="C323" s="25" t="s">
        <v>682</v>
      </c>
      <c r="D323" s="25" t="s">
        <v>683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416.1</f>
        <v>416.1</v>
      </c>
      <c r="L323" s="32" t="s">
        <v>1204</v>
      </c>
      <c r="M323" s="31">
        <f>416.1</f>
        <v>416.1</v>
      </c>
      <c r="N323" s="32" t="s">
        <v>1204</v>
      </c>
      <c r="O323" s="31">
        <f>374.8</f>
        <v>374.8</v>
      </c>
      <c r="P323" s="32" t="s">
        <v>1220</v>
      </c>
      <c r="Q323" s="31">
        <f>380</f>
        <v>380</v>
      </c>
      <c r="R323" s="32" t="s">
        <v>661</v>
      </c>
      <c r="S323" s="33">
        <f>392.64</f>
        <v>392.64</v>
      </c>
      <c r="T323" s="30">
        <f>6397830</f>
        <v>6397830</v>
      </c>
      <c r="U323" s="30">
        <f>580000</f>
        <v>580000</v>
      </c>
      <c r="V323" s="30">
        <f>2505227066</f>
        <v>2505227066</v>
      </c>
      <c r="W323" s="30">
        <f>223878370</f>
        <v>223878370</v>
      </c>
      <c r="X323" s="34">
        <f>20</f>
        <v>20</v>
      </c>
    </row>
    <row r="324" spans="1:24">
      <c r="A324" s="25" t="s">
        <v>1219</v>
      </c>
      <c r="B324" s="25" t="s">
        <v>684</v>
      </c>
      <c r="C324" s="25" t="s">
        <v>685</v>
      </c>
      <c r="D324" s="25" t="s">
        <v>686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10</v>
      </c>
      <c r="K324" s="31">
        <f>2601</f>
        <v>2601</v>
      </c>
      <c r="L324" s="32" t="s">
        <v>1204</v>
      </c>
      <c r="M324" s="31">
        <f>2602</f>
        <v>2602</v>
      </c>
      <c r="N324" s="32" t="s">
        <v>1204</v>
      </c>
      <c r="O324" s="31">
        <f>2394.5</f>
        <v>2394.5</v>
      </c>
      <c r="P324" s="32" t="s">
        <v>661</v>
      </c>
      <c r="Q324" s="31">
        <f>2399.5</f>
        <v>2399.5</v>
      </c>
      <c r="R324" s="32" t="s">
        <v>661</v>
      </c>
      <c r="S324" s="33">
        <f>2475.3</f>
        <v>2475.3000000000002</v>
      </c>
      <c r="T324" s="30">
        <f>3678230</f>
        <v>3678230</v>
      </c>
      <c r="U324" s="30">
        <f>2765400</f>
        <v>2765400</v>
      </c>
      <c r="V324" s="30">
        <f>8954721733</f>
        <v>8954721733</v>
      </c>
      <c r="W324" s="30">
        <f>6701480998</f>
        <v>6701480998</v>
      </c>
      <c r="X324" s="34">
        <f>20</f>
        <v>20</v>
      </c>
    </row>
    <row r="325" spans="1:24">
      <c r="A325" s="25" t="s">
        <v>1219</v>
      </c>
      <c r="B325" s="25" t="s">
        <v>687</v>
      </c>
      <c r="C325" s="25" t="s">
        <v>1216</v>
      </c>
      <c r="D325" s="25" t="s">
        <v>1215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10</v>
      </c>
      <c r="K325" s="31">
        <f>4238</f>
        <v>4238</v>
      </c>
      <c r="L325" s="32" t="s">
        <v>1204</v>
      </c>
      <c r="M325" s="31">
        <f>4238</f>
        <v>4238</v>
      </c>
      <c r="N325" s="32" t="s">
        <v>1204</v>
      </c>
      <c r="O325" s="31">
        <f>3836</f>
        <v>3836</v>
      </c>
      <c r="P325" s="32" t="s">
        <v>1080</v>
      </c>
      <c r="Q325" s="31">
        <f>3877</f>
        <v>3877</v>
      </c>
      <c r="R325" s="32" t="s">
        <v>661</v>
      </c>
      <c r="S325" s="33">
        <f>3989.25</f>
        <v>3989.25</v>
      </c>
      <c r="T325" s="30">
        <f>18460</f>
        <v>18460</v>
      </c>
      <c r="U325" s="30">
        <f>10</f>
        <v>10</v>
      </c>
      <c r="V325" s="30">
        <f>73220510</f>
        <v>73220510</v>
      </c>
      <c r="W325" s="30">
        <f>40550</f>
        <v>40550</v>
      </c>
      <c r="X325" s="34">
        <f>20</f>
        <v>20</v>
      </c>
    </row>
    <row r="326" spans="1:24">
      <c r="A326" s="25" t="s">
        <v>1219</v>
      </c>
      <c r="B326" s="25" t="s">
        <v>690</v>
      </c>
      <c r="C326" s="25" t="s">
        <v>691</v>
      </c>
      <c r="D326" s="25" t="s">
        <v>692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3315</f>
        <v>3315</v>
      </c>
      <c r="L326" s="32" t="s">
        <v>1204</v>
      </c>
      <c r="M326" s="31">
        <f>3355</f>
        <v>3355</v>
      </c>
      <c r="N326" s="32" t="s">
        <v>1076</v>
      </c>
      <c r="O326" s="31">
        <f>3125</f>
        <v>3125</v>
      </c>
      <c r="P326" s="32" t="s">
        <v>1220</v>
      </c>
      <c r="Q326" s="31">
        <f>3155</f>
        <v>3155</v>
      </c>
      <c r="R326" s="32" t="s">
        <v>661</v>
      </c>
      <c r="S326" s="33">
        <f>3263.42</f>
        <v>3263.42</v>
      </c>
      <c r="T326" s="30">
        <f>4636</f>
        <v>4636</v>
      </c>
      <c r="U326" s="30" t="str">
        <f>"－"</f>
        <v>－</v>
      </c>
      <c r="V326" s="30">
        <f>15038875</f>
        <v>15038875</v>
      </c>
      <c r="W326" s="30" t="str">
        <f>"－"</f>
        <v>－</v>
      </c>
      <c r="X326" s="34">
        <f>19</f>
        <v>19</v>
      </c>
    </row>
    <row r="327" spans="1:24">
      <c r="A327" s="25" t="s">
        <v>1219</v>
      </c>
      <c r="B327" s="25" t="s">
        <v>693</v>
      </c>
      <c r="C327" s="25" t="s">
        <v>1007</v>
      </c>
      <c r="D327" s="25" t="s">
        <v>1006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1450</f>
        <v>1450</v>
      </c>
      <c r="L327" s="32" t="s">
        <v>1204</v>
      </c>
      <c r="M327" s="31">
        <f>1494</f>
        <v>1494</v>
      </c>
      <c r="N327" s="32" t="s">
        <v>1207</v>
      </c>
      <c r="O327" s="31">
        <f>1402</f>
        <v>1402</v>
      </c>
      <c r="P327" s="32" t="s">
        <v>661</v>
      </c>
      <c r="Q327" s="31">
        <f>1440</f>
        <v>1440</v>
      </c>
      <c r="R327" s="32" t="s">
        <v>661</v>
      </c>
      <c r="S327" s="33">
        <f>1463.4</f>
        <v>1463.4</v>
      </c>
      <c r="T327" s="30">
        <f>74587</f>
        <v>74587</v>
      </c>
      <c r="U327" s="30">
        <f>100</f>
        <v>100</v>
      </c>
      <c r="V327" s="30">
        <f>108441512</f>
        <v>108441512</v>
      </c>
      <c r="W327" s="30">
        <f>144790</f>
        <v>144790</v>
      </c>
      <c r="X327" s="34">
        <f>20</f>
        <v>20</v>
      </c>
    </row>
    <row r="328" spans="1:24">
      <c r="A328" s="25" t="s">
        <v>1219</v>
      </c>
      <c r="B328" s="25" t="s">
        <v>694</v>
      </c>
      <c r="C328" s="25" t="s">
        <v>695</v>
      </c>
      <c r="D328" s="25" t="s">
        <v>696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2038</f>
        <v>2038</v>
      </c>
      <c r="L328" s="32" t="s">
        <v>1204</v>
      </c>
      <c r="M328" s="31">
        <f>2076</f>
        <v>2076</v>
      </c>
      <c r="N328" s="32" t="s">
        <v>1207</v>
      </c>
      <c r="O328" s="31">
        <f>1943</f>
        <v>1943</v>
      </c>
      <c r="P328" s="32" t="s">
        <v>661</v>
      </c>
      <c r="Q328" s="31">
        <f>1945</f>
        <v>1945</v>
      </c>
      <c r="R328" s="32" t="s">
        <v>661</v>
      </c>
      <c r="S328" s="33">
        <f>2007.4</f>
        <v>2007.4</v>
      </c>
      <c r="T328" s="30">
        <f>75670</f>
        <v>75670</v>
      </c>
      <c r="U328" s="30">
        <f>10</f>
        <v>10</v>
      </c>
      <c r="V328" s="30">
        <f>151210955</f>
        <v>151210955</v>
      </c>
      <c r="W328" s="30">
        <f>20509</f>
        <v>20509</v>
      </c>
      <c r="X328" s="34">
        <f>20</f>
        <v>20</v>
      </c>
    </row>
    <row r="329" spans="1:24">
      <c r="A329" s="25" t="s">
        <v>1219</v>
      </c>
      <c r="B329" s="25" t="s">
        <v>697</v>
      </c>
      <c r="C329" s="25" t="s">
        <v>698</v>
      </c>
      <c r="D329" s="25" t="s">
        <v>699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1611</f>
        <v>1611</v>
      </c>
      <c r="L329" s="32" t="s">
        <v>1204</v>
      </c>
      <c r="M329" s="31">
        <f>1650</f>
        <v>1650</v>
      </c>
      <c r="N329" s="32" t="s">
        <v>1076</v>
      </c>
      <c r="O329" s="31">
        <f>1570</f>
        <v>1570</v>
      </c>
      <c r="P329" s="32" t="s">
        <v>1220</v>
      </c>
      <c r="Q329" s="31">
        <f>1609</f>
        <v>1609</v>
      </c>
      <c r="R329" s="32" t="s">
        <v>661</v>
      </c>
      <c r="S329" s="33">
        <f>1617.6</f>
        <v>1617.6</v>
      </c>
      <c r="T329" s="30">
        <f>17458</f>
        <v>17458</v>
      </c>
      <c r="U329" s="30" t="str">
        <f>"－"</f>
        <v>－</v>
      </c>
      <c r="V329" s="30">
        <f>27963975</f>
        <v>27963975</v>
      </c>
      <c r="W329" s="30" t="str">
        <f>"－"</f>
        <v>－</v>
      </c>
      <c r="X329" s="34">
        <f>20</f>
        <v>20</v>
      </c>
    </row>
    <row r="330" spans="1:24">
      <c r="A330" s="25" t="s">
        <v>1219</v>
      </c>
      <c r="B330" s="25" t="s">
        <v>700</v>
      </c>
      <c r="C330" s="25" t="s">
        <v>701</v>
      </c>
      <c r="D330" s="25" t="s">
        <v>702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4015</f>
        <v>4015</v>
      </c>
      <c r="L330" s="32" t="s">
        <v>1204</v>
      </c>
      <c r="M330" s="31">
        <f>4085</f>
        <v>4085</v>
      </c>
      <c r="N330" s="32" t="s">
        <v>1212</v>
      </c>
      <c r="O330" s="31">
        <f>3605</f>
        <v>3605</v>
      </c>
      <c r="P330" s="32" t="s">
        <v>1220</v>
      </c>
      <c r="Q330" s="31">
        <f>3895</f>
        <v>3895</v>
      </c>
      <c r="R330" s="32" t="s">
        <v>661</v>
      </c>
      <c r="S330" s="33">
        <f>3896.5</f>
        <v>3896.5</v>
      </c>
      <c r="T330" s="30">
        <f>178664</f>
        <v>178664</v>
      </c>
      <c r="U330" s="30">
        <f>1921</f>
        <v>1921</v>
      </c>
      <c r="V330" s="30">
        <f>692234025</f>
        <v>692234025</v>
      </c>
      <c r="W330" s="30">
        <f>7574190</f>
        <v>7574190</v>
      </c>
      <c r="X330" s="34">
        <f>20</f>
        <v>20</v>
      </c>
    </row>
    <row r="331" spans="1:24">
      <c r="A331" s="25" t="s">
        <v>1219</v>
      </c>
      <c r="B331" s="25" t="s">
        <v>703</v>
      </c>
      <c r="C331" s="25" t="s">
        <v>1005</v>
      </c>
      <c r="D331" s="25" t="s">
        <v>1004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3255</f>
        <v>3255</v>
      </c>
      <c r="L331" s="32" t="s">
        <v>1204</v>
      </c>
      <c r="M331" s="31">
        <f>3365</f>
        <v>3365</v>
      </c>
      <c r="N331" s="32" t="s">
        <v>1212</v>
      </c>
      <c r="O331" s="31">
        <f>3090</f>
        <v>3090</v>
      </c>
      <c r="P331" s="32" t="s">
        <v>1220</v>
      </c>
      <c r="Q331" s="31">
        <f>3165</f>
        <v>3165</v>
      </c>
      <c r="R331" s="32" t="s">
        <v>661</v>
      </c>
      <c r="S331" s="33">
        <f>3253.75</f>
        <v>3253.75</v>
      </c>
      <c r="T331" s="30">
        <f>3310119</f>
        <v>3310119</v>
      </c>
      <c r="U331" s="30">
        <f>950050</f>
        <v>950050</v>
      </c>
      <c r="V331" s="30">
        <f>10935169705</f>
        <v>10935169705</v>
      </c>
      <c r="W331" s="30">
        <f>3135360895</f>
        <v>3135360895</v>
      </c>
      <c r="X331" s="34">
        <f>20</f>
        <v>20</v>
      </c>
    </row>
    <row r="332" spans="1:24">
      <c r="A332" s="25" t="s">
        <v>1219</v>
      </c>
      <c r="B332" s="25" t="s">
        <v>704</v>
      </c>
      <c r="C332" s="25" t="s">
        <v>705</v>
      </c>
      <c r="D332" s="25" t="s">
        <v>706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35570</f>
        <v>35570</v>
      </c>
      <c r="L332" s="32" t="s">
        <v>1204</v>
      </c>
      <c r="M332" s="31">
        <f>37560</f>
        <v>37560</v>
      </c>
      <c r="N332" s="32" t="s">
        <v>1076</v>
      </c>
      <c r="O332" s="31">
        <f>34760</f>
        <v>34760</v>
      </c>
      <c r="P332" s="32" t="s">
        <v>1220</v>
      </c>
      <c r="Q332" s="31">
        <f>35670</f>
        <v>35670</v>
      </c>
      <c r="R332" s="32" t="s">
        <v>661</v>
      </c>
      <c r="S332" s="33">
        <f>36318.24</f>
        <v>36318.239999999998</v>
      </c>
      <c r="T332" s="30">
        <f>34</f>
        <v>34</v>
      </c>
      <c r="U332" s="30" t="str">
        <f>"－"</f>
        <v>－</v>
      </c>
      <c r="V332" s="30">
        <f>1222580</f>
        <v>1222580</v>
      </c>
      <c r="W332" s="30" t="str">
        <f>"－"</f>
        <v>－</v>
      </c>
      <c r="X332" s="34">
        <f>17</f>
        <v>17</v>
      </c>
    </row>
    <row r="333" spans="1:24">
      <c r="A333" s="25" t="s">
        <v>1219</v>
      </c>
      <c r="B333" s="25" t="s">
        <v>707</v>
      </c>
      <c r="C333" s="25" t="s">
        <v>1214</v>
      </c>
      <c r="D333" s="25" t="s">
        <v>1213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2793</f>
        <v>2793</v>
      </c>
      <c r="L333" s="32" t="s">
        <v>1204</v>
      </c>
      <c r="M333" s="31">
        <f>2911</f>
        <v>2911</v>
      </c>
      <c r="N333" s="32" t="s">
        <v>1210</v>
      </c>
      <c r="O333" s="31">
        <f>2725</f>
        <v>2725</v>
      </c>
      <c r="P333" s="32" t="s">
        <v>1220</v>
      </c>
      <c r="Q333" s="31">
        <f>2779</f>
        <v>2779</v>
      </c>
      <c r="R333" s="32" t="s">
        <v>661</v>
      </c>
      <c r="S333" s="33">
        <f>2848.61</f>
        <v>2848.61</v>
      </c>
      <c r="T333" s="30">
        <f>8551</f>
        <v>8551</v>
      </c>
      <c r="U333" s="30" t="str">
        <f>"－"</f>
        <v>－</v>
      </c>
      <c r="V333" s="30">
        <f>24586161</f>
        <v>24586161</v>
      </c>
      <c r="W333" s="30" t="str">
        <f>"－"</f>
        <v>－</v>
      </c>
      <c r="X333" s="34">
        <f>18</f>
        <v>18</v>
      </c>
    </row>
    <row r="334" spans="1:24">
      <c r="A334" s="25" t="s">
        <v>1219</v>
      </c>
      <c r="B334" s="25" t="s">
        <v>710</v>
      </c>
      <c r="C334" s="25" t="s">
        <v>711</v>
      </c>
      <c r="D334" s="25" t="s">
        <v>712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1777</f>
        <v>1777</v>
      </c>
      <c r="L334" s="32" t="s">
        <v>1204</v>
      </c>
      <c r="M334" s="31">
        <f>1802</f>
        <v>1802</v>
      </c>
      <c r="N334" s="32" t="s">
        <v>1205</v>
      </c>
      <c r="O334" s="31">
        <f>1555</f>
        <v>1555</v>
      </c>
      <c r="P334" s="32" t="s">
        <v>661</v>
      </c>
      <c r="Q334" s="31">
        <f>1561</f>
        <v>1561</v>
      </c>
      <c r="R334" s="32" t="s">
        <v>661</v>
      </c>
      <c r="S334" s="33">
        <f>1714.6</f>
        <v>1714.6</v>
      </c>
      <c r="T334" s="30">
        <f>10069734</f>
        <v>10069734</v>
      </c>
      <c r="U334" s="30">
        <f>792255</f>
        <v>792255</v>
      </c>
      <c r="V334" s="30">
        <f>17126860617</f>
        <v>17126860617</v>
      </c>
      <c r="W334" s="30">
        <f>1358904649</f>
        <v>1358904649</v>
      </c>
      <c r="X334" s="34">
        <f>20</f>
        <v>20</v>
      </c>
    </row>
    <row r="335" spans="1:24">
      <c r="A335" s="25" t="s">
        <v>1219</v>
      </c>
      <c r="B335" s="25" t="s">
        <v>713</v>
      </c>
      <c r="C335" s="25" t="s">
        <v>714</v>
      </c>
      <c r="D335" s="25" t="s">
        <v>715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</v>
      </c>
      <c r="K335" s="31">
        <f>2526</f>
        <v>2526</v>
      </c>
      <c r="L335" s="32" t="s">
        <v>1204</v>
      </c>
      <c r="M335" s="31">
        <f>2700</f>
        <v>2700</v>
      </c>
      <c r="N335" s="32" t="s">
        <v>1078</v>
      </c>
      <c r="O335" s="31">
        <f>2380</f>
        <v>2380</v>
      </c>
      <c r="P335" s="32" t="s">
        <v>1220</v>
      </c>
      <c r="Q335" s="31">
        <f>2518</f>
        <v>2518</v>
      </c>
      <c r="R335" s="32" t="s">
        <v>661</v>
      </c>
      <c r="S335" s="33">
        <f>2516.6</f>
        <v>2516.6</v>
      </c>
      <c r="T335" s="30">
        <f>21755</f>
        <v>21755</v>
      </c>
      <c r="U335" s="30" t="str">
        <f>"－"</f>
        <v>－</v>
      </c>
      <c r="V335" s="30">
        <f>54168398</f>
        <v>54168398</v>
      </c>
      <c r="W335" s="30" t="str">
        <f>"－"</f>
        <v>－</v>
      </c>
      <c r="X335" s="34">
        <f>20</f>
        <v>20</v>
      </c>
    </row>
    <row r="336" spans="1:24">
      <c r="A336" s="25" t="s">
        <v>1219</v>
      </c>
      <c r="B336" s="25" t="s">
        <v>716</v>
      </c>
      <c r="C336" s="25" t="s">
        <v>717</v>
      </c>
      <c r="D336" s="25" t="s">
        <v>718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</v>
      </c>
      <c r="K336" s="31">
        <f>1619</f>
        <v>1619</v>
      </c>
      <c r="L336" s="32" t="s">
        <v>1204</v>
      </c>
      <c r="M336" s="31">
        <f>1727</f>
        <v>1727</v>
      </c>
      <c r="N336" s="32" t="s">
        <v>1212</v>
      </c>
      <c r="O336" s="31">
        <f>1593</f>
        <v>1593</v>
      </c>
      <c r="P336" s="32" t="s">
        <v>1208</v>
      </c>
      <c r="Q336" s="31">
        <f>1627</f>
        <v>1627</v>
      </c>
      <c r="R336" s="32" t="s">
        <v>661</v>
      </c>
      <c r="S336" s="33">
        <f>1661.4</f>
        <v>1661.4</v>
      </c>
      <c r="T336" s="30">
        <f>8234</f>
        <v>8234</v>
      </c>
      <c r="U336" s="30" t="str">
        <f>"－"</f>
        <v>－</v>
      </c>
      <c r="V336" s="30">
        <f>13752037</f>
        <v>13752037</v>
      </c>
      <c r="W336" s="30" t="str">
        <f>"－"</f>
        <v>－</v>
      </c>
      <c r="X336" s="34">
        <f>20</f>
        <v>20</v>
      </c>
    </row>
    <row r="337" spans="1:24">
      <c r="A337" s="25" t="s">
        <v>1219</v>
      </c>
      <c r="B337" s="25" t="s">
        <v>719</v>
      </c>
      <c r="C337" s="25" t="s">
        <v>720</v>
      </c>
      <c r="D337" s="25" t="s">
        <v>721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5657</f>
        <v>5657</v>
      </c>
      <c r="L337" s="32" t="s">
        <v>1204</v>
      </c>
      <c r="M337" s="31">
        <f>5832</f>
        <v>5832</v>
      </c>
      <c r="N337" s="32" t="s">
        <v>1079</v>
      </c>
      <c r="O337" s="31">
        <f>5499</f>
        <v>5499</v>
      </c>
      <c r="P337" s="32" t="s">
        <v>738</v>
      </c>
      <c r="Q337" s="31">
        <f>5605</f>
        <v>5605</v>
      </c>
      <c r="R337" s="32" t="s">
        <v>661</v>
      </c>
      <c r="S337" s="33">
        <f>5580.94</f>
        <v>5580.94</v>
      </c>
      <c r="T337" s="30">
        <f>182170</f>
        <v>182170</v>
      </c>
      <c r="U337" s="30">
        <f>180000</f>
        <v>180000</v>
      </c>
      <c r="V337" s="30">
        <f>1010570714</f>
        <v>1010570714</v>
      </c>
      <c r="W337" s="30">
        <f>998442684</f>
        <v>998442684</v>
      </c>
      <c r="X337" s="34">
        <f>17</f>
        <v>17</v>
      </c>
    </row>
    <row r="338" spans="1:24">
      <c r="A338" s="25" t="s">
        <v>1219</v>
      </c>
      <c r="B338" s="25" t="s">
        <v>722</v>
      </c>
      <c r="C338" s="25" t="s">
        <v>723</v>
      </c>
      <c r="D338" s="25" t="s">
        <v>724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10</v>
      </c>
      <c r="K338" s="31">
        <f>3609</f>
        <v>3609</v>
      </c>
      <c r="L338" s="32" t="s">
        <v>1204</v>
      </c>
      <c r="M338" s="31">
        <f>3670</f>
        <v>3670</v>
      </c>
      <c r="N338" s="32" t="s">
        <v>1209</v>
      </c>
      <c r="O338" s="31">
        <f>3542</f>
        <v>3542</v>
      </c>
      <c r="P338" s="32" t="s">
        <v>661</v>
      </c>
      <c r="Q338" s="31">
        <f>3599</f>
        <v>3599</v>
      </c>
      <c r="R338" s="32" t="s">
        <v>661</v>
      </c>
      <c r="S338" s="33">
        <f>3584.26</f>
        <v>3584.26</v>
      </c>
      <c r="T338" s="30">
        <f>177100</f>
        <v>177100</v>
      </c>
      <c r="U338" s="30">
        <f>168760</f>
        <v>168760</v>
      </c>
      <c r="V338" s="30">
        <f>634870075</f>
        <v>634870075</v>
      </c>
      <c r="W338" s="30">
        <f>604871105</f>
        <v>604871105</v>
      </c>
      <c r="X338" s="34">
        <f>19</f>
        <v>19</v>
      </c>
    </row>
    <row r="339" spans="1:24">
      <c r="A339" s="25" t="s">
        <v>1219</v>
      </c>
      <c r="B339" s="25" t="s">
        <v>725</v>
      </c>
      <c r="C339" s="25" t="s">
        <v>726</v>
      </c>
      <c r="D339" s="25" t="s">
        <v>727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10</v>
      </c>
      <c r="K339" s="31">
        <f>615.1</f>
        <v>615.1</v>
      </c>
      <c r="L339" s="32" t="s">
        <v>1204</v>
      </c>
      <c r="M339" s="31">
        <f>625.9</f>
        <v>625.9</v>
      </c>
      <c r="N339" s="32" t="s">
        <v>1209</v>
      </c>
      <c r="O339" s="31">
        <f>610.7</f>
        <v>610.70000000000005</v>
      </c>
      <c r="P339" s="32" t="s">
        <v>1085</v>
      </c>
      <c r="Q339" s="31">
        <f>617.4</f>
        <v>617.4</v>
      </c>
      <c r="R339" s="32" t="s">
        <v>661</v>
      </c>
      <c r="S339" s="33">
        <f>614.36</f>
        <v>614.36</v>
      </c>
      <c r="T339" s="30">
        <f>165370</f>
        <v>165370</v>
      </c>
      <c r="U339" s="30">
        <f>79000</f>
        <v>79000</v>
      </c>
      <c r="V339" s="30">
        <f>101457840</f>
        <v>101457840</v>
      </c>
      <c r="W339" s="30">
        <f>48526800</f>
        <v>48526800</v>
      </c>
      <c r="X339" s="34">
        <f>19</f>
        <v>19</v>
      </c>
    </row>
    <row r="340" spans="1:24">
      <c r="A340" s="25" t="s">
        <v>1219</v>
      </c>
      <c r="B340" s="25" t="s">
        <v>1166</v>
      </c>
      <c r="C340" s="25" t="s">
        <v>1165</v>
      </c>
      <c r="D340" s="25" t="s">
        <v>1164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9785</f>
        <v>9785</v>
      </c>
      <c r="L340" s="32" t="s">
        <v>1204</v>
      </c>
      <c r="M340" s="31">
        <f>9899</f>
        <v>9899</v>
      </c>
      <c r="N340" s="32" t="s">
        <v>1078</v>
      </c>
      <c r="O340" s="31">
        <f>9353</f>
        <v>9353</v>
      </c>
      <c r="P340" s="32" t="s">
        <v>1211</v>
      </c>
      <c r="Q340" s="31">
        <f>9630</f>
        <v>9630</v>
      </c>
      <c r="R340" s="32" t="s">
        <v>661</v>
      </c>
      <c r="S340" s="33">
        <f>9602.25</f>
        <v>9602.25</v>
      </c>
      <c r="T340" s="30">
        <f>15144</f>
        <v>15144</v>
      </c>
      <c r="U340" s="30">
        <f>4</f>
        <v>4</v>
      </c>
      <c r="V340" s="30">
        <f>145342577</f>
        <v>145342577</v>
      </c>
      <c r="W340" s="30">
        <f>38361</f>
        <v>38361</v>
      </c>
      <c r="X340" s="34">
        <f>20</f>
        <v>20</v>
      </c>
    </row>
    <row r="341" spans="1:24">
      <c r="A341" s="25" t="s">
        <v>1219</v>
      </c>
      <c r="B341" s="25" t="s">
        <v>1167</v>
      </c>
      <c r="C341" s="25" t="s">
        <v>1168</v>
      </c>
      <c r="D341" s="25" t="s">
        <v>1169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985</f>
        <v>985</v>
      </c>
      <c r="L341" s="32" t="s">
        <v>1204</v>
      </c>
      <c r="M341" s="31">
        <f>985</f>
        <v>985</v>
      </c>
      <c r="N341" s="32" t="s">
        <v>1204</v>
      </c>
      <c r="O341" s="31">
        <f>834</f>
        <v>834</v>
      </c>
      <c r="P341" s="32" t="s">
        <v>661</v>
      </c>
      <c r="Q341" s="31">
        <f>837</f>
        <v>837</v>
      </c>
      <c r="R341" s="32" t="s">
        <v>661</v>
      </c>
      <c r="S341" s="33">
        <f>926.15</f>
        <v>926.15</v>
      </c>
      <c r="T341" s="30">
        <f>1402888</f>
        <v>1402888</v>
      </c>
      <c r="U341" s="30">
        <f>211000</f>
        <v>211000</v>
      </c>
      <c r="V341" s="30">
        <f>1254829287</f>
        <v>1254829287</v>
      </c>
      <c r="W341" s="30">
        <f>196181172</f>
        <v>196181172</v>
      </c>
      <c r="X341" s="34">
        <f>20</f>
        <v>20</v>
      </c>
    </row>
    <row r="342" spans="1:24">
      <c r="A342" s="25" t="s">
        <v>1219</v>
      </c>
      <c r="B342" s="25" t="s">
        <v>728</v>
      </c>
      <c r="C342" s="25" t="s">
        <v>729</v>
      </c>
      <c r="D342" s="25" t="s">
        <v>730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2824</f>
        <v>2824</v>
      </c>
      <c r="L342" s="32" t="s">
        <v>1204</v>
      </c>
      <c r="M342" s="31">
        <f>2957</f>
        <v>2957</v>
      </c>
      <c r="N342" s="32" t="s">
        <v>1079</v>
      </c>
      <c r="O342" s="31">
        <f>2644</f>
        <v>2644</v>
      </c>
      <c r="P342" s="32" t="s">
        <v>1220</v>
      </c>
      <c r="Q342" s="31">
        <f>2796</f>
        <v>2796</v>
      </c>
      <c r="R342" s="32" t="s">
        <v>661</v>
      </c>
      <c r="S342" s="33">
        <f>2816.95</f>
        <v>2816.95</v>
      </c>
      <c r="T342" s="30">
        <f>5683</f>
        <v>5683</v>
      </c>
      <c r="U342" s="30" t="str">
        <f>"－"</f>
        <v>－</v>
      </c>
      <c r="V342" s="30">
        <f>16144027</f>
        <v>16144027</v>
      </c>
      <c r="W342" s="30" t="str">
        <f>"－"</f>
        <v>－</v>
      </c>
      <c r="X342" s="34">
        <f>20</f>
        <v>20</v>
      </c>
    </row>
    <row r="343" spans="1:24">
      <c r="A343" s="25" t="s">
        <v>1219</v>
      </c>
      <c r="B343" s="25" t="s">
        <v>731</v>
      </c>
      <c r="C343" s="25" t="s">
        <v>1003</v>
      </c>
      <c r="D343" s="25" t="s">
        <v>1002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2223</f>
        <v>2223</v>
      </c>
      <c r="L343" s="32" t="s">
        <v>1204</v>
      </c>
      <c r="M343" s="31">
        <f>2337</f>
        <v>2337</v>
      </c>
      <c r="N343" s="32" t="s">
        <v>1210</v>
      </c>
      <c r="O343" s="31">
        <f>2136</f>
        <v>2136</v>
      </c>
      <c r="P343" s="32" t="s">
        <v>1220</v>
      </c>
      <c r="Q343" s="31">
        <f>2238</f>
        <v>2238</v>
      </c>
      <c r="R343" s="32" t="s">
        <v>661</v>
      </c>
      <c r="S343" s="33">
        <f>2245.65</f>
        <v>2245.65</v>
      </c>
      <c r="T343" s="30">
        <f>10061</f>
        <v>10061</v>
      </c>
      <c r="U343" s="30">
        <f>2</f>
        <v>2</v>
      </c>
      <c r="V343" s="30">
        <f>22718339</f>
        <v>22718339</v>
      </c>
      <c r="W343" s="30">
        <f>4452</f>
        <v>4452</v>
      </c>
      <c r="X343" s="34">
        <f>20</f>
        <v>20</v>
      </c>
    </row>
    <row r="344" spans="1:24">
      <c r="A344" s="25" t="s">
        <v>1219</v>
      </c>
      <c r="B344" s="25" t="s">
        <v>732</v>
      </c>
      <c r="C344" s="25" t="s">
        <v>733</v>
      </c>
      <c r="D344" s="25" t="s">
        <v>734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8419</f>
        <v>8419</v>
      </c>
      <c r="L344" s="32" t="s">
        <v>1204</v>
      </c>
      <c r="M344" s="31">
        <f>8424</f>
        <v>8424</v>
      </c>
      <c r="N344" s="32" t="s">
        <v>1078</v>
      </c>
      <c r="O344" s="31">
        <f>8228</f>
        <v>8228</v>
      </c>
      <c r="P344" s="32" t="s">
        <v>738</v>
      </c>
      <c r="Q344" s="31">
        <f>8397</f>
        <v>8397</v>
      </c>
      <c r="R344" s="32" t="s">
        <v>661</v>
      </c>
      <c r="S344" s="33">
        <f>8332.88</f>
        <v>8332.8799999999992</v>
      </c>
      <c r="T344" s="30">
        <f>15164</f>
        <v>15164</v>
      </c>
      <c r="U344" s="30" t="str">
        <f>"－"</f>
        <v>－</v>
      </c>
      <c r="V344" s="30">
        <f>127600366</f>
        <v>127600366</v>
      </c>
      <c r="W344" s="30" t="str">
        <f>"－"</f>
        <v>－</v>
      </c>
      <c r="X344" s="34">
        <f>17</f>
        <v>17</v>
      </c>
    </row>
    <row r="345" spans="1:24">
      <c r="A345" s="25" t="s">
        <v>1219</v>
      </c>
      <c r="B345" s="25" t="s">
        <v>735</v>
      </c>
      <c r="C345" s="25" t="s">
        <v>736</v>
      </c>
      <c r="D345" s="25" t="s">
        <v>737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5366</f>
        <v>5366</v>
      </c>
      <c r="L345" s="32" t="s">
        <v>1204</v>
      </c>
      <c r="M345" s="31">
        <f>5480</f>
        <v>5480</v>
      </c>
      <c r="N345" s="32" t="s">
        <v>1220</v>
      </c>
      <c r="O345" s="31">
        <f>5329</f>
        <v>5329</v>
      </c>
      <c r="P345" s="32" t="s">
        <v>1212</v>
      </c>
      <c r="Q345" s="31">
        <f>5387</f>
        <v>5387</v>
      </c>
      <c r="R345" s="32" t="s">
        <v>661</v>
      </c>
      <c r="S345" s="33">
        <f>5361.25</f>
        <v>5361.25</v>
      </c>
      <c r="T345" s="30">
        <f>982456</f>
        <v>982456</v>
      </c>
      <c r="U345" s="30">
        <f>875000</f>
        <v>875000</v>
      </c>
      <c r="V345" s="30">
        <f>5274812962</f>
        <v>5274812962</v>
      </c>
      <c r="W345" s="30">
        <f>4694760455</f>
        <v>4694760455</v>
      </c>
      <c r="X345" s="34">
        <f>20</f>
        <v>20</v>
      </c>
    </row>
    <row r="346" spans="1:24">
      <c r="A346" s="25" t="s">
        <v>1219</v>
      </c>
      <c r="B346" s="25" t="s">
        <v>1170</v>
      </c>
      <c r="C346" s="25" t="s">
        <v>1171</v>
      </c>
      <c r="D346" s="25" t="s">
        <v>1172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1000</f>
        <v>1000</v>
      </c>
      <c r="L346" s="32" t="s">
        <v>1204</v>
      </c>
      <c r="M346" s="31">
        <f>1000</f>
        <v>1000</v>
      </c>
      <c r="N346" s="32" t="s">
        <v>1204</v>
      </c>
      <c r="O346" s="31">
        <f>904</f>
        <v>904</v>
      </c>
      <c r="P346" s="32" t="s">
        <v>661</v>
      </c>
      <c r="Q346" s="31">
        <f>907</f>
        <v>907</v>
      </c>
      <c r="R346" s="32" t="s">
        <v>661</v>
      </c>
      <c r="S346" s="33">
        <f>949.8</f>
        <v>949.8</v>
      </c>
      <c r="T346" s="30">
        <f>575673</f>
        <v>575673</v>
      </c>
      <c r="U346" s="30" t="str">
        <f>"－"</f>
        <v>－</v>
      </c>
      <c r="V346" s="30">
        <f>540963320</f>
        <v>540963320</v>
      </c>
      <c r="W346" s="30" t="str">
        <f>"－"</f>
        <v>－</v>
      </c>
      <c r="X346" s="34">
        <f>20</f>
        <v>20</v>
      </c>
    </row>
    <row r="347" spans="1:24">
      <c r="A347" s="25" t="s">
        <v>1219</v>
      </c>
      <c r="B347" s="25" t="s">
        <v>740</v>
      </c>
      <c r="C347" s="25" t="s">
        <v>741</v>
      </c>
      <c r="D347" s="25" t="s">
        <v>742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1822</f>
        <v>1822</v>
      </c>
      <c r="L347" s="32" t="s">
        <v>1204</v>
      </c>
      <c r="M347" s="31">
        <f>1823</f>
        <v>1823</v>
      </c>
      <c r="N347" s="32" t="s">
        <v>1204</v>
      </c>
      <c r="O347" s="31">
        <f>1615</f>
        <v>1615</v>
      </c>
      <c r="P347" s="32" t="s">
        <v>1220</v>
      </c>
      <c r="Q347" s="31">
        <f>1637</f>
        <v>1637</v>
      </c>
      <c r="R347" s="32" t="s">
        <v>661</v>
      </c>
      <c r="S347" s="33">
        <f>1716.35</f>
        <v>1716.35</v>
      </c>
      <c r="T347" s="30">
        <f>2729578</f>
        <v>2729578</v>
      </c>
      <c r="U347" s="30">
        <f>61635</f>
        <v>61635</v>
      </c>
      <c r="V347" s="30">
        <f>4630142740</f>
        <v>4630142740</v>
      </c>
      <c r="W347" s="30">
        <f>103021258</f>
        <v>103021258</v>
      </c>
      <c r="X347" s="34">
        <f>20</f>
        <v>20</v>
      </c>
    </row>
    <row r="348" spans="1:24">
      <c r="A348" s="25" t="s">
        <v>1219</v>
      </c>
      <c r="B348" s="25" t="s">
        <v>743</v>
      </c>
      <c r="C348" s="25" t="s">
        <v>744</v>
      </c>
      <c r="D348" s="25" t="s">
        <v>745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</v>
      </c>
      <c r="K348" s="31">
        <f>1265</f>
        <v>1265</v>
      </c>
      <c r="L348" s="32" t="s">
        <v>1204</v>
      </c>
      <c r="M348" s="31">
        <f>1267</f>
        <v>1267</v>
      </c>
      <c r="N348" s="32" t="s">
        <v>1204</v>
      </c>
      <c r="O348" s="31">
        <f>1141</f>
        <v>1141</v>
      </c>
      <c r="P348" s="32" t="s">
        <v>661</v>
      </c>
      <c r="Q348" s="31">
        <f>1206</f>
        <v>1206</v>
      </c>
      <c r="R348" s="32" t="s">
        <v>661</v>
      </c>
      <c r="S348" s="33">
        <f>1201.35</f>
        <v>1201.3499999999999</v>
      </c>
      <c r="T348" s="30">
        <f>3307593</f>
        <v>3307593</v>
      </c>
      <c r="U348" s="30" t="str">
        <f>"－"</f>
        <v>－</v>
      </c>
      <c r="V348" s="30">
        <f>3995232354</f>
        <v>3995232354</v>
      </c>
      <c r="W348" s="30" t="str">
        <f>"－"</f>
        <v>－</v>
      </c>
      <c r="X348" s="34">
        <f>20</f>
        <v>20</v>
      </c>
    </row>
    <row r="349" spans="1:24">
      <c r="A349" s="25" t="s">
        <v>1219</v>
      </c>
      <c r="B349" s="25" t="s">
        <v>746</v>
      </c>
      <c r="C349" s="25" t="s">
        <v>747</v>
      </c>
      <c r="D349" s="25" t="s">
        <v>748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</v>
      </c>
      <c r="K349" s="31">
        <f>17730</f>
        <v>17730</v>
      </c>
      <c r="L349" s="32" t="s">
        <v>1204</v>
      </c>
      <c r="M349" s="31">
        <f>19440</f>
        <v>19440</v>
      </c>
      <c r="N349" s="32" t="s">
        <v>661</v>
      </c>
      <c r="O349" s="31">
        <f>17695</f>
        <v>17695</v>
      </c>
      <c r="P349" s="32" t="s">
        <v>1204</v>
      </c>
      <c r="Q349" s="31">
        <f>19395</f>
        <v>19395</v>
      </c>
      <c r="R349" s="32" t="s">
        <v>661</v>
      </c>
      <c r="S349" s="33">
        <f>18613</f>
        <v>18613</v>
      </c>
      <c r="T349" s="30">
        <f>167634</f>
        <v>167634</v>
      </c>
      <c r="U349" s="30">
        <f>3667</f>
        <v>3667</v>
      </c>
      <c r="V349" s="30">
        <f>3140967801</f>
        <v>3140967801</v>
      </c>
      <c r="W349" s="30">
        <f>68603276</f>
        <v>68603276</v>
      </c>
      <c r="X349" s="34">
        <f>20</f>
        <v>20</v>
      </c>
    </row>
    <row r="350" spans="1:24">
      <c r="A350" s="25" t="s">
        <v>1219</v>
      </c>
      <c r="B350" s="25" t="s">
        <v>749</v>
      </c>
      <c r="C350" s="25" t="s">
        <v>750</v>
      </c>
      <c r="D350" s="25" t="s">
        <v>751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4014</f>
        <v>4014</v>
      </c>
      <c r="L350" s="32" t="s">
        <v>1204</v>
      </c>
      <c r="M350" s="31">
        <f>4016</f>
        <v>4016</v>
      </c>
      <c r="N350" s="32" t="s">
        <v>1076</v>
      </c>
      <c r="O350" s="31">
        <f>3934</f>
        <v>3934</v>
      </c>
      <c r="P350" s="32" t="s">
        <v>1085</v>
      </c>
      <c r="Q350" s="31">
        <f>4006</f>
        <v>4006</v>
      </c>
      <c r="R350" s="32" t="s">
        <v>661</v>
      </c>
      <c r="S350" s="33">
        <f>3982.71</f>
        <v>3982.71</v>
      </c>
      <c r="T350" s="30">
        <f>7940</f>
        <v>7940</v>
      </c>
      <c r="U350" s="30">
        <f>4990</f>
        <v>4990</v>
      </c>
      <c r="V350" s="30">
        <f>31556440</f>
        <v>31556440</v>
      </c>
      <c r="W350" s="30">
        <f>19825380</f>
        <v>19825380</v>
      </c>
      <c r="X350" s="34">
        <f>14</f>
        <v>14</v>
      </c>
    </row>
    <row r="351" spans="1:24">
      <c r="A351" s="25" t="s">
        <v>1219</v>
      </c>
      <c r="B351" s="25" t="s">
        <v>752</v>
      </c>
      <c r="C351" s="25" t="s">
        <v>753</v>
      </c>
      <c r="D351" s="25" t="s">
        <v>754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4898</f>
        <v>4898</v>
      </c>
      <c r="L351" s="32" t="s">
        <v>1204</v>
      </c>
      <c r="M351" s="31">
        <f>4948</f>
        <v>4948</v>
      </c>
      <c r="N351" s="32" t="s">
        <v>1212</v>
      </c>
      <c r="O351" s="31">
        <f>4778</f>
        <v>4778</v>
      </c>
      <c r="P351" s="32" t="s">
        <v>1220</v>
      </c>
      <c r="Q351" s="31">
        <f>4864</f>
        <v>4864</v>
      </c>
      <c r="R351" s="32" t="s">
        <v>661</v>
      </c>
      <c r="S351" s="33">
        <f>4870.55</f>
        <v>4870.55</v>
      </c>
      <c r="T351" s="30">
        <f>66600</f>
        <v>66600</v>
      </c>
      <c r="U351" s="30">
        <f>21780</f>
        <v>21780</v>
      </c>
      <c r="V351" s="30">
        <f>323930400</f>
        <v>323930400</v>
      </c>
      <c r="W351" s="30">
        <f>105313810</f>
        <v>105313810</v>
      </c>
      <c r="X351" s="34">
        <f>20</f>
        <v>20</v>
      </c>
    </row>
    <row r="352" spans="1:24">
      <c r="A352" s="25" t="s">
        <v>1219</v>
      </c>
      <c r="B352" s="25" t="s">
        <v>764</v>
      </c>
      <c r="C352" s="25" t="s">
        <v>765</v>
      </c>
      <c r="D352" s="25" t="s">
        <v>766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10</v>
      </c>
      <c r="K352" s="31">
        <f>2638</f>
        <v>2638</v>
      </c>
      <c r="L352" s="32" t="s">
        <v>1204</v>
      </c>
      <c r="M352" s="31">
        <f>2644.5</f>
        <v>2644.5</v>
      </c>
      <c r="N352" s="32" t="s">
        <v>1204</v>
      </c>
      <c r="O352" s="31">
        <f>2391.5</f>
        <v>2391.5</v>
      </c>
      <c r="P352" s="32" t="s">
        <v>661</v>
      </c>
      <c r="Q352" s="31">
        <f>2399.5</f>
        <v>2399.5</v>
      </c>
      <c r="R352" s="32" t="s">
        <v>661</v>
      </c>
      <c r="S352" s="33">
        <f>2511.23</f>
        <v>2511.23</v>
      </c>
      <c r="T352" s="30">
        <f>1211090</f>
        <v>1211090</v>
      </c>
      <c r="U352" s="30">
        <f>233660</f>
        <v>233660</v>
      </c>
      <c r="V352" s="30">
        <f>3053193651</f>
        <v>3053193651</v>
      </c>
      <c r="W352" s="30">
        <f>597196311</f>
        <v>597196311</v>
      </c>
      <c r="X352" s="34">
        <f>20</f>
        <v>20</v>
      </c>
    </row>
    <row r="353" spans="1:24">
      <c r="A353" s="25" t="s">
        <v>1219</v>
      </c>
      <c r="B353" s="25" t="s">
        <v>767</v>
      </c>
      <c r="C353" s="25" t="s">
        <v>768</v>
      </c>
      <c r="D353" s="25" t="s">
        <v>769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10</v>
      </c>
      <c r="K353" s="31">
        <f>2223</f>
        <v>2223</v>
      </c>
      <c r="L353" s="32" t="s">
        <v>1204</v>
      </c>
      <c r="M353" s="31">
        <f>2223</f>
        <v>2223</v>
      </c>
      <c r="N353" s="32" t="s">
        <v>1204</v>
      </c>
      <c r="O353" s="31">
        <f>2075</f>
        <v>2075</v>
      </c>
      <c r="P353" s="32" t="s">
        <v>1080</v>
      </c>
      <c r="Q353" s="31">
        <f>2094.5</f>
        <v>2094.5</v>
      </c>
      <c r="R353" s="32" t="s">
        <v>661</v>
      </c>
      <c r="S353" s="33">
        <f>2135.68</f>
        <v>2135.6799999999998</v>
      </c>
      <c r="T353" s="30">
        <f>214270</f>
        <v>214270</v>
      </c>
      <c r="U353" s="30">
        <f>1010</f>
        <v>1010</v>
      </c>
      <c r="V353" s="30">
        <f>457908920</f>
        <v>457908920</v>
      </c>
      <c r="W353" s="30">
        <f>2155300</f>
        <v>2155300</v>
      </c>
      <c r="X353" s="34">
        <f>20</f>
        <v>20</v>
      </c>
    </row>
    <row r="354" spans="1:24">
      <c r="A354" s="25" t="s">
        <v>1219</v>
      </c>
      <c r="B354" s="25" t="s">
        <v>770</v>
      </c>
      <c r="C354" s="25" t="s">
        <v>771</v>
      </c>
      <c r="D354" s="25" t="s">
        <v>772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1858</f>
        <v>1858</v>
      </c>
      <c r="L354" s="32" t="s">
        <v>1204</v>
      </c>
      <c r="M354" s="31">
        <f>1920</f>
        <v>1920</v>
      </c>
      <c r="N354" s="32" t="s">
        <v>1209</v>
      </c>
      <c r="O354" s="31">
        <f>1786</f>
        <v>1786</v>
      </c>
      <c r="P354" s="32" t="s">
        <v>1220</v>
      </c>
      <c r="Q354" s="31">
        <f>1815</f>
        <v>1815</v>
      </c>
      <c r="R354" s="32" t="s">
        <v>661</v>
      </c>
      <c r="S354" s="33">
        <f>1859.8</f>
        <v>1859.8</v>
      </c>
      <c r="T354" s="30">
        <f>699</f>
        <v>699</v>
      </c>
      <c r="U354" s="30">
        <f>10</f>
        <v>10</v>
      </c>
      <c r="V354" s="30">
        <f>1277026</f>
        <v>1277026</v>
      </c>
      <c r="W354" s="30">
        <f>18600</f>
        <v>18600</v>
      </c>
      <c r="X354" s="34">
        <f>20</f>
        <v>20</v>
      </c>
    </row>
    <row r="355" spans="1:24">
      <c r="A355" s="25" t="s">
        <v>1219</v>
      </c>
      <c r="B355" s="25" t="s">
        <v>773</v>
      </c>
      <c r="C355" s="25" t="s">
        <v>774</v>
      </c>
      <c r="D355" s="25" t="s">
        <v>775</v>
      </c>
      <c r="E355" s="26" t="s">
        <v>43</v>
      </c>
      <c r="F355" s="27" t="s">
        <v>43</v>
      </c>
      <c r="G355" s="28" t="s">
        <v>43</v>
      </c>
      <c r="H355" s="29"/>
      <c r="I355" s="29" t="s">
        <v>44</v>
      </c>
      <c r="J355" s="30">
        <v>1</v>
      </c>
      <c r="K355" s="31">
        <f>2091</f>
        <v>2091</v>
      </c>
      <c r="L355" s="32" t="s">
        <v>1204</v>
      </c>
      <c r="M355" s="31">
        <f>2178</f>
        <v>2178</v>
      </c>
      <c r="N355" s="32" t="s">
        <v>663</v>
      </c>
      <c r="O355" s="31">
        <f>2000</f>
        <v>2000</v>
      </c>
      <c r="P355" s="32" t="s">
        <v>1220</v>
      </c>
      <c r="Q355" s="31">
        <f>2045</f>
        <v>2045</v>
      </c>
      <c r="R355" s="32" t="s">
        <v>661</v>
      </c>
      <c r="S355" s="33">
        <f>2088.32</f>
        <v>2088.3200000000002</v>
      </c>
      <c r="T355" s="30">
        <f>4698851</f>
        <v>4698851</v>
      </c>
      <c r="U355" s="30">
        <f>4697400</f>
        <v>4697400</v>
      </c>
      <c r="V355" s="30">
        <f>9947386528</f>
        <v>9947386528</v>
      </c>
      <c r="W355" s="30">
        <f>9944365321</f>
        <v>9944365321</v>
      </c>
      <c r="X355" s="34">
        <f>19</f>
        <v>19</v>
      </c>
    </row>
    <row r="356" spans="1:24">
      <c r="A356" s="25" t="s">
        <v>1219</v>
      </c>
      <c r="B356" s="25" t="s">
        <v>776</v>
      </c>
      <c r="C356" s="25" t="s">
        <v>777</v>
      </c>
      <c r="D356" s="25" t="s">
        <v>778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</v>
      </c>
      <c r="K356" s="31">
        <f>4395</f>
        <v>4395</v>
      </c>
      <c r="L356" s="32" t="s">
        <v>1204</v>
      </c>
      <c r="M356" s="31">
        <f>4580</f>
        <v>4580</v>
      </c>
      <c r="N356" s="32" t="s">
        <v>1075</v>
      </c>
      <c r="O356" s="31">
        <f>4310</f>
        <v>4310</v>
      </c>
      <c r="P356" s="32" t="s">
        <v>1206</v>
      </c>
      <c r="Q356" s="31">
        <f>4385</f>
        <v>4385</v>
      </c>
      <c r="R356" s="32" t="s">
        <v>661</v>
      </c>
      <c r="S356" s="33">
        <f>4422.5</f>
        <v>4422.5</v>
      </c>
      <c r="T356" s="30">
        <f>61509</f>
        <v>61509</v>
      </c>
      <c r="U356" s="30">
        <f>25000</f>
        <v>25000</v>
      </c>
      <c r="V356" s="30">
        <f>272312472</f>
        <v>272312472</v>
      </c>
      <c r="W356" s="30">
        <f>110658967</f>
        <v>110658967</v>
      </c>
      <c r="X356" s="34">
        <f>20</f>
        <v>20</v>
      </c>
    </row>
    <row r="357" spans="1:24">
      <c r="A357" s="25" t="s">
        <v>1219</v>
      </c>
      <c r="B357" s="25" t="s">
        <v>779</v>
      </c>
      <c r="C357" s="25" t="s">
        <v>780</v>
      </c>
      <c r="D357" s="25" t="s">
        <v>781</v>
      </c>
      <c r="E357" s="26" t="s">
        <v>43</v>
      </c>
      <c r="F357" s="27" t="s">
        <v>43</v>
      </c>
      <c r="G357" s="28" t="s">
        <v>43</v>
      </c>
      <c r="H357" s="29"/>
      <c r="I357" s="29" t="s">
        <v>44</v>
      </c>
      <c r="J357" s="30">
        <v>10</v>
      </c>
      <c r="K357" s="31">
        <f>1964.5</f>
        <v>1964.5</v>
      </c>
      <c r="L357" s="32" t="s">
        <v>1204</v>
      </c>
      <c r="M357" s="31">
        <f>2003</f>
        <v>2003</v>
      </c>
      <c r="N357" s="32" t="s">
        <v>1210</v>
      </c>
      <c r="O357" s="31">
        <f>1871</f>
        <v>1871</v>
      </c>
      <c r="P357" s="32" t="s">
        <v>1220</v>
      </c>
      <c r="Q357" s="31">
        <f>1901.5</f>
        <v>1901.5</v>
      </c>
      <c r="R357" s="32" t="s">
        <v>661</v>
      </c>
      <c r="S357" s="33">
        <f>1957.38</f>
        <v>1957.38</v>
      </c>
      <c r="T357" s="30">
        <f>31350</f>
        <v>31350</v>
      </c>
      <c r="U357" s="30">
        <f>130</f>
        <v>130</v>
      </c>
      <c r="V357" s="30">
        <f>61486654</f>
        <v>61486654</v>
      </c>
      <c r="W357" s="30">
        <f>252484</f>
        <v>252484</v>
      </c>
      <c r="X357" s="34">
        <f>20</f>
        <v>20</v>
      </c>
    </row>
    <row r="358" spans="1:24">
      <c r="A358" s="25" t="s">
        <v>1219</v>
      </c>
      <c r="B358" s="25" t="s">
        <v>788</v>
      </c>
      <c r="C358" s="25" t="s">
        <v>789</v>
      </c>
      <c r="D358" s="25" t="s">
        <v>790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269.9</f>
        <v>269.89999999999998</v>
      </c>
      <c r="L358" s="32" t="s">
        <v>1204</v>
      </c>
      <c r="M358" s="31">
        <f>282.9</f>
        <v>282.89999999999998</v>
      </c>
      <c r="N358" s="32" t="s">
        <v>1210</v>
      </c>
      <c r="O358" s="31">
        <f>260</f>
        <v>260</v>
      </c>
      <c r="P358" s="32" t="s">
        <v>1206</v>
      </c>
      <c r="Q358" s="31">
        <f>271.5</f>
        <v>271.5</v>
      </c>
      <c r="R358" s="32" t="s">
        <v>661</v>
      </c>
      <c r="S358" s="33">
        <f>274.08</f>
        <v>274.08</v>
      </c>
      <c r="T358" s="30">
        <f>114580</f>
        <v>114580</v>
      </c>
      <c r="U358" s="30" t="str">
        <f>"－"</f>
        <v>－</v>
      </c>
      <c r="V358" s="30">
        <f>30451204</f>
        <v>30451204</v>
      </c>
      <c r="W358" s="30" t="str">
        <f>"－"</f>
        <v>－</v>
      </c>
      <c r="X358" s="34">
        <f>17</f>
        <v>17</v>
      </c>
    </row>
    <row r="359" spans="1:24">
      <c r="A359" s="25" t="s">
        <v>1219</v>
      </c>
      <c r="B359" s="25" t="s">
        <v>782</v>
      </c>
      <c r="C359" s="25" t="s">
        <v>783</v>
      </c>
      <c r="D359" s="25" t="s">
        <v>784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10</v>
      </c>
      <c r="K359" s="31">
        <f>173.7</f>
        <v>173.7</v>
      </c>
      <c r="L359" s="32" t="s">
        <v>1204</v>
      </c>
      <c r="M359" s="31">
        <f>173.7</f>
        <v>173.7</v>
      </c>
      <c r="N359" s="32" t="s">
        <v>1204</v>
      </c>
      <c r="O359" s="31">
        <f>162.4</f>
        <v>162.4</v>
      </c>
      <c r="P359" s="32" t="s">
        <v>1220</v>
      </c>
      <c r="Q359" s="31">
        <f>168.2</f>
        <v>168.2</v>
      </c>
      <c r="R359" s="32" t="s">
        <v>661</v>
      </c>
      <c r="S359" s="33">
        <f>167.07</f>
        <v>167.07</v>
      </c>
      <c r="T359" s="30">
        <f>259240</f>
        <v>259240</v>
      </c>
      <c r="U359" s="30">
        <f>21680</f>
        <v>21680</v>
      </c>
      <c r="V359" s="30">
        <f>42692128</f>
        <v>42692128</v>
      </c>
      <c r="W359" s="30">
        <f>3674690</f>
        <v>3674690</v>
      </c>
      <c r="X359" s="34">
        <f>20</f>
        <v>20</v>
      </c>
    </row>
    <row r="360" spans="1:24">
      <c r="A360" s="25" t="s">
        <v>1219</v>
      </c>
      <c r="B360" s="25" t="s">
        <v>785</v>
      </c>
      <c r="C360" s="25" t="s">
        <v>786</v>
      </c>
      <c r="D360" s="25" t="s">
        <v>787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10</v>
      </c>
      <c r="K360" s="31">
        <f>681.9</f>
        <v>681.9</v>
      </c>
      <c r="L360" s="32" t="s">
        <v>1209</v>
      </c>
      <c r="M360" s="31">
        <f>681.9</f>
        <v>681.9</v>
      </c>
      <c r="N360" s="32" t="s">
        <v>1209</v>
      </c>
      <c r="O360" s="31">
        <f>631.4</f>
        <v>631.4</v>
      </c>
      <c r="P360" s="32" t="s">
        <v>1079</v>
      </c>
      <c r="Q360" s="31">
        <f>648.7</f>
        <v>648.70000000000005</v>
      </c>
      <c r="R360" s="32" t="s">
        <v>661</v>
      </c>
      <c r="S360" s="33">
        <f>650.49</f>
        <v>650.49</v>
      </c>
      <c r="T360" s="30">
        <f>11390</f>
        <v>11390</v>
      </c>
      <c r="U360" s="30">
        <f>20</f>
        <v>20</v>
      </c>
      <c r="V360" s="30">
        <f>7374854</f>
        <v>7374854</v>
      </c>
      <c r="W360" s="30">
        <f>12972</f>
        <v>12972</v>
      </c>
      <c r="X360" s="34">
        <f>13</f>
        <v>13</v>
      </c>
    </row>
    <row r="361" spans="1:24">
      <c r="A361" s="25" t="s">
        <v>1219</v>
      </c>
      <c r="B361" s="25" t="s">
        <v>791</v>
      </c>
      <c r="C361" s="25" t="s">
        <v>792</v>
      </c>
      <c r="D361" s="25" t="s">
        <v>793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</v>
      </c>
      <c r="K361" s="31">
        <f>1575</f>
        <v>1575</v>
      </c>
      <c r="L361" s="32" t="s">
        <v>1204</v>
      </c>
      <c r="M361" s="31">
        <f>1604</f>
        <v>1604</v>
      </c>
      <c r="N361" s="32" t="s">
        <v>1209</v>
      </c>
      <c r="O361" s="31">
        <f>1450</f>
        <v>1450</v>
      </c>
      <c r="P361" s="32" t="s">
        <v>1220</v>
      </c>
      <c r="Q361" s="31">
        <f>1462</f>
        <v>1462</v>
      </c>
      <c r="R361" s="32" t="s">
        <v>661</v>
      </c>
      <c r="S361" s="33">
        <f>1534.5</f>
        <v>1534.5</v>
      </c>
      <c r="T361" s="30">
        <f>151143</f>
        <v>151143</v>
      </c>
      <c r="U361" s="30">
        <f>1668</f>
        <v>1668</v>
      </c>
      <c r="V361" s="30">
        <f>231405795</f>
        <v>231405795</v>
      </c>
      <c r="W361" s="30">
        <f>2563368</f>
        <v>2563368</v>
      </c>
      <c r="X361" s="34">
        <f>20</f>
        <v>20</v>
      </c>
    </row>
    <row r="362" spans="1:24">
      <c r="A362" s="25" t="s">
        <v>1219</v>
      </c>
      <c r="B362" s="25" t="s">
        <v>794</v>
      </c>
      <c r="C362" s="25" t="s">
        <v>795</v>
      </c>
      <c r="D362" s="25" t="s">
        <v>796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</v>
      </c>
      <c r="K362" s="31">
        <f>891</f>
        <v>891</v>
      </c>
      <c r="L362" s="32" t="s">
        <v>1204</v>
      </c>
      <c r="M362" s="31">
        <f>908</f>
        <v>908</v>
      </c>
      <c r="N362" s="32" t="s">
        <v>1075</v>
      </c>
      <c r="O362" s="31">
        <f>860</f>
        <v>860</v>
      </c>
      <c r="P362" s="32" t="s">
        <v>1220</v>
      </c>
      <c r="Q362" s="31">
        <f>894</f>
        <v>894</v>
      </c>
      <c r="R362" s="32" t="s">
        <v>661</v>
      </c>
      <c r="S362" s="33">
        <f>885.95</f>
        <v>885.95</v>
      </c>
      <c r="T362" s="30">
        <f>41379</f>
        <v>41379</v>
      </c>
      <c r="U362" s="30">
        <f>102</f>
        <v>102</v>
      </c>
      <c r="V362" s="30">
        <f>36626947</f>
        <v>36626947</v>
      </c>
      <c r="W362" s="30">
        <f>89459</f>
        <v>89459</v>
      </c>
      <c r="X362" s="34">
        <f>20</f>
        <v>20</v>
      </c>
    </row>
    <row r="363" spans="1:24">
      <c r="A363" s="25" t="s">
        <v>1219</v>
      </c>
      <c r="B363" s="25" t="s">
        <v>797</v>
      </c>
      <c r="C363" s="25" t="s">
        <v>798</v>
      </c>
      <c r="D363" s="25" t="s">
        <v>799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10</v>
      </c>
      <c r="K363" s="31">
        <f>688.3</f>
        <v>688.3</v>
      </c>
      <c r="L363" s="32" t="s">
        <v>1204</v>
      </c>
      <c r="M363" s="31">
        <f>693</f>
        <v>693</v>
      </c>
      <c r="N363" s="32" t="s">
        <v>1220</v>
      </c>
      <c r="O363" s="31">
        <f>680.1</f>
        <v>680.1</v>
      </c>
      <c r="P363" s="32" t="s">
        <v>1210</v>
      </c>
      <c r="Q363" s="31">
        <f>691</f>
        <v>691</v>
      </c>
      <c r="R363" s="32" t="s">
        <v>661</v>
      </c>
      <c r="S363" s="33">
        <f>687.14</f>
        <v>687.14</v>
      </c>
      <c r="T363" s="30">
        <f>502310</f>
        <v>502310</v>
      </c>
      <c r="U363" s="30">
        <f>10</f>
        <v>10</v>
      </c>
      <c r="V363" s="30">
        <f>345462108</f>
        <v>345462108</v>
      </c>
      <c r="W363" s="30">
        <f>6868</f>
        <v>6868</v>
      </c>
      <c r="X363" s="34">
        <f>20</f>
        <v>20</v>
      </c>
    </row>
    <row r="364" spans="1:24">
      <c r="A364" s="25" t="s">
        <v>1219</v>
      </c>
      <c r="B364" s="25" t="s">
        <v>800</v>
      </c>
      <c r="C364" s="25" t="s">
        <v>801</v>
      </c>
      <c r="D364" s="25" t="s">
        <v>802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678.3</f>
        <v>678.3</v>
      </c>
      <c r="L364" s="32" t="s">
        <v>1204</v>
      </c>
      <c r="M364" s="31">
        <f>678.3</f>
        <v>678.3</v>
      </c>
      <c r="N364" s="32" t="s">
        <v>1204</v>
      </c>
      <c r="O364" s="31">
        <f>654</f>
        <v>654</v>
      </c>
      <c r="P364" s="32" t="s">
        <v>1206</v>
      </c>
      <c r="Q364" s="31">
        <f>664.1</f>
        <v>664.1</v>
      </c>
      <c r="R364" s="32" t="s">
        <v>661</v>
      </c>
      <c r="S364" s="33">
        <f>660.89</f>
        <v>660.89</v>
      </c>
      <c r="T364" s="30">
        <f>9752180</f>
        <v>9752180</v>
      </c>
      <c r="U364" s="30">
        <f>9707640</f>
        <v>9707640</v>
      </c>
      <c r="V364" s="30">
        <f>6402269370</f>
        <v>6402269370</v>
      </c>
      <c r="W364" s="30">
        <f>6373019470</f>
        <v>6373019470</v>
      </c>
      <c r="X364" s="34">
        <f>20</f>
        <v>20</v>
      </c>
    </row>
    <row r="365" spans="1:24">
      <c r="A365" s="25" t="s">
        <v>1219</v>
      </c>
      <c r="B365" s="25" t="s">
        <v>803</v>
      </c>
      <c r="C365" s="25" t="s">
        <v>804</v>
      </c>
      <c r="D365" s="25" t="s">
        <v>805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</v>
      </c>
      <c r="K365" s="31">
        <f>1214</f>
        <v>1214</v>
      </c>
      <c r="L365" s="32" t="s">
        <v>1204</v>
      </c>
      <c r="M365" s="31">
        <f>1214</f>
        <v>1214</v>
      </c>
      <c r="N365" s="32" t="s">
        <v>1204</v>
      </c>
      <c r="O365" s="31">
        <f>1150</f>
        <v>1150</v>
      </c>
      <c r="P365" s="32" t="s">
        <v>1220</v>
      </c>
      <c r="Q365" s="31">
        <f>1165</f>
        <v>1165</v>
      </c>
      <c r="R365" s="32" t="s">
        <v>661</v>
      </c>
      <c r="S365" s="33">
        <f>1189.8</f>
        <v>1189.8</v>
      </c>
      <c r="T365" s="30">
        <f>25977</f>
        <v>25977</v>
      </c>
      <c r="U365" s="30" t="str">
        <f>"－"</f>
        <v>－</v>
      </c>
      <c r="V365" s="30">
        <f>30834365</f>
        <v>30834365</v>
      </c>
      <c r="W365" s="30" t="str">
        <f>"－"</f>
        <v>－</v>
      </c>
      <c r="X365" s="34">
        <f>20</f>
        <v>20</v>
      </c>
    </row>
    <row r="366" spans="1:24">
      <c r="A366" s="25" t="s">
        <v>1219</v>
      </c>
      <c r="B366" s="25" t="s">
        <v>812</v>
      </c>
      <c r="C366" s="25" t="s">
        <v>813</v>
      </c>
      <c r="D366" s="25" t="s">
        <v>814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10</v>
      </c>
      <c r="K366" s="31">
        <f>2813.5</f>
        <v>2813.5</v>
      </c>
      <c r="L366" s="32" t="s">
        <v>1204</v>
      </c>
      <c r="M366" s="31">
        <f>2855.5</f>
        <v>2855.5</v>
      </c>
      <c r="N366" s="32" t="s">
        <v>1085</v>
      </c>
      <c r="O366" s="31">
        <f>2699</f>
        <v>2699</v>
      </c>
      <c r="P366" s="32" t="s">
        <v>661</v>
      </c>
      <c r="Q366" s="31">
        <f>2720</f>
        <v>2720</v>
      </c>
      <c r="R366" s="32" t="s">
        <v>661</v>
      </c>
      <c r="S366" s="33">
        <f>2788.08</f>
        <v>2788.08</v>
      </c>
      <c r="T366" s="30">
        <f>478880</f>
        <v>478880</v>
      </c>
      <c r="U366" s="30">
        <f>30</f>
        <v>30</v>
      </c>
      <c r="V366" s="30">
        <f>1328514290</f>
        <v>1328514290</v>
      </c>
      <c r="W366" s="30">
        <f>84330</f>
        <v>84330</v>
      </c>
      <c r="X366" s="34">
        <f>20</f>
        <v>20</v>
      </c>
    </row>
    <row r="367" spans="1:24">
      <c r="A367" s="25" t="s">
        <v>1219</v>
      </c>
      <c r="B367" s="25" t="s">
        <v>815</v>
      </c>
      <c r="C367" s="25" t="s">
        <v>816</v>
      </c>
      <c r="D367" s="25" t="s">
        <v>817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10</v>
      </c>
      <c r="K367" s="31">
        <f>3048</f>
        <v>3048</v>
      </c>
      <c r="L367" s="32" t="s">
        <v>1204</v>
      </c>
      <c r="M367" s="31">
        <f>3180</f>
        <v>3180</v>
      </c>
      <c r="N367" s="32" t="s">
        <v>1207</v>
      </c>
      <c r="O367" s="31">
        <f>2960</f>
        <v>2960</v>
      </c>
      <c r="P367" s="32" t="s">
        <v>661</v>
      </c>
      <c r="Q367" s="31">
        <f>2978.5</f>
        <v>2978.5</v>
      </c>
      <c r="R367" s="32" t="s">
        <v>661</v>
      </c>
      <c r="S367" s="33">
        <f>3079.93</f>
        <v>3079.93</v>
      </c>
      <c r="T367" s="30">
        <f>2122680</f>
        <v>2122680</v>
      </c>
      <c r="U367" s="30">
        <f>325110</f>
        <v>325110</v>
      </c>
      <c r="V367" s="30">
        <f>6548884243</f>
        <v>6548884243</v>
      </c>
      <c r="W367" s="30">
        <f>1000820473</f>
        <v>1000820473</v>
      </c>
      <c r="X367" s="34">
        <f>20</f>
        <v>20</v>
      </c>
    </row>
    <row r="368" spans="1:24">
      <c r="A368" s="25" t="s">
        <v>1219</v>
      </c>
      <c r="B368" s="25" t="s">
        <v>806</v>
      </c>
      <c r="C368" s="25" t="s">
        <v>807</v>
      </c>
      <c r="D368" s="25" t="s">
        <v>808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5135</f>
        <v>5135</v>
      </c>
      <c r="L368" s="32" t="s">
        <v>1204</v>
      </c>
      <c r="M368" s="31">
        <f>5250</f>
        <v>5250</v>
      </c>
      <c r="N368" s="32" t="s">
        <v>1207</v>
      </c>
      <c r="O368" s="31">
        <f>5096</f>
        <v>5096</v>
      </c>
      <c r="P368" s="32" t="s">
        <v>738</v>
      </c>
      <c r="Q368" s="31">
        <f>5223</f>
        <v>5223</v>
      </c>
      <c r="R368" s="32" t="s">
        <v>661</v>
      </c>
      <c r="S368" s="33">
        <f>5174.83</f>
        <v>5174.83</v>
      </c>
      <c r="T368" s="30">
        <f>133850</f>
        <v>133850</v>
      </c>
      <c r="U368" s="30" t="str">
        <f>"－"</f>
        <v>－</v>
      </c>
      <c r="V368" s="30">
        <f>687493320</f>
        <v>687493320</v>
      </c>
      <c r="W368" s="30" t="str">
        <f>"－"</f>
        <v>－</v>
      </c>
      <c r="X368" s="34">
        <f>12</f>
        <v>12</v>
      </c>
    </row>
    <row r="369" spans="1:24">
      <c r="A369" s="25" t="s">
        <v>1219</v>
      </c>
      <c r="B369" s="25" t="s">
        <v>809</v>
      </c>
      <c r="C369" s="25" t="s">
        <v>810</v>
      </c>
      <c r="D369" s="25" t="s">
        <v>811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10</v>
      </c>
      <c r="K369" s="31">
        <f>4143</f>
        <v>4143</v>
      </c>
      <c r="L369" s="32" t="s">
        <v>1208</v>
      </c>
      <c r="M369" s="31">
        <f>4143</f>
        <v>4143</v>
      </c>
      <c r="N369" s="32" t="s">
        <v>1208</v>
      </c>
      <c r="O369" s="31">
        <f>4026</f>
        <v>4026</v>
      </c>
      <c r="P369" s="32" t="s">
        <v>1206</v>
      </c>
      <c r="Q369" s="31">
        <f>4054</f>
        <v>4054</v>
      </c>
      <c r="R369" s="32" t="s">
        <v>1076</v>
      </c>
      <c r="S369" s="33">
        <f>4058.6</f>
        <v>4058.6</v>
      </c>
      <c r="T369" s="30">
        <f>564620</f>
        <v>564620</v>
      </c>
      <c r="U369" s="30">
        <f>510800</f>
        <v>510800</v>
      </c>
      <c r="V369" s="30">
        <f>2303382844</f>
        <v>2303382844</v>
      </c>
      <c r="W369" s="30">
        <f>2084931684</f>
        <v>2084931684</v>
      </c>
      <c r="X369" s="34">
        <f>5</f>
        <v>5</v>
      </c>
    </row>
    <row r="370" spans="1:24">
      <c r="A370" s="25" t="s">
        <v>1219</v>
      </c>
      <c r="B370" s="25" t="s">
        <v>818</v>
      </c>
      <c r="C370" s="25" t="s">
        <v>819</v>
      </c>
      <c r="D370" s="25" t="s">
        <v>820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10</v>
      </c>
      <c r="K370" s="31">
        <f>1903.5</f>
        <v>1903.5</v>
      </c>
      <c r="L370" s="32" t="s">
        <v>1204</v>
      </c>
      <c r="M370" s="31">
        <f>1910</f>
        <v>1910</v>
      </c>
      <c r="N370" s="32" t="s">
        <v>1208</v>
      </c>
      <c r="O370" s="31">
        <f>1784</f>
        <v>1784</v>
      </c>
      <c r="P370" s="32" t="s">
        <v>661</v>
      </c>
      <c r="Q370" s="31">
        <f>1857.5</f>
        <v>1857.5</v>
      </c>
      <c r="R370" s="32" t="s">
        <v>661</v>
      </c>
      <c r="S370" s="33">
        <f>1871.77</f>
        <v>1871.77</v>
      </c>
      <c r="T370" s="30">
        <f>1790</f>
        <v>1790</v>
      </c>
      <c r="U370" s="30" t="str">
        <f>"－"</f>
        <v>－</v>
      </c>
      <c r="V370" s="30">
        <f>3323505</f>
        <v>3323505</v>
      </c>
      <c r="W370" s="30" t="str">
        <f>"－"</f>
        <v>－</v>
      </c>
      <c r="X370" s="34">
        <f>13</f>
        <v>13</v>
      </c>
    </row>
    <row r="371" spans="1:24">
      <c r="A371" s="25" t="s">
        <v>1219</v>
      </c>
      <c r="B371" s="25" t="s">
        <v>821</v>
      </c>
      <c r="C371" s="25" t="s">
        <v>822</v>
      </c>
      <c r="D371" s="25" t="s">
        <v>823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1280</f>
        <v>1280</v>
      </c>
      <c r="L371" s="32" t="s">
        <v>1204</v>
      </c>
      <c r="M371" s="31">
        <f>1280</f>
        <v>1280</v>
      </c>
      <c r="N371" s="32" t="s">
        <v>1204</v>
      </c>
      <c r="O371" s="31">
        <f>1192</f>
        <v>1192</v>
      </c>
      <c r="P371" s="32" t="s">
        <v>661</v>
      </c>
      <c r="Q371" s="31">
        <f>1216</f>
        <v>1216</v>
      </c>
      <c r="R371" s="32" t="s">
        <v>661</v>
      </c>
      <c r="S371" s="33">
        <f>1232.8</f>
        <v>1232.8</v>
      </c>
      <c r="T371" s="30">
        <f>9301</f>
        <v>9301</v>
      </c>
      <c r="U371" s="30" t="str">
        <f>"－"</f>
        <v>－</v>
      </c>
      <c r="V371" s="30">
        <f>11379771</f>
        <v>11379771</v>
      </c>
      <c r="W371" s="30" t="str">
        <f>"－"</f>
        <v>－</v>
      </c>
      <c r="X371" s="34">
        <f>20</f>
        <v>20</v>
      </c>
    </row>
    <row r="372" spans="1:24">
      <c r="A372" s="25" t="s">
        <v>1219</v>
      </c>
      <c r="B372" s="25" t="s">
        <v>824</v>
      </c>
      <c r="C372" s="25" t="s">
        <v>825</v>
      </c>
      <c r="D372" s="25" t="s">
        <v>826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1190</f>
        <v>1190</v>
      </c>
      <c r="L372" s="32" t="s">
        <v>1204</v>
      </c>
      <c r="M372" s="31">
        <f>1192</f>
        <v>1192</v>
      </c>
      <c r="N372" s="32" t="s">
        <v>1204</v>
      </c>
      <c r="O372" s="31">
        <f>1052</f>
        <v>1052</v>
      </c>
      <c r="P372" s="32" t="s">
        <v>1220</v>
      </c>
      <c r="Q372" s="31">
        <f>1080</f>
        <v>1080</v>
      </c>
      <c r="R372" s="32" t="s">
        <v>661</v>
      </c>
      <c r="S372" s="33">
        <f>1116.1</f>
        <v>1116.0999999999999</v>
      </c>
      <c r="T372" s="30">
        <f>10056613</f>
        <v>10056613</v>
      </c>
      <c r="U372" s="30">
        <f>1579</f>
        <v>1579</v>
      </c>
      <c r="V372" s="30">
        <f>11201607882</f>
        <v>11201607882</v>
      </c>
      <c r="W372" s="30">
        <f>1774988</f>
        <v>1774988</v>
      </c>
      <c r="X372" s="34">
        <f>20</f>
        <v>20</v>
      </c>
    </row>
    <row r="373" spans="1:24">
      <c r="A373" s="25" t="s">
        <v>1219</v>
      </c>
      <c r="B373" s="25" t="s">
        <v>827</v>
      </c>
      <c r="C373" s="25" t="s">
        <v>828</v>
      </c>
      <c r="D373" s="25" t="s">
        <v>829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1002</f>
        <v>1002</v>
      </c>
      <c r="L373" s="32" t="s">
        <v>1204</v>
      </c>
      <c r="M373" s="31">
        <f>1005</f>
        <v>1005</v>
      </c>
      <c r="N373" s="32" t="s">
        <v>1204</v>
      </c>
      <c r="O373" s="31">
        <f>949</f>
        <v>949</v>
      </c>
      <c r="P373" s="32" t="s">
        <v>1220</v>
      </c>
      <c r="Q373" s="31">
        <f>963</f>
        <v>963</v>
      </c>
      <c r="R373" s="32" t="s">
        <v>661</v>
      </c>
      <c r="S373" s="33">
        <f>977.85</f>
        <v>977.85</v>
      </c>
      <c r="T373" s="30">
        <f>1046543</f>
        <v>1046543</v>
      </c>
      <c r="U373" s="30">
        <f>51</f>
        <v>51</v>
      </c>
      <c r="V373" s="30">
        <f>1017247910</f>
        <v>1017247910</v>
      </c>
      <c r="W373" s="30">
        <f>45735</f>
        <v>45735</v>
      </c>
      <c r="X373" s="34">
        <f>20</f>
        <v>20</v>
      </c>
    </row>
    <row r="374" spans="1:24">
      <c r="A374" s="25" t="s">
        <v>1219</v>
      </c>
      <c r="B374" s="25" t="s">
        <v>834</v>
      </c>
      <c r="C374" s="25" t="s">
        <v>835</v>
      </c>
      <c r="D374" s="25" t="s">
        <v>836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1054</f>
        <v>1054</v>
      </c>
      <c r="L374" s="32" t="s">
        <v>1204</v>
      </c>
      <c r="M374" s="31">
        <f>1092</f>
        <v>1092</v>
      </c>
      <c r="N374" s="32" t="s">
        <v>1078</v>
      </c>
      <c r="O374" s="31">
        <f>980</f>
        <v>980</v>
      </c>
      <c r="P374" s="32" t="s">
        <v>661</v>
      </c>
      <c r="Q374" s="31">
        <f>989</f>
        <v>989</v>
      </c>
      <c r="R374" s="32" t="s">
        <v>661</v>
      </c>
      <c r="S374" s="33">
        <f>1052.05</f>
        <v>1052.05</v>
      </c>
      <c r="T374" s="30">
        <f>14851</f>
        <v>14851</v>
      </c>
      <c r="U374" s="30" t="str">
        <f>"－"</f>
        <v>－</v>
      </c>
      <c r="V374" s="30">
        <f>15529332</f>
        <v>15529332</v>
      </c>
      <c r="W374" s="30" t="str">
        <f>"－"</f>
        <v>－</v>
      </c>
      <c r="X374" s="34">
        <f>20</f>
        <v>20</v>
      </c>
    </row>
    <row r="375" spans="1:24">
      <c r="A375" s="25" t="s">
        <v>1219</v>
      </c>
      <c r="B375" s="25" t="s">
        <v>837</v>
      </c>
      <c r="C375" s="25" t="s">
        <v>838</v>
      </c>
      <c r="D375" s="25" t="s">
        <v>839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1091</f>
        <v>1091</v>
      </c>
      <c r="L375" s="32" t="s">
        <v>1204</v>
      </c>
      <c r="M375" s="31">
        <f>1092</f>
        <v>1092</v>
      </c>
      <c r="N375" s="32" t="s">
        <v>1204</v>
      </c>
      <c r="O375" s="31">
        <f>990</f>
        <v>990</v>
      </c>
      <c r="P375" s="32" t="s">
        <v>1220</v>
      </c>
      <c r="Q375" s="31">
        <f>1009</f>
        <v>1009</v>
      </c>
      <c r="R375" s="32" t="s">
        <v>661</v>
      </c>
      <c r="S375" s="33">
        <f>1034.1</f>
        <v>1034.0999999999999</v>
      </c>
      <c r="T375" s="30">
        <f>1914823</f>
        <v>1914823</v>
      </c>
      <c r="U375" s="30">
        <f>137</f>
        <v>137</v>
      </c>
      <c r="V375" s="30">
        <f>1982011589</f>
        <v>1982011589</v>
      </c>
      <c r="W375" s="30">
        <f>137499</f>
        <v>137499</v>
      </c>
      <c r="X375" s="34">
        <f>20</f>
        <v>20</v>
      </c>
    </row>
    <row r="376" spans="1:24">
      <c r="A376" s="25" t="s">
        <v>1219</v>
      </c>
      <c r="B376" s="25" t="s">
        <v>840</v>
      </c>
      <c r="C376" s="25" t="s">
        <v>841</v>
      </c>
      <c r="D376" s="25" t="s">
        <v>922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45040</f>
        <v>45040</v>
      </c>
      <c r="L376" s="32" t="s">
        <v>1204</v>
      </c>
      <c r="M376" s="31">
        <f>45300</f>
        <v>45300</v>
      </c>
      <c r="N376" s="32" t="s">
        <v>1204</v>
      </c>
      <c r="O376" s="31">
        <f>36770</f>
        <v>36770</v>
      </c>
      <c r="P376" s="32" t="s">
        <v>661</v>
      </c>
      <c r="Q376" s="31">
        <f>36960</f>
        <v>36960</v>
      </c>
      <c r="R376" s="32" t="s">
        <v>661</v>
      </c>
      <c r="S376" s="33">
        <f>40720</f>
        <v>40720</v>
      </c>
      <c r="T376" s="30">
        <f>448442</f>
        <v>448442</v>
      </c>
      <c r="U376" s="30">
        <f>819</f>
        <v>819</v>
      </c>
      <c r="V376" s="30">
        <f>18222613900</f>
        <v>18222613900</v>
      </c>
      <c r="W376" s="30">
        <f>32291920</f>
        <v>32291920</v>
      </c>
      <c r="X376" s="34">
        <f>20</f>
        <v>20</v>
      </c>
    </row>
    <row r="377" spans="1:24">
      <c r="A377" s="25" t="s">
        <v>1219</v>
      </c>
      <c r="B377" s="25" t="s">
        <v>842</v>
      </c>
      <c r="C377" s="25" t="s">
        <v>843</v>
      </c>
      <c r="D377" s="25" t="s">
        <v>923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17800</f>
        <v>17800</v>
      </c>
      <c r="L377" s="32" t="s">
        <v>1204</v>
      </c>
      <c r="M377" s="31">
        <f>21195</f>
        <v>21195</v>
      </c>
      <c r="N377" s="32" t="s">
        <v>661</v>
      </c>
      <c r="O377" s="31">
        <f>17695</f>
        <v>17695</v>
      </c>
      <c r="P377" s="32" t="s">
        <v>1204</v>
      </c>
      <c r="Q377" s="31">
        <f>21095</f>
        <v>21095</v>
      </c>
      <c r="R377" s="32" t="s">
        <v>661</v>
      </c>
      <c r="S377" s="33">
        <f>19583</f>
        <v>19583</v>
      </c>
      <c r="T377" s="30">
        <f>696531</f>
        <v>696531</v>
      </c>
      <c r="U377" s="30">
        <f>161</f>
        <v>161</v>
      </c>
      <c r="V377" s="30">
        <f>13791588725</f>
        <v>13791588725</v>
      </c>
      <c r="W377" s="30">
        <f>3005905</f>
        <v>3005905</v>
      </c>
      <c r="X377" s="34">
        <f>20</f>
        <v>20</v>
      </c>
    </row>
    <row r="378" spans="1:24">
      <c r="A378" s="25" t="s">
        <v>1219</v>
      </c>
      <c r="B378" s="25" t="s">
        <v>1173</v>
      </c>
      <c r="C378" s="25" t="s">
        <v>1174</v>
      </c>
      <c r="D378" s="25" t="s">
        <v>1175</v>
      </c>
      <c r="E378" s="26" t="s">
        <v>43</v>
      </c>
      <c r="F378" s="27" t="s">
        <v>43</v>
      </c>
      <c r="G378" s="28" t="s">
        <v>43</v>
      </c>
      <c r="H378" s="29"/>
      <c r="I378" s="29" t="s">
        <v>44</v>
      </c>
      <c r="J378" s="30">
        <v>1</v>
      </c>
      <c r="K378" s="31">
        <f>2024</f>
        <v>2024</v>
      </c>
      <c r="L378" s="32" t="s">
        <v>1204</v>
      </c>
      <c r="M378" s="31">
        <f>2086</f>
        <v>2086</v>
      </c>
      <c r="N378" s="32" t="s">
        <v>1212</v>
      </c>
      <c r="O378" s="31">
        <f>1949</f>
        <v>1949</v>
      </c>
      <c r="P378" s="32" t="s">
        <v>1220</v>
      </c>
      <c r="Q378" s="31">
        <f>1993</f>
        <v>1993</v>
      </c>
      <c r="R378" s="32" t="s">
        <v>661</v>
      </c>
      <c r="S378" s="33">
        <f>2032</f>
        <v>2032</v>
      </c>
      <c r="T378" s="30">
        <f>793</f>
        <v>793</v>
      </c>
      <c r="U378" s="30" t="str">
        <f>"－"</f>
        <v>－</v>
      </c>
      <c r="V378" s="30">
        <f>1628308</f>
        <v>1628308</v>
      </c>
      <c r="W378" s="30" t="str">
        <f>"－"</f>
        <v>－</v>
      </c>
      <c r="X378" s="34">
        <f>19</f>
        <v>19</v>
      </c>
    </row>
    <row r="379" spans="1:24">
      <c r="A379" s="25" t="s">
        <v>1219</v>
      </c>
      <c r="B379" s="25" t="s">
        <v>1176</v>
      </c>
      <c r="C379" s="25" t="s">
        <v>1177</v>
      </c>
      <c r="D379" s="25" t="s">
        <v>1178</v>
      </c>
      <c r="E379" s="26" t="s">
        <v>43</v>
      </c>
      <c r="F379" s="27" t="s">
        <v>43</v>
      </c>
      <c r="G379" s="28" t="s">
        <v>43</v>
      </c>
      <c r="H379" s="29"/>
      <c r="I379" s="29" t="s">
        <v>44</v>
      </c>
      <c r="J379" s="30">
        <v>1</v>
      </c>
      <c r="K379" s="31">
        <f>10150</f>
        <v>10150</v>
      </c>
      <c r="L379" s="32" t="s">
        <v>1204</v>
      </c>
      <c r="M379" s="31">
        <f>10150</f>
        <v>10150</v>
      </c>
      <c r="N379" s="32" t="s">
        <v>1204</v>
      </c>
      <c r="O379" s="31">
        <f>9550</f>
        <v>9550</v>
      </c>
      <c r="P379" s="32" t="s">
        <v>738</v>
      </c>
      <c r="Q379" s="31">
        <f>9910</f>
        <v>9910</v>
      </c>
      <c r="R379" s="32" t="s">
        <v>661</v>
      </c>
      <c r="S379" s="33">
        <f>9836.16</f>
        <v>9836.16</v>
      </c>
      <c r="T379" s="30">
        <f>17340</f>
        <v>17340</v>
      </c>
      <c r="U379" s="30">
        <f>2</f>
        <v>2</v>
      </c>
      <c r="V379" s="30">
        <f>171722712</f>
        <v>171722712</v>
      </c>
      <c r="W379" s="30">
        <f>19737</f>
        <v>19737</v>
      </c>
      <c r="X379" s="34">
        <f>19</f>
        <v>19</v>
      </c>
    </row>
    <row r="380" spans="1:24">
      <c r="A380" s="25" t="s">
        <v>1219</v>
      </c>
      <c r="B380" s="25" t="s">
        <v>1180</v>
      </c>
      <c r="C380" s="25" t="s">
        <v>1181</v>
      </c>
      <c r="D380" s="25" t="s">
        <v>1182</v>
      </c>
      <c r="E380" s="26" t="s">
        <v>43</v>
      </c>
      <c r="F380" s="27" t="s">
        <v>43</v>
      </c>
      <c r="G380" s="28" t="s">
        <v>43</v>
      </c>
      <c r="H380" s="29"/>
      <c r="I380" s="29" t="s">
        <v>44</v>
      </c>
      <c r="J380" s="30">
        <v>10</v>
      </c>
      <c r="K380" s="31">
        <f>192.1</f>
        <v>192.1</v>
      </c>
      <c r="L380" s="32" t="s">
        <v>1204</v>
      </c>
      <c r="M380" s="31">
        <f>192.2</f>
        <v>192.2</v>
      </c>
      <c r="N380" s="32" t="s">
        <v>1204</v>
      </c>
      <c r="O380" s="31">
        <f>169.5</f>
        <v>169.5</v>
      </c>
      <c r="P380" s="32" t="s">
        <v>1220</v>
      </c>
      <c r="Q380" s="31">
        <f>172.6</f>
        <v>172.6</v>
      </c>
      <c r="R380" s="32" t="s">
        <v>661</v>
      </c>
      <c r="S380" s="33">
        <f>179.54</f>
        <v>179.54</v>
      </c>
      <c r="T380" s="30">
        <f>9175540</f>
        <v>9175540</v>
      </c>
      <c r="U380" s="30">
        <f>2290</f>
        <v>2290</v>
      </c>
      <c r="V380" s="30">
        <f>1628256754</f>
        <v>1628256754</v>
      </c>
      <c r="W380" s="30">
        <f>399167</f>
        <v>399167</v>
      </c>
      <c r="X380" s="34">
        <f>20</f>
        <v>20</v>
      </c>
    </row>
    <row r="381" spans="1:24">
      <c r="A381" s="25" t="s">
        <v>1219</v>
      </c>
      <c r="B381" s="25" t="s">
        <v>1184</v>
      </c>
      <c r="C381" s="25" t="s">
        <v>1185</v>
      </c>
      <c r="D381" s="25" t="s">
        <v>1186</v>
      </c>
      <c r="E381" s="26" t="s">
        <v>43</v>
      </c>
      <c r="F381" s="27" t="s">
        <v>43</v>
      </c>
      <c r="G381" s="28" t="s">
        <v>43</v>
      </c>
      <c r="H381" s="29"/>
      <c r="I381" s="29" t="s">
        <v>44</v>
      </c>
      <c r="J381" s="30">
        <v>10</v>
      </c>
      <c r="K381" s="31">
        <f>206.9</f>
        <v>206.9</v>
      </c>
      <c r="L381" s="32" t="s">
        <v>1204</v>
      </c>
      <c r="M381" s="31">
        <f>221.5</f>
        <v>221.5</v>
      </c>
      <c r="N381" s="32" t="s">
        <v>661</v>
      </c>
      <c r="O381" s="31">
        <f>201.1</f>
        <v>201.1</v>
      </c>
      <c r="P381" s="32" t="s">
        <v>1220</v>
      </c>
      <c r="Q381" s="31">
        <f>221.4</f>
        <v>221.4</v>
      </c>
      <c r="R381" s="32" t="s">
        <v>661</v>
      </c>
      <c r="S381" s="33">
        <f>211.61</f>
        <v>211.61</v>
      </c>
      <c r="T381" s="30">
        <f>12075780</f>
        <v>12075780</v>
      </c>
      <c r="U381" s="30">
        <f>270</f>
        <v>270</v>
      </c>
      <c r="V381" s="30">
        <f>2564800990</f>
        <v>2564800990</v>
      </c>
      <c r="W381" s="30">
        <f>55604</f>
        <v>55604</v>
      </c>
      <c r="X381" s="34">
        <f>20</f>
        <v>20</v>
      </c>
    </row>
    <row r="382" spans="1:24">
      <c r="A382" s="25" t="s">
        <v>1219</v>
      </c>
      <c r="B382" s="25" t="s">
        <v>1187</v>
      </c>
      <c r="C382" s="25" t="s">
        <v>1188</v>
      </c>
      <c r="D382" s="25" t="s">
        <v>1189</v>
      </c>
      <c r="E382" s="26" t="s">
        <v>43</v>
      </c>
      <c r="F382" s="27" t="s">
        <v>43</v>
      </c>
      <c r="G382" s="28" t="s">
        <v>43</v>
      </c>
      <c r="H382" s="29"/>
      <c r="I382" s="29" t="s">
        <v>44</v>
      </c>
      <c r="J382" s="30">
        <v>1</v>
      </c>
      <c r="K382" s="31">
        <f>1019</f>
        <v>1019</v>
      </c>
      <c r="L382" s="32" t="s">
        <v>1204</v>
      </c>
      <c r="M382" s="31">
        <f>1119</f>
        <v>1119</v>
      </c>
      <c r="N382" s="32" t="s">
        <v>1076</v>
      </c>
      <c r="O382" s="31">
        <f>945</f>
        <v>945</v>
      </c>
      <c r="P382" s="32" t="s">
        <v>1220</v>
      </c>
      <c r="Q382" s="31">
        <f>1040</f>
        <v>1040</v>
      </c>
      <c r="R382" s="32" t="s">
        <v>661</v>
      </c>
      <c r="S382" s="33">
        <f>1042.75</f>
        <v>1042.75</v>
      </c>
      <c r="T382" s="30">
        <f>1022961</f>
        <v>1022961</v>
      </c>
      <c r="U382" s="30">
        <f>230010</f>
        <v>230010</v>
      </c>
      <c r="V382" s="30">
        <f>1032799884</f>
        <v>1032799884</v>
      </c>
      <c r="W382" s="30">
        <f>222644488</f>
        <v>222644488</v>
      </c>
      <c r="X382" s="34">
        <f>20</f>
        <v>20</v>
      </c>
    </row>
    <row r="383" spans="1:24">
      <c r="A383" s="25" t="s">
        <v>1219</v>
      </c>
      <c r="B383" s="25" t="s">
        <v>1191</v>
      </c>
      <c r="C383" s="25" t="s">
        <v>1192</v>
      </c>
      <c r="D383" s="25" t="s">
        <v>1193</v>
      </c>
      <c r="E383" s="26" t="s">
        <v>43</v>
      </c>
      <c r="F383" s="27" t="s">
        <v>43</v>
      </c>
      <c r="G383" s="28" t="s">
        <v>43</v>
      </c>
      <c r="H383" s="29"/>
      <c r="I383" s="29" t="s">
        <v>44</v>
      </c>
      <c r="J383" s="30">
        <v>1</v>
      </c>
      <c r="K383" s="31">
        <f>1807</f>
        <v>1807</v>
      </c>
      <c r="L383" s="32" t="s">
        <v>1204</v>
      </c>
      <c r="M383" s="31">
        <f>1810</f>
        <v>1810</v>
      </c>
      <c r="N383" s="32" t="s">
        <v>1204</v>
      </c>
      <c r="O383" s="31">
        <f>1537</f>
        <v>1537</v>
      </c>
      <c r="P383" s="32" t="s">
        <v>1220</v>
      </c>
      <c r="Q383" s="31">
        <f>1574</f>
        <v>1574</v>
      </c>
      <c r="R383" s="32" t="s">
        <v>661</v>
      </c>
      <c r="S383" s="33">
        <f>1677.5</f>
        <v>1677.5</v>
      </c>
      <c r="T383" s="30">
        <f>17164302</f>
        <v>17164302</v>
      </c>
      <c r="U383" s="30">
        <f>4842</f>
        <v>4842</v>
      </c>
      <c r="V383" s="30">
        <f>28522832139</f>
        <v>28522832139</v>
      </c>
      <c r="W383" s="30">
        <f>7710972</f>
        <v>7710972</v>
      </c>
      <c r="X383" s="34">
        <f>20</f>
        <v>20</v>
      </c>
    </row>
    <row r="384" spans="1:24">
      <c r="A384" s="25" t="s">
        <v>1219</v>
      </c>
      <c r="B384" s="25" t="s">
        <v>1195</v>
      </c>
      <c r="C384" s="25" t="s">
        <v>1196</v>
      </c>
      <c r="D384" s="25" t="s">
        <v>1197</v>
      </c>
      <c r="E384" s="26" t="s">
        <v>43</v>
      </c>
      <c r="F384" s="27" t="s">
        <v>43</v>
      </c>
      <c r="G384" s="28" t="s">
        <v>43</v>
      </c>
      <c r="H384" s="29"/>
      <c r="I384" s="29" t="s">
        <v>44</v>
      </c>
      <c r="J384" s="30">
        <v>10</v>
      </c>
      <c r="K384" s="31">
        <f>909</f>
        <v>909</v>
      </c>
      <c r="L384" s="32" t="s">
        <v>1204</v>
      </c>
      <c r="M384" s="31">
        <f>1185</f>
        <v>1185</v>
      </c>
      <c r="N384" s="32" t="s">
        <v>1220</v>
      </c>
      <c r="O384" s="31">
        <f>893.2</f>
        <v>893.2</v>
      </c>
      <c r="P384" s="32" t="s">
        <v>1212</v>
      </c>
      <c r="Q384" s="31">
        <f>1072.5</f>
        <v>1072.5</v>
      </c>
      <c r="R384" s="32" t="s">
        <v>661</v>
      </c>
      <c r="S384" s="33">
        <f>998.3</f>
        <v>998.3</v>
      </c>
      <c r="T384" s="30">
        <f>4348620</f>
        <v>4348620</v>
      </c>
      <c r="U384" s="30">
        <f>540</f>
        <v>540</v>
      </c>
      <c r="V384" s="30">
        <f>4409579745</f>
        <v>4409579745</v>
      </c>
      <c r="W384" s="30">
        <f>520315</f>
        <v>520315</v>
      </c>
      <c r="X384" s="34">
        <f>20</f>
        <v>20</v>
      </c>
    </row>
    <row r="385" spans="1:24">
      <c r="A385" s="25" t="s">
        <v>1219</v>
      </c>
      <c r="B385" s="25" t="s">
        <v>1202</v>
      </c>
      <c r="C385" s="25" t="s">
        <v>1201</v>
      </c>
      <c r="D385" s="25" t="s">
        <v>1200</v>
      </c>
      <c r="E385" s="26" t="s">
        <v>43</v>
      </c>
      <c r="F385" s="27" t="s">
        <v>43</v>
      </c>
      <c r="G385" s="28" t="s">
        <v>43</v>
      </c>
      <c r="H385" s="29"/>
      <c r="I385" s="29" t="s">
        <v>44</v>
      </c>
      <c r="J385" s="30">
        <v>1</v>
      </c>
      <c r="K385" s="31">
        <f>1011</f>
        <v>1011</v>
      </c>
      <c r="L385" s="32" t="s">
        <v>1204</v>
      </c>
      <c r="M385" s="31">
        <f>1095</f>
        <v>1095</v>
      </c>
      <c r="N385" s="32" t="s">
        <v>1207</v>
      </c>
      <c r="O385" s="31">
        <f>1003</f>
        <v>1003</v>
      </c>
      <c r="P385" s="32" t="s">
        <v>1208</v>
      </c>
      <c r="Q385" s="31">
        <f>1023</f>
        <v>1023</v>
      </c>
      <c r="R385" s="32" t="s">
        <v>661</v>
      </c>
      <c r="S385" s="33">
        <f>1035.4</f>
        <v>1035.4000000000001</v>
      </c>
      <c r="T385" s="30">
        <f>42154</f>
        <v>42154</v>
      </c>
      <c r="U385" s="30" t="str">
        <f>"－"</f>
        <v>－</v>
      </c>
      <c r="V385" s="30">
        <f>44070128</f>
        <v>44070128</v>
      </c>
      <c r="W385" s="30" t="str">
        <f>"－"</f>
        <v>－</v>
      </c>
      <c r="X385" s="34">
        <f>20</f>
        <v>20</v>
      </c>
    </row>
    <row r="386" spans="1:24">
      <c r="A386" s="25" t="s">
        <v>1219</v>
      </c>
      <c r="B386" s="25" t="s">
        <v>1223</v>
      </c>
      <c r="C386" s="25" t="s">
        <v>1224</v>
      </c>
      <c r="D386" s="25" t="s">
        <v>1225</v>
      </c>
      <c r="E386" s="26" t="s">
        <v>659</v>
      </c>
      <c r="F386" s="27" t="s">
        <v>660</v>
      </c>
      <c r="G386" s="28" t="s">
        <v>1226</v>
      </c>
      <c r="H386" s="29"/>
      <c r="I386" s="29" t="s">
        <v>452</v>
      </c>
      <c r="J386" s="30">
        <v>1</v>
      </c>
      <c r="K386" s="31">
        <f>10140</f>
        <v>10140</v>
      </c>
      <c r="L386" s="32" t="s">
        <v>1076</v>
      </c>
      <c r="M386" s="31">
        <f>10250</f>
        <v>10250</v>
      </c>
      <c r="N386" s="32" t="s">
        <v>1076</v>
      </c>
      <c r="O386" s="31">
        <f>9800</f>
        <v>9800</v>
      </c>
      <c r="P386" s="32" t="s">
        <v>661</v>
      </c>
      <c r="Q386" s="31">
        <f>9887</f>
        <v>9887</v>
      </c>
      <c r="R386" s="32" t="s">
        <v>661</v>
      </c>
      <c r="S386" s="33">
        <f>10118.86</f>
        <v>10118.86</v>
      </c>
      <c r="T386" s="30">
        <f>18570</f>
        <v>18570</v>
      </c>
      <c r="U386" s="30" t="str">
        <f>"－"</f>
        <v>－</v>
      </c>
      <c r="V386" s="30">
        <f>188011911</f>
        <v>188011911</v>
      </c>
      <c r="W386" s="30" t="str">
        <f>"－"</f>
        <v>－</v>
      </c>
      <c r="X386" s="34">
        <f>7</f>
        <v>7</v>
      </c>
    </row>
    <row r="387" spans="1:24">
      <c r="A387" s="25" t="s">
        <v>1219</v>
      </c>
      <c r="B387" s="25" t="s">
        <v>1227</v>
      </c>
      <c r="C387" s="25" t="s">
        <v>1228</v>
      </c>
      <c r="D387" s="25" t="s">
        <v>1229</v>
      </c>
      <c r="E387" s="26" t="s">
        <v>659</v>
      </c>
      <c r="F387" s="27" t="s">
        <v>660</v>
      </c>
      <c r="G387" s="28" t="s">
        <v>1230</v>
      </c>
      <c r="H387" s="29"/>
      <c r="I387" s="29" t="s">
        <v>44</v>
      </c>
      <c r="J387" s="30">
        <v>1</v>
      </c>
      <c r="K387" s="31">
        <f>1936</f>
        <v>1936</v>
      </c>
      <c r="L387" s="32" t="s">
        <v>1075</v>
      </c>
      <c r="M387" s="31">
        <f>1936</f>
        <v>1936</v>
      </c>
      <c r="N387" s="32" t="s">
        <v>1075</v>
      </c>
      <c r="O387" s="31">
        <f>1763</f>
        <v>1763</v>
      </c>
      <c r="P387" s="32" t="s">
        <v>661</v>
      </c>
      <c r="Q387" s="31">
        <f>1784</f>
        <v>1784</v>
      </c>
      <c r="R387" s="32" t="s">
        <v>661</v>
      </c>
      <c r="S387" s="33">
        <f>1862</f>
        <v>1862</v>
      </c>
      <c r="T387" s="30">
        <f>174343</f>
        <v>174343</v>
      </c>
      <c r="U387" s="30" t="str">
        <f>"－"</f>
        <v>－</v>
      </c>
      <c r="V387" s="30">
        <f>311408887</f>
        <v>311408887</v>
      </c>
      <c r="W387" s="30" t="str">
        <f>"－"</f>
        <v>－</v>
      </c>
      <c r="X387" s="34">
        <f>3</f>
        <v>3</v>
      </c>
    </row>
    <row r="388" spans="1:24">
      <c r="A388" s="25" t="s">
        <v>1219</v>
      </c>
      <c r="B388" s="25" t="s">
        <v>1231</v>
      </c>
      <c r="C388" s="25" t="s">
        <v>1232</v>
      </c>
      <c r="D388" s="25" t="s">
        <v>1233</v>
      </c>
      <c r="E388" s="26" t="s">
        <v>659</v>
      </c>
      <c r="F388" s="27" t="s">
        <v>660</v>
      </c>
      <c r="G388" s="28" t="s">
        <v>1230</v>
      </c>
      <c r="H388" s="29"/>
      <c r="I388" s="29" t="s">
        <v>44</v>
      </c>
      <c r="J388" s="30">
        <v>10</v>
      </c>
      <c r="K388" s="31">
        <f>208</f>
        <v>208</v>
      </c>
      <c r="L388" s="32" t="s">
        <v>1075</v>
      </c>
      <c r="M388" s="31">
        <f>280</f>
        <v>280</v>
      </c>
      <c r="N388" s="32" t="s">
        <v>1075</v>
      </c>
      <c r="O388" s="31">
        <f>193.7</f>
        <v>193.7</v>
      </c>
      <c r="P388" s="32" t="s">
        <v>661</v>
      </c>
      <c r="Q388" s="31">
        <f>194</f>
        <v>194</v>
      </c>
      <c r="R388" s="32" t="s">
        <v>661</v>
      </c>
      <c r="S388" s="33">
        <f>199.97</f>
        <v>199.97</v>
      </c>
      <c r="T388" s="30">
        <f>2241670</f>
        <v>2241670</v>
      </c>
      <c r="U388" s="30">
        <f>260</f>
        <v>260</v>
      </c>
      <c r="V388" s="30">
        <f>461636561</f>
        <v>461636561</v>
      </c>
      <c r="W388" s="30">
        <f>50752</f>
        <v>50752</v>
      </c>
      <c r="X388" s="34">
        <f>3</f>
        <v>3</v>
      </c>
    </row>
    <row r="389" spans="1:24">
      <c r="A389" s="25" t="s">
        <v>1219</v>
      </c>
      <c r="B389" s="25" t="s">
        <v>1234</v>
      </c>
      <c r="C389" s="25" t="s">
        <v>1235</v>
      </c>
      <c r="D389" s="25" t="s">
        <v>1236</v>
      </c>
      <c r="E389" s="26" t="s">
        <v>659</v>
      </c>
      <c r="F389" s="27" t="s">
        <v>660</v>
      </c>
      <c r="G389" s="28" t="s">
        <v>1237</v>
      </c>
      <c r="H389" s="29"/>
      <c r="I389" s="29" t="s">
        <v>44</v>
      </c>
      <c r="J389" s="30">
        <v>10</v>
      </c>
      <c r="K389" s="31">
        <f>503</f>
        <v>503</v>
      </c>
      <c r="L389" s="32" t="s">
        <v>1078</v>
      </c>
      <c r="M389" s="31">
        <f>505</f>
        <v>505</v>
      </c>
      <c r="N389" s="32" t="s">
        <v>1078</v>
      </c>
      <c r="O389" s="31">
        <f>480</f>
        <v>480</v>
      </c>
      <c r="P389" s="32" t="s">
        <v>661</v>
      </c>
      <c r="Q389" s="31">
        <f>484</f>
        <v>484</v>
      </c>
      <c r="R389" s="32" t="s">
        <v>661</v>
      </c>
      <c r="S389" s="33">
        <f>490.95</f>
        <v>490.95</v>
      </c>
      <c r="T389" s="30">
        <f>21000</f>
        <v>21000</v>
      </c>
      <c r="U389" s="30" t="str">
        <f>"－"</f>
        <v>－</v>
      </c>
      <c r="V389" s="30">
        <f>10379932</f>
        <v>10379932</v>
      </c>
      <c r="W389" s="30" t="str">
        <f>"－"</f>
        <v>－</v>
      </c>
      <c r="X389" s="34">
        <f>2</f>
        <v>2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8" fitToHeight="0" orientation="landscape" r:id="rId1"/>
  <headerFooter>
    <oddFooter>&amp;C&amp;P/&amp;N&amp;RCopyright (c) Tokyo Stock Exchange, Inc.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6039B-604B-4D4E-8AC0-5BE34E0F57C8}">
  <sheetPr>
    <pageSetUpPr fitToPage="1"/>
  </sheetPr>
  <dimension ref="A1:X383"/>
  <sheetViews>
    <sheetView showGridLines="0" view="pageBreakPreview" zoomScaleNormal="70" zoomScaleSheetLayoutView="100" workbookViewId="0">
      <pane ySplit="6" topLeftCell="A7" activePane="bottomLeft" state="frozen"/>
      <selection pane="bottomLeft"/>
    </sheetView>
  </sheetViews>
  <sheetFormatPr defaultColWidth="9" defaultRowHeight="17.649999999999999"/>
  <cols>
    <col min="1" max="1" width="13.125" style="3" bestFit="1" customWidth="1"/>
    <col min="2" max="2" width="10.75" style="3" bestFit="1" customWidth="1"/>
    <col min="3" max="4" width="27.625" style="3" customWidth="1"/>
    <col min="5" max="5" width="13.75" style="3" bestFit="1" customWidth="1"/>
    <col min="6" max="6" width="20.75" style="3" bestFit="1" customWidth="1"/>
    <col min="7" max="7" width="11.25" style="3" customWidth="1"/>
    <col min="8" max="8" width="8.75" style="3" bestFit="1" customWidth="1"/>
    <col min="9" max="9" width="11.75" style="3" bestFit="1" customWidth="1"/>
    <col min="10" max="10" width="12.625" style="3" bestFit="1" customWidth="1"/>
    <col min="11" max="11" width="16.25" style="3" customWidth="1"/>
    <col min="12" max="12" width="5.625" style="3" bestFit="1" customWidth="1"/>
    <col min="13" max="13" width="16.25" style="3" customWidth="1"/>
    <col min="14" max="14" width="5.625" style="3" bestFit="1" customWidth="1"/>
    <col min="15" max="15" width="16.25" style="3" customWidth="1"/>
    <col min="16" max="16" width="5.625" style="3" bestFit="1" customWidth="1"/>
    <col min="17" max="17" width="16.25" style="3" customWidth="1"/>
    <col min="18" max="18" width="5.625" style="3" bestFit="1" customWidth="1"/>
    <col min="19" max="19" width="23.875" style="3" bestFit="1" customWidth="1"/>
    <col min="20" max="20" width="16.25" style="3" customWidth="1"/>
    <col min="21" max="21" width="24.125" style="3" customWidth="1"/>
    <col min="22" max="22" width="19.875" style="3" bestFit="1" customWidth="1"/>
    <col min="23" max="23" width="25" style="3" bestFit="1" customWidth="1"/>
    <col min="24" max="24" width="13.125" style="3" bestFit="1" customWidth="1"/>
    <col min="25" max="16384" width="9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4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1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22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1203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2886</f>
        <v>2886</v>
      </c>
      <c r="L7" s="32" t="s">
        <v>1204</v>
      </c>
      <c r="M7" s="31">
        <f>2959.5</f>
        <v>2959.5</v>
      </c>
      <c r="N7" s="32" t="s">
        <v>1205</v>
      </c>
      <c r="O7" s="31">
        <f>2833.5</f>
        <v>2833.5</v>
      </c>
      <c r="P7" s="32" t="s">
        <v>1078</v>
      </c>
      <c r="Q7" s="31">
        <f>2851</f>
        <v>2851</v>
      </c>
      <c r="R7" s="32" t="s">
        <v>1078</v>
      </c>
      <c r="S7" s="33">
        <f>2906.81</f>
        <v>2906.81</v>
      </c>
      <c r="T7" s="30">
        <f>4151330</f>
        <v>4151330</v>
      </c>
      <c r="U7" s="30">
        <f>1401990</f>
        <v>1401990</v>
      </c>
      <c r="V7" s="30">
        <f>12030152660</f>
        <v>12030152660</v>
      </c>
      <c r="W7" s="30">
        <f>4045609640</f>
        <v>4045609640</v>
      </c>
      <c r="X7" s="34">
        <f>18</f>
        <v>18</v>
      </c>
    </row>
    <row r="8" spans="1:24">
      <c r="A8" s="25" t="s">
        <v>1203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2857.5</f>
        <v>2857.5</v>
      </c>
      <c r="L8" s="32" t="s">
        <v>1204</v>
      </c>
      <c r="M8" s="31">
        <f>2928</f>
        <v>2928</v>
      </c>
      <c r="N8" s="32" t="s">
        <v>1205</v>
      </c>
      <c r="O8" s="31">
        <f>2803</f>
        <v>2803</v>
      </c>
      <c r="P8" s="32" t="s">
        <v>1078</v>
      </c>
      <c r="Q8" s="31">
        <f>2813.5</f>
        <v>2813.5</v>
      </c>
      <c r="R8" s="32" t="s">
        <v>1078</v>
      </c>
      <c r="S8" s="33">
        <f>2876.42</f>
        <v>2876.42</v>
      </c>
      <c r="T8" s="30">
        <f>58596600</f>
        <v>58596600</v>
      </c>
      <c r="U8" s="30">
        <f>20276210</f>
        <v>20276210</v>
      </c>
      <c r="V8" s="30">
        <f>168566480678</f>
        <v>168566480678</v>
      </c>
      <c r="W8" s="30">
        <f>58436461973</f>
        <v>58436461973</v>
      </c>
      <c r="X8" s="34">
        <f>18</f>
        <v>18</v>
      </c>
    </row>
    <row r="9" spans="1:24">
      <c r="A9" s="25" t="s">
        <v>1203</v>
      </c>
      <c r="B9" s="25" t="s">
        <v>48</v>
      </c>
      <c r="C9" s="25" t="s">
        <v>49</v>
      </c>
      <c r="D9" s="25" t="s">
        <v>1218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2824</f>
        <v>2824</v>
      </c>
      <c r="L9" s="32" t="s">
        <v>1204</v>
      </c>
      <c r="M9" s="31">
        <f>2894</f>
        <v>2894</v>
      </c>
      <c r="N9" s="32" t="s">
        <v>1205</v>
      </c>
      <c r="O9" s="31">
        <f>2770</f>
        <v>2770</v>
      </c>
      <c r="P9" s="32" t="s">
        <v>1078</v>
      </c>
      <c r="Q9" s="31">
        <f>2782</f>
        <v>2782</v>
      </c>
      <c r="R9" s="32" t="s">
        <v>1078</v>
      </c>
      <c r="S9" s="33">
        <f>2842.5</f>
        <v>2842.5</v>
      </c>
      <c r="T9" s="30">
        <f>41976517</f>
        <v>41976517</v>
      </c>
      <c r="U9" s="30">
        <f>27152344</f>
        <v>27152344</v>
      </c>
      <c r="V9" s="30">
        <f>119269606143</f>
        <v>119269606143</v>
      </c>
      <c r="W9" s="30">
        <f>77232061740</f>
        <v>77232061740</v>
      </c>
      <c r="X9" s="34">
        <f>18</f>
        <v>18</v>
      </c>
    </row>
    <row r="10" spans="1:24">
      <c r="A10" s="25" t="s">
        <v>1203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44430</f>
        <v>44430</v>
      </c>
      <c r="L10" s="32" t="s">
        <v>1204</v>
      </c>
      <c r="M10" s="31">
        <f>44840</f>
        <v>44840</v>
      </c>
      <c r="N10" s="32" t="s">
        <v>662</v>
      </c>
      <c r="O10" s="31">
        <f>42650</f>
        <v>42650</v>
      </c>
      <c r="P10" s="32" t="s">
        <v>1085</v>
      </c>
      <c r="Q10" s="31">
        <f>43360</f>
        <v>43360</v>
      </c>
      <c r="R10" s="32" t="s">
        <v>1078</v>
      </c>
      <c r="S10" s="33">
        <f>43848.89</f>
        <v>43848.89</v>
      </c>
      <c r="T10" s="30">
        <f>5458</f>
        <v>5458</v>
      </c>
      <c r="U10" s="30" t="str">
        <f>"－"</f>
        <v>－</v>
      </c>
      <c r="V10" s="30">
        <f>239448700</f>
        <v>239448700</v>
      </c>
      <c r="W10" s="30" t="str">
        <f>"－"</f>
        <v>－</v>
      </c>
      <c r="X10" s="34">
        <f>18</f>
        <v>18</v>
      </c>
    </row>
    <row r="11" spans="1:24">
      <c r="A11" s="25" t="s">
        <v>1203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1463.5</f>
        <v>1463.5</v>
      </c>
      <c r="L11" s="32" t="s">
        <v>1204</v>
      </c>
      <c r="M11" s="31">
        <f>1486.5</f>
        <v>1486.5</v>
      </c>
      <c r="N11" s="32" t="s">
        <v>1205</v>
      </c>
      <c r="O11" s="31">
        <f>1399.5</f>
        <v>1399.5</v>
      </c>
      <c r="P11" s="32" t="s">
        <v>1078</v>
      </c>
      <c r="Q11" s="31">
        <f>1411</f>
        <v>1411</v>
      </c>
      <c r="R11" s="32" t="s">
        <v>1078</v>
      </c>
      <c r="S11" s="33">
        <f>1455.31</f>
        <v>1455.31</v>
      </c>
      <c r="T11" s="30">
        <f>244900</f>
        <v>244900</v>
      </c>
      <c r="U11" s="30">
        <f>71000</f>
        <v>71000</v>
      </c>
      <c r="V11" s="30">
        <f>350654275</f>
        <v>350654275</v>
      </c>
      <c r="W11" s="30">
        <f>99968000</f>
        <v>99968000</v>
      </c>
      <c r="X11" s="34">
        <f>18</f>
        <v>18</v>
      </c>
    </row>
    <row r="12" spans="1:24">
      <c r="A12" s="25" t="s">
        <v>1203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521.7</f>
        <v>521.70000000000005</v>
      </c>
      <c r="L12" s="32" t="s">
        <v>1208</v>
      </c>
      <c r="M12" s="31">
        <f>547</f>
        <v>547</v>
      </c>
      <c r="N12" s="32" t="s">
        <v>662</v>
      </c>
      <c r="O12" s="31">
        <f>507</f>
        <v>507</v>
      </c>
      <c r="P12" s="32" t="s">
        <v>1211</v>
      </c>
      <c r="Q12" s="31">
        <f>520</f>
        <v>520</v>
      </c>
      <c r="R12" s="32" t="s">
        <v>1078</v>
      </c>
      <c r="S12" s="33">
        <f>528.13</f>
        <v>528.13</v>
      </c>
      <c r="T12" s="30">
        <f>79000</f>
        <v>79000</v>
      </c>
      <c r="U12" s="30" t="str">
        <f>"－"</f>
        <v>－</v>
      </c>
      <c r="V12" s="30">
        <f>42020400</f>
        <v>42020400</v>
      </c>
      <c r="W12" s="30" t="str">
        <f>"－"</f>
        <v>－</v>
      </c>
      <c r="X12" s="34">
        <f>12</f>
        <v>12</v>
      </c>
    </row>
    <row r="13" spans="1:24">
      <c r="A13" s="25" t="s">
        <v>1203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39860</f>
        <v>39860</v>
      </c>
      <c r="L13" s="32" t="s">
        <v>1204</v>
      </c>
      <c r="M13" s="31">
        <f>40960</f>
        <v>40960</v>
      </c>
      <c r="N13" s="32" t="s">
        <v>1211</v>
      </c>
      <c r="O13" s="31">
        <f>38160</f>
        <v>38160</v>
      </c>
      <c r="P13" s="32" t="s">
        <v>1078</v>
      </c>
      <c r="Q13" s="31">
        <f>38520</f>
        <v>38520</v>
      </c>
      <c r="R13" s="32" t="s">
        <v>1078</v>
      </c>
      <c r="S13" s="33">
        <f>40093.33</f>
        <v>40093.33</v>
      </c>
      <c r="T13" s="30">
        <f>1003233</f>
        <v>1003233</v>
      </c>
      <c r="U13" s="30">
        <f>136679</f>
        <v>136679</v>
      </c>
      <c r="V13" s="30">
        <f>39997928030</f>
        <v>39997928030</v>
      </c>
      <c r="W13" s="30">
        <f>5393373560</f>
        <v>5393373560</v>
      </c>
      <c r="X13" s="34">
        <f>18</f>
        <v>18</v>
      </c>
    </row>
    <row r="14" spans="1:24">
      <c r="A14" s="25" t="s">
        <v>1203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40010</f>
        <v>40010</v>
      </c>
      <c r="L14" s="32" t="s">
        <v>1204</v>
      </c>
      <c r="M14" s="31">
        <f>41120</f>
        <v>41120</v>
      </c>
      <c r="N14" s="32" t="s">
        <v>1211</v>
      </c>
      <c r="O14" s="31">
        <f>38290</f>
        <v>38290</v>
      </c>
      <c r="P14" s="32" t="s">
        <v>1078</v>
      </c>
      <c r="Q14" s="31">
        <f>38640</f>
        <v>38640</v>
      </c>
      <c r="R14" s="32" t="s">
        <v>1078</v>
      </c>
      <c r="S14" s="33">
        <f>40238.33</f>
        <v>40238.33</v>
      </c>
      <c r="T14" s="30">
        <f>7616512</f>
        <v>7616512</v>
      </c>
      <c r="U14" s="30">
        <f>1638036</f>
        <v>1638036</v>
      </c>
      <c r="V14" s="30">
        <f>305179062864</f>
        <v>305179062864</v>
      </c>
      <c r="W14" s="30">
        <f>66182038454</f>
        <v>66182038454</v>
      </c>
      <c r="X14" s="34">
        <f>18</f>
        <v>18</v>
      </c>
    </row>
    <row r="15" spans="1:24">
      <c r="A15" s="25" t="s">
        <v>1203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10</v>
      </c>
      <c r="K15" s="31">
        <f>8501</f>
        <v>8501</v>
      </c>
      <c r="L15" s="32" t="s">
        <v>1204</v>
      </c>
      <c r="M15" s="31">
        <f>8800</f>
        <v>8800</v>
      </c>
      <c r="N15" s="32" t="s">
        <v>1080</v>
      </c>
      <c r="O15" s="31">
        <f>8380</f>
        <v>8380</v>
      </c>
      <c r="P15" s="32" t="s">
        <v>1085</v>
      </c>
      <c r="Q15" s="31">
        <f>8500</f>
        <v>8500</v>
      </c>
      <c r="R15" s="32" t="s">
        <v>1078</v>
      </c>
      <c r="S15" s="33">
        <f>8592.22</f>
        <v>8592.2199999999993</v>
      </c>
      <c r="T15" s="30">
        <f>24760</f>
        <v>24760</v>
      </c>
      <c r="U15" s="30" t="str">
        <f>"－"</f>
        <v>－</v>
      </c>
      <c r="V15" s="30">
        <f>212743330</f>
        <v>212743330</v>
      </c>
      <c r="W15" s="30" t="str">
        <f>"－"</f>
        <v>－</v>
      </c>
      <c r="X15" s="34">
        <f>18</f>
        <v>18</v>
      </c>
    </row>
    <row r="16" spans="1:24">
      <c r="A16" s="25" t="s">
        <v>1203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198</f>
        <v>198</v>
      </c>
      <c r="L16" s="32" t="s">
        <v>1204</v>
      </c>
      <c r="M16" s="31">
        <f>206</f>
        <v>206</v>
      </c>
      <c r="N16" s="32" t="s">
        <v>1081</v>
      </c>
      <c r="O16" s="31">
        <f>190</f>
        <v>190</v>
      </c>
      <c r="P16" s="32" t="s">
        <v>1078</v>
      </c>
      <c r="Q16" s="31">
        <f>191.9</f>
        <v>191.9</v>
      </c>
      <c r="R16" s="32" t="s">
        <v>1078</v>
      </c>
      <c r="S16" s="33">
        <f>198.18</f>
        <v>198.18</v>
      </c>
      <c r="T16" s="30">
        <f>477200</f>
        <v>477200</v>
      </c>
      <c r="U16" s="30">
        <f>2200</f>
        <v>2200</v>
      </c>
      <c r="V16" s="30">
        <f>94877870</f>
        <v>94877870</v>
      </c>
      <c r="W16" s="30">
        <f>444000</f>
        <v>444000</v>
      </c>
      <c r="X16" s="34">
        <f>18</f>
        <v>18</v>
      </c>
    </row>
    <row r="17" spans="1:24">
      <c r="A17" s="25" t="s">
        <v>1203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40130</f>
        <v>40130</v>
      </c>
      <c r="L17" s="32" t="s">
        <v>1204</v>
      </c>
      <c r="M17" s="31">
        <f>41640</f>
        <v>41640</v>
      </c>
      <c r="N17" s="32" t="s">
        <v>1211</v>
      </c>
      <c r="O17" s="31">
        <f>39420</f>
        <v>39420</v>
      </c>
      <c r="P17" s="32" t="s">
        <v>1078</v>
      </c>
      <c r="Q17" s="31">
        <f>39670</f>
        <v>39670</v>
      </c>
      <c r="R17" s="32" t="s">
        <v>1078</v>
      </c>
      <c r="S17" s="33">
        <f>40553.33</f>
        <v>40553.33</v>
      </c>
      <c r="T17" s="30">
        <f>241250</f>
        <v>241250</v>
      </c>
      <c r="U17" s="30">
        <f>750</f>
        <v>750</v>
      </c>
      <c r="V17" s="30">
        <f>9775578560</f>
        <v>9775578560</v>
      </c>
      <c r="W17" s="30">
        <f>30723450</f>
        <v>30723450</v>
      </c>
      <c r="X17" s="34">
        <f>18</f>
        <v>18</v>
      </c>
    </row>
    <row r="18" spans="1:24">
      <c r="A18" s="25" t="s">
        <v>1203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10580</f>
        <v>10580</v>
      </c>
      <c r="L18" s="32" t="s">
        <v>1204</v>
      </c>
      <c r="M18" s="31">
        <f>10960</f>
        <v>10960</v>
      </c>
      <c r="N18" s="32" t="s">
        <v>1211</v>
      </c>
      <c r="O18" s="31">
        <f>10325</f>
        <v>10325</v>
      </c>
      <c r="P18" s="32" t="s">
        <v>1078</v>
      </c>
      <c r="Q18" s="31">
        <f>10395</f>
        <v>10395</v>
      </c>
      <c r="R18" s="32" t="s">
        <v>1078</v>
      </c>
      <c r="S18" s="33">
        <f>10660</f>
        <v>10660</v>
      </c>
      <c r="T18" s="30">
        <f>537960</f>
        <v>537960</v>
      </c>
      <c r="U18" s="30">
        <f>3040</f>
        <v>3040</v>
      </c>
      <c r="V18" s="30">
        <f>5739115650</f>
        <v>5739115650</v>
      </c>
      <c r="W18" s="30">
        <f>32609700</f>
        <v>32609700</v>
      </c>
      <c r="X18" s="34">
        <f>18</f>
        <v>18</v>
      </c>
    </row>
    <row r="19" spans="1:24">
      <c r="A19" s="25" t="s">
        <v>1203</v>
      </c>
      <c r="B19" s="25" t="s">
        <v>76</v>
      </c>
      <c r="C19" s="25" t="s">
        <v>77</v>
      </c>
      <c r="D19" s="25" t="s">
        <v>78</v>
      </c>
      <c r="E19" s="26" t="s">
        <v>43</v>
      </c>
      <c r="F19" s="27" t="s">
        <v>43</v>
      </c>
      <c r="G19" s="28" t="s">
        <v>43</v>
      </c>
      <c r="H19" s="29"/>
      <c r="I19" s="29" t="s">
        <v>44</v>
      </c>
      <c r="J19" s="30">
        <v>1</v>
      </c>
      <c r="K19" s="31">
        <f>40120</f>
        <v>40120</v>
      </c>
      <c r="L19" s="32" t="s">
        <v>1204</v>
      </c>
      <c r="M19" s="31">
        <f>40860</f>
        <v>40860</v>
      </c>
      <c r="N19" s="32" t="s">
        <v>1211</v>
      </c>
      <c r="O19" s="31">
        <f>38060</f>
        <v>38060</v>
      </c>
      <c r="P19" s="32" t="s">
        <v>1078</v>
      </c>
      <c r="Q19" s="31">
        <f>38390</f>
        <v>38390</v>
      </c>
      <c r="R19" s="32" t="s">
        <v>1078</v>
      </c>
      <c r="S19" s="33">
        <f>40048.89</f>
        <v>40048.89</v>
      </c>
      <c r="T19" s="30">
        <f>1158284</f>
        <v>1158284</v>
      </c>
      <c r="U19" s="30">
        <f>253299</f>
        <v>253299</v>
      </c>
      <c r="V19" s="30">
        <f>45977076324</f>
        <v>45977076324</v>
      </c>
      <c r="W19" s="30">
        <f>10024074504</f>
        <v>10024074504</v>
      </c>
      <c r="X19" s="34">
        <f>18</f>
        <v>18</v>
      </c>
    </row>
    <row r="20" spans="1:24">
      <c r="A20" s="25" t="s">
        <v>1203</v>
      </c>
      <c r="B20" s="25" t="s">
        <v>79</v>
      </c>
      <c r="C20" s="25" t="s">
        <v>80</v>
      </c>
      <c r="D20" s="25" t="s">
        <v>1217</v>
      </c>
      <c r="E20" s="26" t="s">
        <v>43</v>
      </c>
      <c r="F20" s="27" t="s">
        <v>43</v>
      </c>
      <c r="G20" s="28" t="s">
        <v>43</v>
      </c>
      <c r="H20" s="29"/>
      <c r="I20" s="29" t="s">
        <v>44</v>
      </c>
      <c r="J20" s="30">
        <v>1</v>
      </c>
      <c r="K20" s="31">
        <f>40060</f>
        <v>40060</v>
      </c>
      <c r="L20" s="32" t="s">
        <v>1204</v>
      </c>
      <c r="M20" s="31">
        <f>41140</f>
        <v>41140</v>
      </c>
      <c r="N20" s="32" t="s">
        <v>1211</v>
      </c>
      <c r="O20" s="31">
        <f>38320</f>
        <v>38320</v>
      </c>
      <c r="P20" s="32" t="s">
        <v>1078</v>
      </c>
      <c r="Q20" s="31">
        <f>38700</f>
        <v>38700</v>
      </c>
      <c r="R20" s="32" t="s">
        <v>1078</v>
      </c>
      <c r="S20" s="33">
        <f>40311.67</f>
        <v>40311.67</v>
      </c>
      <c r="T20" s="30">
        <f>1306526</f>
        <v>1306526</v>
      </c>
      <c r="U20" s="30">
        <f>350183</f>
        <v>350183</v>
      </c>
      <c r="V20" s="30">
        <f>52217961364</f>
        <v>52217961364</v>
      </c>
      <c r="W20" s="30">
        <f>14001572424</f>
        <v>14001572424</v>
      </c>
      <c r="X20" s="34">
        <f>18</f>
        <v>18</v>
      </c>
    </row>
    <row r="21" spans="1:24">
      <c r="A21" s="25" t="s">
        <v>1203</v>
      </c>
      <c r="B21" s="25" t="s">
        <v>1048</v>
      </c>
      <c r="C21" s="25" t="s">
        <v>1049</v>
      </c>
      <c r="D21" s="25" t="s">
        <v>1050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1054</f>
        <v>1054</v>
      </c>
      <c r="L21" s="32" t="s">
        <v>1204</v>
      </c>
      <c r="M21" s="31">
        <f>1059</f>
        <v>1059</v>
      </c>
      <c r="N21" s="32" t="s">
        <v>1208</v>
      </c>
      <c r="O21" s="31">
        <f>1009</f>
        <v>1009</v>
      </c>
      <c r="P21" s="32" t="s">
        <v>1212</v>
      </c>
      <c r="Q21" s="31">
        <f>1018</f>
        <v>1018</v>
      </c>
      <c r="R21" s="32" t="s">
        <v>1078</v>
      </c>
      <c r="S21" s="33">
        <f>1031.5</f>
        <v>1031.5</v>
      </c>
      <c r="T21" s="30">
        <f>2320950</f>
        <v>2320950</v>
      </c>
      <c r="U21" s="30">
        <f>1937901</f>
        <v>1937901</v>
      </c>
      <c r="V21" s="30">
        <f>2393120145</f>
        <v>2393120145</v>
      </c>
      <c r="W21" s="30">
        <f>1997371457</f>
        <v>1997371457</v>
      </c>
      <c r="X21" s="34">
        <f>18</f>
        <v>18</v>
      </c>
    </row>
    <row r="22" spans="1:24">
      <c r="A22" s="25" t="s">
        <v>1203</v>
      </c>
      <c r="B22" s="25" t="s">
        <v>82</v>
      </c>
      <c r="C22" s="25" t="s">
        <v>939</v>
      </c>
      <c r="D22" s="25" t="s">
        <v>83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10</v>
      </c>
      <c r="K22" s="31">
        <f>1850</f>
        <v>1850</v>
      </c>
      <c r="L22" s="32" t="s">
        <v>1204</v>
      </c>
      <c r="M22" s="31">
        <f>1854.5</f>
        <v>1854.5</v>
      </c>
      <c r="N22" s="32" t="s">
        <v>1204</v>
      </c>
      <c r="O22" s="31">
        <f>1778.5</f>
        <v>1778.5</v>
      </c>
      <c r="P22" s="32" t="s">
        <v>738</v>
      </c>
      <c r="Q22" s="31">
        <f>1824</f>
        <v>1824</v>
      </c>
      <c r="R22" s="32" t="s">
        <v>1078</v>
      </c>
      <c r="S22" s="33">
        <f>1812.69</f>
        <v>1812.69</v>
      </c>
      <c r="T22" s="30">
        <f>13530290</f>
        <v>13530290</v>
      </c>
      <c r="U22" s="30">
        <f>4127690</f>
        <v>4127690</v>
      </c>
      <c r="V22" s="30">
        <f>24619392263</f>
        <v>24619392263</v>
      </c>
      <c r="W22" s="30">
        <f>7566514578</f>
        <v>7566514578</v>
      </c>
      <c r="X22" s="34">
        <f>18</f>
        <v>18</v>
      </c>
    </row>
    <row r="23" spans="1:24">
      <c r="A23" s="25" t="s">
        <v>1203</v>
      </c>
      <c r="B23" s="25" t="s">
        <v>84</v>
      </c>
      <c r="C23" s="25" t="s">
        <v>85</v>
      </c>
      <c r="D23" s="25" t="s">
        <v>940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100</v>
      </c>
      <c r="K23" s="31">
        <f>1734</f>
        <v>1734</v>
      </c>
      <c r="L23" s="32" t="s">
        <v>1204</v>
      </c>
      <c r="M23" s="31">
        <f>1746</f>
        <v>1746</v>
      </c>
      <c r="N23" s="32" t="s">
        <v>1078</v>
      </c>
      <c r="O23" s="31">
        <f>1684.5</f>
        <v>1684.5</v>
      </c>
      <c r="P23" s="32" t="s">
        <v>738</v>
      </c>
      <c r="Q23" s="31">
        <f>1724.5</f>
        <v>1724.5</v>
      </c>
      <c r="R23" s="32" t="s">
        <v>1078</v>
      </c>
      <c r="S23" s="33">
        <f>1710.69</f>
        <v>1710.69</v>
      </c>
      <c r="T23" s="30">
        <f>2650400</f>
        <v>2650400</v>
      </c>
      <c r="U23" s="30">
        <f>2092600</f>
        <v>2092600</v>
      </c>
      <c r="V23" s="30">
        <f>4527414300</f>
        <v>4527414300</v>
      </c>
      <c r="W23" s="30">
        <f>3571739650</f>
        <v>3571739650</v>
      </c>
      <c r="X23" s="34">
        <f>18</f>
        <v>18</v>
      </c>
    </row>
    <row r="24" spans="1:24">
      <c r="A24" s="25" t="s">
        <v>1203</v>
      </c>
      <c r="B24" s="25" t="s">
        <v>86</v>
      </c>
      <c r="C24" s="25" t="s">
        <v>87</v>
      </c>
      <c r="D24" s="25" t="s">
        <v>941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</v>
      </c>
      <c r="K24" s="31">
        <f>39830</f>
        <v>39830</v>
      </c>
      <c r="L24" s="32" t="s">
        <v>1204</v>
      </c>
      <c r="M24" s="31">
        <f>40830</f>
        <v>40830</v>
      </c>
      <c r="N24" s="32" t="s">
        <v>1211</v>
      </c>
      <c r="O24" s="31">
        <f>38020</f>
        <v>38020</v>
      </c>
      <c r="P24" s="32" t="s">
        <v>1078</v>
      </c>
      <c r="Q24" s="31">
        <f>38480</f>
        <v>38480</v>
      </c>
      <c r="R24" s="32" t="s">
        <v>1078</v>
      </c>
      <c r="S24" s="33">
        <f>39971.11</f>
        <v>39971.11</v>
      </c>
      <c r="T24" s="30">
        <f>821084</f>
        <v>821084</v>
      </c>
      <c r="U24" s="30">
        <f>353211</f>
        <v>353211</v>
      </c>
      <c r="V24" s="30">
        <f>32817495764</f>
        <v>32817495764</v>
      </c>
      <c r="W24" s="30">
        <f>14197773964</f>
        <v>14197773964</v>
      </c>
      <c r="X24" s="34">
        <f>18</f>
        <v>18</v>
      </c>
    </row>
    <row r="25" spans="1:24">
      <c r="A25" s="25" t="s">
        <v>1203</v>
      </c>
      <c r="B25" s="25" t="s">
        <v>88</v>
      </c>
      <c r="C25" s="25" t="s">
        <v>89</v>
      </c>
      <c r="D25" s="25" t="s">
        <v>90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10</v>
      </c>
      <c r="K25" s="31">
        <f>2840</f>
        <v>2840</v>
      </c>
      <c r="L25" s="32" t="s">
        <v>1204</v>
      </c>
      <c r="M25" s="31">
        <f>2887.5</f>
        <v>2887.5</v>
      </c>
      <c r="N25" s="32" t="s">
        <v>1205</v>
      </c>
      <c r="O25" s="31">
        <f>2764</f>
        <v>2764</v>
      </c>
      <c r="P25" s="32" t="s">
        <v>1078</v>
      </c>
      <c r="Q25" s="31">
        <f>2779</f>
        <v>2779</v>
      </c>
      <c r="R25" s="32" t="s">
        <v>1078</v>
      </c>
      <c r="S25" s="33">
        <f>2836.89</f>
        <v>2836.89</v>
      </c>
      <c r="T25" s="30">
        <f>3451970</f>
        <v>3451970</v>
      </c>
      <c r="U25" s="30">
        <f>1866710</f>
        <v>1866710</v>
      </c>
      <c r="V25" s="30">
        <f>9678445170</f>
        <v>9678445170</v>
      </c>
      <c r="W25" s="30">
        <f>5235381435</f>
        <v>5235381435</v>
      </c>
      <c r="X25" s="34">
        <f>18</f>
        <v>18</v>
      </c>
    </row>
    <row r="26" spans="1:24">
      <c r="A26" s="25" t="s">
        <v>1203</v>
      </c>
      <c r="B26" s="25" t="s">
        <v>91</v>
      </c>
      <c r="C26" s="25" t="s">
        <v>92</v>
      </c>
      <c r="D26" s="25" t="s">
        <v>93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</v>
      </c>
      <c r="K26" s="31">
        <f>16640</f>
        <v>16640</v>
      </c>
      <c r="L26" s="32" t="s">
        <v>1204</v>
      </c>
      <c r="M26" s="31">
        <f>16780</f>
        <v>16780</v>
      </c>
      <c r="N26" s="32" t="s">
        <v>1209</v>
      </c>
      <c r="O26" s="31">
        <f>16175</f>
        <v>16175</v>
      </c>
      <c r="P26" s="32" t="s">
        <v>1078</v>
      </c>
      <c r="Q26" s="31">
        <f>16175</f>
        <v>16175</v>
      </c>
      <c r="R26" s="32" t="s">
        <v>1078</v>
      </c>
      <c r="S26" s="33">
        <f>16515</f>
        <v>16515</v>
      </c>
      <c r="T26" s="30">
        <f>512</f>
        <v>512</v>
      </c>
      <c r="U26" s="30" t="str">
        <f>"－"</f>
        <v>－</v>
      </c>
      <c r="V26" s="30">
        <f>8450365</f>
        <v>8450365</v>
      </c>
      <c r="W26" s="30" t="str">
        <f>"－"</f>
        <v>－</v>
      </c>
      <c r="X26" s="34">
        <f>17</f>
        <v>17</v>
      </c>
    </row>
    <row r="27" spans="1:24">
      <c r="A27" s="25" t="s">
        <v>1203</v>
      </c>
      <c r="B27" s="25" t="s">
        <v>94</v>
      </c>
      <c r="C27" s="25" t="s">
        <v>95</v>
      </c>
      <c r="D27" s="25" t="s">
        <v>96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10</v>
      </c>
      <c r="K27" s="31">
        <f>320.8</f>
        <v>320.8</v>
      </c>
      <c r="L27" s="32" t="s">
        <v>1204</v>
      </c>
      <c r="M27" s="31">
        <f>332.8</f>
        <v>332.8</v>
      </c>
      <c r="N27" s="32" t="s">
        <v>1078</v>
      </c>
      <c r="O27" s="31">
        <f>305.8</f>
        <v>305.8</v>
      </c>
      <c r="P27" s="32" t="s">
        <v>1205</v>
      </c>
      <c r="Q27" s="31">
        <f>328.3</f>
        <v>328.3</v>
      </c>
      <c r="R27" s="32" t="s">
        <v>1078</v>
      </c>
      <c r="S27" s="33">
        <f>316.28</f>
        <v>316.27999999999997</v>
      </c>
      <c r="T27" s="30">
        <f>38285510</f>
        <v>38285510</v>
      </c>
      <c r="U27" s="30">
        <f>15405000</f>
        <v>15405000</v>
      </c>
      <c r="V27" s="30">
        <f>12163399853</f>
        <v>12163399853</v>
      </c>
      <c r="W27" s="30">
        <f>4923432205</f>
        <v>4923432205</v>
      </c>
      <c r="X27" s="34">
        <f>18</f>
        <v>18</v>
      </c>
    </row>
    <row r="28" spans="1:24">
      <c r="A28" s="25" t="s">
        <v>1203</v>
      </c>
      <c r="B28" s="25" t="s">
        <v>97</v>
      </c>
      <c r="C28" s="25" t="s">
        <v>98</v>
      </c>
      <c r="D28" s="25" t="s">
        <v>942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</v>
      </c>
      <c r="K28" s="31">
        <f>12120</f>
        <v>12120</v>
      </c>
      <c r="L28" s="32" t="s">
        <v>1204</v>
      </c>
      <c r="M28" s="31">
        <f>13205</f>
        <v>13205</v>
      </c>
      <c r="N28" s="32" t="s">
        <v>1078</v>
      </c>
      <c r="O28" s="31">
        <f>11505</f>
        <v>11505</v>
      </c>
      <c r="P28" s="32" t="s">
        <v>1211</v>
      </c>
      <c r="Q28" s="31">
        <f>13000</f>
        <v>13000</v>
      </c>
      <c r="R28" s="32" t="s">
        <v>1078</v>
      </c>
      <c r="S28" s="33">
        <f>12011.67</f>
        <v>12011.67</v>
      </c>
      <c r="T28" s="30">
        <f>18582763</f>
        <v>18582763</v>
      </c>
      <c r="U28" s="30">
        <f>616854</f>
        <v>616854</v>
      </c>
      <c r="V28" s="30">
        <f>224274450698</f>
        <v>224274450698</v>
      </c>
      <c r="W28" s="30">
        <f>7489527983</f>
        <v>7489527983</v>
      </c>
      <c r="X28" s="34">
        <f>18</f>
        <v>18</v>
      </c>
    </row>
    <row r="29" spans="1:24">
      <c r="A29" s="25" t="s">
        <v>1203</v>
      </c>
      <c r="B29" s="25" t="s">
        <v>99</v>
      </c>
      <c r="C29" s="25" t="s">
        <v>100</v>
      </c>
      <c r="D29" s="25" t="s">
        <v>101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49570</f>
        <v>49570</v>
      </c>
      <c r="L29" s="32" t="s">
        <v>1204</v>
      </c>
      <c r="M29" s="31">
        <f>51950</f>
        <v>51950</v>
      </c>
      <c r="N29" s="32" t="s">
        <v>1211</v>
      </c>
      <c r="O29" s="31">
        <f>44950</f>
        <v>44950</v>
      </c>
      <c r="P29" s="32" t="s">
        <v>1078</v>
      </c>
      <c r="Q29" s="31">
        <f>46000</f>
        <v>46000</v>
      </c>
      <c r="R29" s="32" t="s">
        <v>1078</v>
      </c>
      <c r="S29" s="33">
        <f>49808.33</f>
        <v>49808.33</v>
      </c>
      <c r="T29" s="30">
        <f>354961</f>
        <v>354961</v>
      </c>
      <c r="U29" s="30">
        <f>1</f>
        <v>1</v>
      </c>
      <c r="V29" s="30">
        <f>17522706510</f>
        <v>17522706510</v>
      </c>
      <c r="W29" s="30">
        <f>50100</f>
        <v>50100</v>
      </c>
      <c r="X29" s="34">
        <f>18</f>
        <v>18</v>
      </c>
    </row>
    <row r="30" spans="1:24">
      <c r="A30" s="25" t="s">
        <v>1203</v>
      </c>
      <c r="B30" s="25" t="s">
        <v>102</v>
      </c>
      <c r="C30" s="25" t="s">
        <v>103</v>
      </c>
      <c r="D30" s="25" t="s">
        <v>104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10</v>
      </c>
      <c r="K30" s="31">
        <f>298.7</f>
        <v>298.7</v>
      </c>
      <c r="L30" s="32" t="s">
        <v>1204</v>
      </c>
      <c r="M30" s="31">
        <f>324.6</f>
        <v>324.60000000000002</v>
      </c>
      <c r="N30" s="32" t="s">
        <v>1078</v>
      </c>
      <c r="O30" s="31">
        <f>284</f>
        <v>284</v>
      </c>
      <c r="P30" s="32" t="s">
        <v>1205</v>
      </c>
      <c r="Q30" s="31">
        <f>319.2</f>
        <v>319.2</v>
      </c>
      <c r="R30" s="32" t="s">
        <v>1078</v>
      </c>
      <c r="S30" s="33">
        <f>295.25</f>
        <v>295.25</v>
      </c>
      <c r="T30" s="30">
        <f>737783450</f>
        <v>737783450</v>
      </c>
      <c r="U30" s="30">
        <f>18352480</f>
        <v>18352480</v>
      </c>
      <c r="V30" s="30">
        <f>218449475902</f>
        <v>218449475902</v>
      </c>
      <c r="W30" s="30">
        <f>5508763147</f>
        <v>5508763147</v>
      </c>
      <c r="X30" s="34">
        <f>18</f>
        <v>18</v>
      </c>
    </row>
    <row r="31" spans="1:24">
      <c r="A31" s="25" t="s">
        <v>1203</v>
      </c>
      <c r="B31" s="25" t="s">
        <v>105</v>
      </c>
      <c r="C31" s="25" t="s">
        <v>106</v>
      </c>
      <c r="D31" s="25" t="s">
        <v>107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</v>
      </c>
      <c r="K31" s="31">
        <f>25380</f>
        <v>25380</v>
      </c>
      <c r="L31" s="32" t="s">
        <v>1204</v>
      </c>
      <c r="M31" s="31">
        <f>25750</f>
        <v>25750</v>
      </c>
      <c r="N31" s="32" t="s">
        <v>1209</v>
      </c>
      <c r="O31" s="31">
        <f>24630</f>
        <v>24630</v>
      </c>
      <c r="P31" s="32" t="s">
        <v>1078</v>
      </c>
      <c r="Q31" s="31">
        <f>24760</f>
        <v>24760</v>
      </c>
      <c r="R31" s="32" t="s">
        <v>1078</v>
      </c>
      <c r="S31" s="33">
        <f>25292.5</f>
        <v>25292.5</v>
      </c>
      <c r="T31" s="30">
        <f>16701</f>
        <v>16701</v>
      </c>
      <c r="U31" s="30">
        <f>1792</f>
        <v>1792</v>
      </c>
      <c r="V31" s="30">
        <f>423581748</f>
        <v>423581748</v>
      </c>
      <c r="W31" s="30">
        <f>45465868</f>
        <v>45465868</v>
      </c>
      <c r="X31" s="34">
        <f>18</f>
        <v>18</v>
      </c>
    </row>
    <row r="32" spans="1:24">
      <c r="A32" s="25" t="s">
        <v>1203</v>
      </c>
      <c r="B32" s="25" t="s">
        <v>108</v>
      </c>
      <c r="C32" s="25" t="s">
        <v>876</v>
      </c>
      <c r="D32" s="25" t="s">
        <v>877</v>
      </c>
      <c r="E32" s="26" t="s">
        <v>43</v>
      </c>
      <c r="F32" s="27" t="s">
        <v>43</v>
      </c>
      <c r="G32" s="28" t="s">
        <v>43</v>
      </c>
      <c r="H32" s="29"/>
      <c r="I32" s="29" t="s">
        <v>44</v>
      </c>
      <c r="J32" s="30">
        <v>1</v>
      </c>
      <c r="K32" s="31">
        <f>40490</f>
        <v>40490</v>
      </c>
      <c r="L32" s="32" t="s">
        <v>1204</v>
      </c>
      <c r="M32" s="31">
        <f>42460</f>
        <v>42460</v>
      </c>
      <c r="N32" s="32" t="s">
        <v>1211</v>
      </c>
      <c r="O32" s="31">
        <f>36700</f>
        <v>36700</v>
      </c>
      <c r="P32" s="32" t="s">
        <v>1078</v>
      </c>
      <c r="Q32" s="31">
        <f>37330</f>
        <v>37330</v>
      </c>
      <c r="R32" s="32" t="s">
        <v>1078</v>
      </c>
      <c r="S32" s="33">
        <f>40666.11</f>
        <v>40666.11</v>
      </c>
      <c r="T32" s="30">
        <f>896688</f>
        <v>896688</v>
      </c>
      <c r="U32" s="30">
        <f>21850</f>
        <v>21850</v>
      </c>
      <c r="V32" s="30">
        <f>36096687133</f>
        <v>36096687133</v>
      </c>
      <c r="W32" s="30">
        <f>878250633</f>
        <v>878250633</v>
      </c>
      <c r="X32" s="34">
        <f>18</f>
        <v>18</v>
      </c>
    </row>
    <row r="33" spans="1:24">
      <c r="A33" s="25" t="s">
        <v>1203</v>
      </c>
      <c r="B33" s="25" t="s">
        <v>109</v>
      </c>
      <c r="C33" s="25" t="s">
        <v>878</v>
      </c>
      <c r="D33" s="25" t="s">
        <v>879</v>
      </c>
      <c r="E33" s="26" t="s">
        <v>43</v>
      </c>
      <c r="F33" s="27" t="s">
        <v>43</v>
      </c>
      <c r="G33" s="28" t="s">
        <v>43</v>
      </c>
      <c r="H33" s="29"/>
      <c r="I33" s="29" t="s">
        <v>44</v>
      </c>
      <c r="J33" s="30">
        <v>1</v>
      </c>
      <c r="K33" s="31">
        <f>305</f>
        <v>305</v>
      </c>
      <c r="L33" s="32" t="s">
        <v>1204</v>
      </c>
      <c r="M33" s="31">
        <f>332</f>
        <v>332</v>
      </c>
      <c r="N33" s="32" t="s">
        <v>1078</v>
      </c>
      <c r="O33" s="31">
        <f>289</f>
        <v>289</v>
      </c>
      <c r="P33" s="32" t="s">
        <v>1211</v>
      </c>
      <c r="Q33" s="31">
        <f>326</f>
        <v>326</v>
      </c>
      <c r="R33" s="32" t="s">
        <v>1078</v>
      </c>
      <c r="S33" s="33">
        <f>302.06</f>
        <v>302.06</v>
      </c>
      <c r="T33" s="30">
        <f>24550132</f>
        <v>24550132</v>
      </c>
      <c r="U33" s="30">
        <f>750215</f>
        <v>750215</v>
      </c>
      <c r="V33" s="30">
        <f>7454115970</f>
        <v>7454115970</v>
      </c>
      <c r="W33" s="30">
        <f>225743714</f>
        <v>225743714</v>
      </c>
      <c r="X33" s="34">
        <f>18</f>
        <v>18</v>
      </c>
    </row>
    <row r="34" spans="1:24">
      <c r="A34" s="25" t="s">
        <v>1203</v>
      </c>
      <c r="B34" s="25" t="s">
        <v>110</v>
      </c>
      <c r="C34" s="25" t="s">
        <v>880</v>
      </c>
      <c r="D34" s="25" t="s">
        <v>881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35820</f>
        <v>35820</v>
      </c>
      <c r="L34" s="32" t="s">
        <v>1204</v>
      </c>
      <c r="M34" s="31">
        <f>37350</f>
        <v>37350</v>
      </c>
      <c r="N34" s="32" t="s">
        <v>1205</v>
      </c>
      <c r="O34" s="31">
        <f>34180</f>
        <v>34180</v>
      </c>
      <c r="P34" s="32" t="s">
        <v>1078</v>
      </c>
      <c r="Q34" s="31">
        <f>34700</f>
        <v>34700</v>
      </c>
      <c r="R34" s="32" t="s">
        <v>1078</v>
      </c>
      <c r="S34" s="33">
        <f>36110</f>
        <v>36110</v>
      </c>
      <c r="T34" s="30">
        <f>73554</f>
        <v>73554</v>
      </c>
      <c r="U34" s="30">
        <f>3676</f>
        <v>3676</v>
      </c>
      <c r="V34" s="30">
        <f>2636212585</f>
        <v>2636212585</v>
      </c>
      <c r="W34" s="30">
        <f>131305515</f>
        <v>131305515</v>
      </c>
      <c r="X34" s="34">
        <f>18</f>
        <v>18</v>
      </c>
    </row>
    <row r="35" spans="1:24">
      <c r="A35" s="25" t="s">
        <v>1203</v>
      </c>
      <c r="B35" s="25" t="s">
        <v>111</v>
      </c>
      <c r="C35" s="25" t="s">
        <v>882</v>
      </c>
      <c r="D35" s="25" t="s">
        <v>883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460</f>
        <v>460</v>
      </c>
      <c r="L35" s="32" t="s">
        <v>1204</v>
      </c>
      <c r="M35" s="31">
        <f>479</f>
        <v>479</v>
      </c>
      <c r="N35" s="32" t="s">
        <v>1078</v>
      </c>
      <c r="O35" s="31">
        <f>440</f>
        <v>440</v>
      </c>
      <c r="P35" s="32" t="s">
        <v>1205</v>
      </c>
      <c r="Q35" s="31">
        <f>474</f>
        <v>474</v>
      </c>
      <c r="R35" s="32" t="s">
        <v>1078</v>
      </c>
      <c r="S35" s="33">
        <f>456.11</f>
        <v>456.11</v>
      </c>
      <c r="T35" s="30">
        <f>2177592</f>
        <v>2177592</v>
      </c>
      <c r="U35" s="30">
        <f>5720</f>
        <v>5720</v>
      </c>
      <c r="V35" s="30">
        <f>994332694</f>
        <v>994332694</v>
      </c>
      <c r="W35" s="30">
        <f>2671716</f>
        <v>2671716</v>
      </c>
      <c r="X35" s="34">
        <f>18</f>
        <v>18</v>
      </c>
    </row>
    <row r="36" spans="1:24">
      <c r="A36" s="25" t="s">
        <v>1203</v>
      </c>
      <c r="B36" s="25" t="s">
        <v>112</v>
      </c>
      <c r="C36" s="25" t="s">
        <v>113</v>
      </c>
      <c r="D36" s="25" t="s">
        <v>114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38620</f>
        <v>38620</v>
      </c>
      <c r="L36" s="32" t="s">
        <v>1204</v>
      </c>
      <c r="M36" s="31">
        <f>39850</f>
        <v>39850</v>
      </c>
      <c r="N36" s="32" t="s">
        <v>1080</v>
      </c>
      <c r="O36" s="31">
        <f>36980</f>
        <v>36980</v>
      </c>
      <c r="P36" s="32" t="s">
        <v>1078</v>
      </c>
      <c r="Q36" s="31">
        <f>37630</f>
        <v>37630</v>
      </c>
      <c r="R36" s="32" t="s">
        <v>1078</v>
      </c>
      <c r="S36" s="33">
        <f>38862.78</f>
        <v>38862.78</v>
      </c>
      <c r="T36" s="30">
        <f>114188</f>
        <v>114188</v>
      </c>
      <c r="U36" s="30">
        <f>33285</f>
        <v>33285</v>
      </c>
      <c r="V36" s="30">
        <f>4408696767</f>
        <v>4408696767</v>
      </c>
      <c r="W36" s="30">
        <f>1303223677</f>
        <v>1303223677</v>
      </c>
      <c r="X36" s="34">
        <f>18</f>
        <v>18</v>
      </c>
    </row>
    <row r="37" spans="1:24">
      <c r="A37" s="25" t="s">
        <v>1203</v>
      </c>
      <c r="B37" s="25" t="s">
        <v>115</v>
      </c>
      <c r="C37" s="25" t="s">
        <v>116</v>
      </c>
      <c r="D37" s="25" t="s">
        <v>117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38970</f>
        <v>38970</v>
      </c>
      <c r="L37" s="32" t="s">
        <v>1204</v>
      </c>
      <c r="M37" s="31">
        <f>40030</f>
        <v>40030</v>
      </c>
      <c r="N37" s="32" t="s">
        <v>1080</v>
      </c>
      <c r="O37" s="31">
        <f>37300</f>
        <v>37300</v>
      </c>
      <c r="P37" s="32" t="s">
        <v>1078</v>
      </c>
      <c r="Q37" s="31">
        <f>37640</f>
        <v>37640</v>
      </c>
      <c r="R37" s="32" t="s">
        <v>1078</v>
      </c>
      <c r="S37" s="33">
        <f>39161.11</f>
        <v>39161.11</v>
      </c>
      <c r="T37" s="30">
        <f>136796</f>
        <v>136796</v>
      </c>
      <c r="U37" s="30">
        <f>65470</f>
        <v>65470</v>
      </c>
      <c r="V37" s="30">
        <f>5309748693</f>
        <v>5309748693</v>
      </c>
      <c r="W37" s="30">
        <f>2538236343</f>
        <v>2538236343</v>
      </c>
      <c r="X37" s="34">
        <f>18</f>
        <v>18</v>
      </c>
    </row>
    <row r="38" spans="1:24">
      <c r="A38" s="25" t="s">
        <v>1203</v>
      </c>
      <c r="B38" s="25" t="s">
        <v>118</v>
      </c>
      <c r="C38" s="25" t="s">
        <v>119</v>
      </c>
      <c r="D38" s="25" t="s">
        <v>120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10</v>
      </c>
      <c r="K38" s="31">
        <f>1759</f>
        <v>1759</v>
      </c>
      <c r="L38" s="32" t="s">
        <v>1204</v>
      </c>
      <c r="M38" s="31">
        <f>1776</f>
        <v>1776</v>
      </c>
      <c r="N38" s="32" t="s">
        <v>1078</v>
      </c>
      <c r="O38" s="31">
        <f>1716</f>
        <v>1716</v>
      </c>
      <c r="P38" s="32" t="s">
        <v>738</v>
      </c>
      <c r="Q38" s="31">
        <f>1766.5</f>
        <v>1766.5</v>
      </c>
      <c r="R38" s="32" t="s">
        <v>1078</v>
      </c>
      <c r="S38" s="33">
        <f>1742.42</f>
        <v>1742.42</v>
      </c>
      <c r="T38" s="30">
        <f>2206570</f>
        <v>2206570</v>
      </c>
      <c r="U38" s="30">
        <f>410000</f>
        <v>410000</v>
      </c>
      <c r="V38" s="30">
        <f>3850304015</f>
        <v>3850304015</v>
      </c>
      <c r="W38" s="30">
        <f>716144945</f>
        <v>716144945</v>
      </c>
      <c r="X38" s="34">
        <f>18</f>
        <v>18</v>
      </c>
    </row>
    <row r="39" spans="1:24">
      <c r="A39" s="25" t="s">
        <v>1203</v>
      </c>
      <c r="B39" s="25" t="s">
        <v>121</v>
      </c>
      <c r="C39" s="25" t="s">
        <v>122</v>
      </c>
      <c r="D39" s="25" t="s">
        <v>123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10</v>
      </c>
      <c r="K39" s="31">
        <f>2194</f>
        <v>2194</v>
      </c>
      <c r="L39" s="32" t="s">
        <v>1204</v>
      </c>
      <c r="M39" s="31">
        <f>2280</f>
        <v>2280</v>
      </c>
      <c r="N39" s="32" t="s">
        <v>1076</v>
      </c>
      <c r="O39" s="31">
        <f>2154</f>
        <v>2154</v>
      </c>
      <c r="P39" s="32" t="s">
        <v>1210</v>
      </c>
      <c r="Q39" s="31">
        <f>2187</f>
        <v>2187</v>
      </c>
      <c r="R39" s="32" t="s">
        <v>1078</v>
      </c>
      <c r="S39" s="33">
        <f>2185.1</f>
        <v>2185.1</v>
      </c>
      <c r="T39" s="30">
        <f>20280</f>
        <v>20280</v>
      </c>
      <c r="U39" s="30">
        <f>30</f>
        <v>30</v>
      </c>
      <c r="V39" s="30">
        <f>44111460</f>
        <v>44111460</v>
      </c>
      <c r="W39" s="30">
        <f>65035</f>
        <v>65035</v>
      </c>
      <c r="X39" s="34">
        <f>15</f>
        <v>15</v>
      </c>
    </row>
    <row r="40" spans="1:24">
      <c r="A40" s="25" t="s">
        <v>1203</v>
      </c>
      <c r="B40" s="25" t="s">
        <v>1082</v>
      </c>
      <c r="C40" s="25" t="s">
        <v>1083</v>
      </c>
      <c r="D40" s="25" t="s">
        <v>1084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</v>
      </c>
      <c r="K40" s="31">
        <f>2020</f>
        <v>2020</v>
      </c>
      <c r="L40" s="32" t="s">
        <v>1204</v>
      </c>
      <c r="M40" s="31">
        <f>2076</f>
        <v>2076</v>
      </c>
      <c r="N40" s="32" t="s">
        <v>1211</v>
      </c>
      <c r="O40" s="31">
        <f>1962</f>
        <v>1962</v>
      </c>
      <c r="P40" s="32" t="s">
        <v>1079</v>
      </c>
      <c r="Q40" s="31">
        <f>1987</f>
        <v>1987</v>
      </c>
      <c r="R40" s="32" t="s">
        <v>1078</v>
      </c>
      <c r="S40" s="33">
        <f>2016.67</f>
        <v>2016.67</v>
      </c>
      <c r="T40" s="30">
        <f>47421</f>
        <v>47421</v>
      </c>
      <c r="U40" s="30" t="str">
        <f>"－"</f>
        <v>－</v>
      </c>
      <c r="V40" s="30">
        <f>95575056</f>
        <v>95575056</v>
      </c>
      <c r="W40" s="30" t="str">
        <f>"－"</f>
        <v>－</v>
      </c>
      <c r="X40" s="34">
        <f>18</f>
        <v>18</v>
      </c>
    </row>
    <row r="41" spans="1:24">
      <c r="A41" s="25" t="s">
        <v>1203</v>
      </c>
      <c r="B41" s="25" t="s">
        <v>124</v>
      </c>
      <c r="C41" s="25" t="s">
        <v>884</v>
      </c>
      <c r="D41" s="25" t="s">
        <v>885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2491</f>
        <v>2491</v>
      </c>
      <c r="L41" s="32" t="s">
        <v>1204</v>
      </c>
      <c r="M41" s="31">
        <f>2598</f>
        <v>2598</v>
      </c>
      <c r="N41" s="32" t="s">
        <v>1078</v>
      </c>
      <c r="O41" s="31">
        <f>2423</f>
        <v>2423</v>
      </c>
      <c r="P41" s="32" t="s">
        <v>1211</v>
      </c>
      <c r="Q41" s="31">
        <f>2575</f>
        <v>2575</v>
      </c>
      <c r="R41" s="32" t="s">
        <v>1078</v>
      </c>
      <c r="S41" s="33">
        <f>2475.5</f>
        <v>2475.5</v>
      </c>
      <c r="T41" s="30">
        <f>903944</f>
        <v>903944</v>
      </c>
      <c r="U41" s="30">
        <f>6240</f>
        <v>6240</v>
      </c>
      <c r="V41" s="30">
        <f>2252594570</f>
        <v>2252594570</v>
      </c>
      <c r="W41" s="30">
        <f>15440506</f>
        <v>15440506</v>
      </c>
      <c r="X41" s="34">
        <f>18</f>
        <v>18</v>
      </c>
    </row>
    <row r="42" spans="1:24">
      <c r="A42" s="25" t="s">
        <v>1203</v>
      </c>
      <c r="B42" s="25" t="s">
        <v>125</v>
      </c>
      <c r="C42" s="25" t="s">
        <v>886</v>
      </c>
      <c r="D42" s="25" t="s">
        <v>887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2952</f>
        <v>2952</v>
      </c>
      <c r="L42" s="32" t="s">
        <v>1204</v>
      </c>
      <c r="M42" s="31">
        <f>3005</f>
        <v>3005</v>
      </c>
      <c r="N42" s="32" t="s">
        <v>1078</v>
      </c>
      <c r="O42" s="31">
        <f>2880</f>
        <v>2880</v>
      </c>
      <c r="P42" s="32" t="s">
        <v>1205</v>
      </c>
      <c r="Q42" s="31">
        <f>2992</f>
        <v>2992</v>
      </c>
      <c r="R42" s="32" t="s">
        <v>1078</v>
      </c>
      <c r="S42" s="33">
        <f>2929.44</f>
        <v>2929.44</v>
      </c>
      <c r="T42" s="30">
        <f>64844</f>
        <v>64844</v>
      </c>
      <c r="U42" s="30" t="str">
        <f>"－"</f>
        <v>－</v>
      </c>
      <c r="V42" s="30">
        <f>190074861</f>
        <v>190074861</v>
      </c>
      <c r="W42" s="30" t="str">
        <f>"－"</f>
        <v>－</v>
      </c>
      <c r="X42" s="34">
        <f>18</f>
        <v>18</v>
      </c>
    </row>
    <row r="43" spans="1:24">
      <c r="A43" s="25" t="s">
        <v>1203</v>
      </c>
      <c r="B43" s="25" t="s">
        <v>126</v>
      </c>
      <c r="C43" s="25" t="s">
        <v>127</v>
      </c>
      <c r="D43" s="25" t="s">
        <v>128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31120</f>
        <v>31120</v>
      </c>
      <c r="L43" s="32" t="s">
        <v>1204</v>
      </c>
      <c r="M43" s="31">
        <f>32660</f>
        <v>32660</v>
      </c>
      <c r="N43" s="32" t="s">
        <v>1211</v>
      </c>
      <c r="O43" s="31">
        <f>28220</f>
        <v>28220</v>
      </c>
      <c r="P43" s="32" t="s">
        <v>1078</v>
      </c>
      <c r="Q43" s="31">
        <f>28730</f>
        <v>28730</v>
      </c>
      <c r="R43" s="32" t="s">
        <v>1078</v>
      </c>
      <c r="S43" s="33">
        <f>31262.22</f>
        <v>31262.22</v>
      </c>
      <c r="T43" s="30">
        <f>6218172</f>
        <v>6218172</v>
      </c>
      <c r="U43" s="30">
        <f>77719</f>
        <v>77719</v>
      </c>
      <c r="V43" s="30">
        <f>192974674470</f>
        <v>192974674470</v>
      </c>
      <c r="W43" s="30">
        <f>2442198560</f>
        <v>2442198560</v>
      </c>
      <c r="X43" s="34">
        <f>18</f>
        <v>18</v>
      </c>
    </row>
    <row r="44" spans="1:24">
      <c r="A44" s="25" t="s">
        <v>1203</v>
      </c>
      <c r="B44" s="25" t="s">
        <v>129</v>
      </c>
      <c r="C44" s="25" t="s">
        <v>130</v>
      </c>
      <c r="D44" s="25" t="s">
        <v>131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487</f>
        <v>487</v>
      </c>
      <c r="L44" s="32" t="s">
        <v>1204</v>
      </c>
      <c r="M44" s="31">
        <f>533</f>
        <v>533</v>
      </c>
      <c r="N44" s="32" t="s">
        <v>1078</v>
      </c>
      <c r="O44" s="31">
        <f>464</f>
        <v>464</v>
      </c>
      <c r="P44" s="32" t="s">
        <v>1211</v>
      </c>
      <c r="Q44" s="31">
        <f>525</f>
        <v>525</v>
      </c>
      <c r="R44" s="32" t="s">
        <v>1078</v>
      </c>
      <c r="S44" s="33">
        <f>484.72</f>
        <v>484.72</v>
      </c>
      <c r="T44" s="30">
        <f>188951227</f>
        <v>188951227</v>
      </c>
      <c r="U44" s="30">
        <f>2574396</f>
        <v>2574396</v>
      </c>
      <c r="V44" s="30">
        <f>91720058860</f>
        <v>91720058860</v>
      </c>
      <c r="W44" s="30">
        <f>1253285844</f>
        <v>1253285844</v>
      </c>
      <c r="X44" s="34">
        <f>18</f>
        <v>18</v>
      </c>
    </row>
    <row r="45" spans="1:24">
      <c r="A45" s="25" t="s">
        <v>1203</v>
      </c>
      <c r="B45" s="25" t="s">
        <v>132</v>
      </c>
      <c r="C45" s="25" t="s">
        <v>888</v>
      </c>
      <c r="D45" s="25" t="s">
        <v>889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577</f>
        <v>577</v>
      </c>
      <c r="L45" s="32" t="s">
        <v>1204</v>
      </c>
      <c r="M45" s="31">
        <f>612</f>
        <v>612</v>
      </c>
      <c r="N45" s="32" t="s">
        <v>1078</v>
      </c>
      <c r="O45" s="31">
        <f>566</f>
        <v>566</v>
      </c>
      <c r="P45" s="32" t="s">
        <v>1211</v>
      </c>
      <c r="Q45" s="31">
        <f>604</f>
        <v>604</v>
      </c>
      <c r="R45" s="32" t="s">
        <v>1078</v>
      </c>
      <c r="S45" s="33">
        <f>585.44</f>
        <v>585.44000000000005</v>
      </c>
      <c r="T45" s="30">
        <f>33488</f>
        <v>33488</v>
      </c>
      <c r="U45" s="30" t="str">
        <f>"－"</f>
        <v>－</v>
      </c>
      <c r="V45" s="30">
        <f>19628104</f>
        <v>19628104</v>
      </c>
      <c r="W45" s="30" t="str">
        <f>"－"</f>
        <v>－</v>
      </c>
      <c r="X45" s="34">
        <f>18</f>
        <v>18</v>
      </c>
    </row>
    <row r="46" spans="1:24">
      <c r="A46" s="25" t="s">
        <v>1203</v>
      </c>
      <c r="B46" s="25" t="s">
        <v>133</v>
      </c>
      <c r="C46" s="25" t="s">
        <v>134</v>
      </c>
      <c r="D46" s="25" t="s">
        <v>135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10</v>
      </c>
      <c r="K46" s="31">
        <f>570</f>
        <v>570</v>
      </c>
      <c r="L46" s="32" t="s">
        <v>1204</v>
      </c>
      <c r="M46" s="31">
        <f>598</f>
        <v>598</v>
      </c>
      <c r="N46" s="32" t="s">
        <v>1078</v>
      </c>
      <c r="O46" s="31">
        <f>560.1</f>
        <v>560.1</v>
      </c>
      <c r="P46" s="32" t="s">
        <v>1080</v>
      </c>
      <c r="Q46" s="31">
        <f>591.4</f>
        <v>591.4</v>
      </c>
      <c r="R46" s="32" t="s">
        <v>1078</v>
      </c>
      <c r="S46" s="33">
        <f>574.19</f>
        <v>574.19000000000005</v>
      </c>
      <c r="T46" s="30">
        <f>73590</f>
        <v>73590</v>
      </c>
      <c r="U46" s="30" t="str">
        <f>"－"</f>
        <v>－</v>
      </c>
      <c r="V46" s="30">
        <f>42356001</f>
        <v>42356001</v>
      </c>
      <c r="W46" s="30" t="str">
        <f>"－"</f>
        <v>－</v>
      </c>
      <c r="X46" s="34">
        <f>18</f>
        <v>18</v>
      </c>
    </row>
    <row r="47" spans="1:24">
      <c r="A47" s="25" t="s">
        <v>1203</v>
      </c>
      <c r="B47" s="25" t="s">
        <v>136</v>
      </c>
      <c r="C47" s="25" t="s">
        <v>137</v>
      </c>
      <c r="D47" s="25" t="s">
        <v>138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230</f>
        <v>230</v>
      </c>
      <c r="L47" s="32" t="s">
        <v>1204</v>
      </c>
      <c r="M47" s="31">
        <f>249</f>
        <v>249</v>
      </c>
      <c r="N47" s="32" t="s">
        <v>1078</v>
      </c>
      <c r="O47" s="31">
        <f>228</f>
        <v>228</v>
      </c>
      <c r="P47" s="32" t="s">
        <v>1205</v>
      </c>
      <c r="Q47" s="31">
        <f>242</f>
        <v>242</v>
      </c>
      <c r="R47" s="32" t="s">
        <v>1078</v>
      </c>
      <c r="S47" s="33">
        <f>234.17</f>
        <v>234.17</v>
      </c>
      <c r="T47" s="30">
        <f>103445</f>
        <v>103445</v>
      </c>
      <c r="U47" s="30" t="str">
        <f>"－"</f>
        <v>－</v>
      </c>
      <c r="V47" s="30">
        <f>24388492</f>
        <v>24388492</v>
      </c>
      <c r="W47" s="30" t="str">
        <f>"－"</f>
        <v>－</v>
      </c>
      <c r="X47" s="34">
        <f>18</f>
        <v>18</v>
      </c>
    </row>
    <row r="48" spans="1:24">
      <c r="A48" s="25" t="s">
        <v>1203</v>
      </c>
      <c r="B48" s="25" t="s">
        <v>139</v>
      </c>
      <c r="C48" s="25" t="s">
        <v>140</v>
      </c>
      <c r="D48" s="25" t="s">
        <v>141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2763.5</f>
        <v>2763.5</v>
      </c>
      <c r="L48" s="32" t="s">
        <v>1204</v>
      </c>
      <c r="M48" s="31">
        <f>2825</f>
        <v>2825</v>
      </c>
      <c r="N48" s="32" t="s">
        <v>1205</v>
      </c>
      <c r="O48" s="31">
        <f>2710</f>
        <v>2710</v>
      </c>
      <c r="P48" s="32" t="s">
        <v>1078</v>
      </c>
      <c r="Q48" s="31">
        <f>2793.5</f>
        <v>2793.5</v>
      </c>
      <c r="R48" s="32" t="s">
        <v>1078</v>
      </c>
      <c r="S48" s="33">
        <f>2786.75</f>
        <v>2786.75</v>
      </c>
      <c r="T48" s="30">
        <f>1078210</f>
        <v>1078210</v>
      </c>
      <c r="U48" s="30">
        <f>583310</f>
        <v>583310</v>
      </c>
      <c r="V48" s="30">
        <f>2984232386</f>
        <v>2984232386</v>
      </c>
      <c r="W48" s="30">
        <f>1614165476</f>
        <v>1614165476</v>
      </c>
      <c r="X48" s="34">
        <f>18</f>
        <v>18</v>
      </c>
    </row>
    <row r="49" spans="1:24">
      <c r="A49" s="25" t="s">
        <v>1203</v>
      </c>
      <c r="B49" s="25" t="s">
        <v>142</v>
      </c>
      <c r="C49" s="25" t="s">
        <v>143</v>
      </c>
      <c r="D49" s="25" t="s">
        <v>144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24985</f>
        <v>24985</v>
      </c>
      <c r="L49" s="32" t="s">
        <v>1204</v>
      </c>
      <c r="M49" s="31">
        <f>25360</f>
        <v>25360</v>
      </c>
      <c r="N49" s="32" t="s">
        <v>1080</v>
      </c>
      <c r="O49" s="31">
        <f>24400</f>
        <v>24400</v>
      </c>
      <c r="P49" s="32" t="s">
        <v>1078</v>
      </c>
      <c r="Q49" s="31">
        <f>24485</f>
        <v>24485</v>
      </c>
      <c r="R49" s="32" t="s">
        <v>1078</v>
      </c>
      <c r="S49" s="33">
        <f>24993.06</f>
        <v>24993.06</v>
      </c>
      <c r="T49" s="30">
        <f>9094</f>
        <v>9094</v>
      </c>
      <c r="U49" s="30" t="str">
        <f>"－"</f>
        <v>－</v>
      </c>
      <c r="V49" s="30">
        <f>226324945</f>
        <v>226324945</v>
      </c>
      <c r="W49" s="30" t="str">
        <f>"－"</f>
        <v>－</v>
      </c>
      <c r="X49" s="34">
        <f>18</f>
        <v>18</v>
      </c>
    </row>
    <row r="50" spans="1:24">
      <c r="A50" s="25" t="s">
        <v>1203</v>
      </c>
      <c r="B50" s="25" t="s">
        <v>145</v>
      </c>
      <c r="C50" s="25" t="s">
        <v>146</v>
      </c>
      <c r="D50" s="25" t="s">
        <v>147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282.8</f>
        <v>282.8</v>
      </c>
      <c r="L50" s="32" t="s">
        <v>1204</v>
      </c>
      <c r="M50" s="31">
        <f>286.1</f>
        <v>286.10000000000002</v>
      </c>
      <c r="N50" s="32" t="s">
        <v>1209</v>
      </c>
      <c r="O50" s="31">
        <f>273</f>
        <v>273</v>
      </c>
      <c r="P50" s="32" t="s">
        <v>1078</v>
      </c>
      <c r="Q50" s="31">
        <f>275</f>
        <v>275</v>
      </c>
      <c r="R50" s="32" t="s">
        <v>1078</v>
      </c>
      <c r="S50" s="33">
        <f>281.2</f>
        <v>281.2</v>
      </c>
      <c r="T50" s="30">
        <f>109280280</f>
        <v>109280280</v>
      </c>
      <c r="U50" s="30">
        <f>57413470</f>
        <v>57413470</v>
      </c>
      <c r="V50" s="30">
        <f>30677190038</f>
        <v>30677190038</v>
      </c>
      <c r="W50" s="30">
        <f>16120853464</f>
        <v>16120853464</v>
      </c>
      <c r="X50" s="34">
        <f>18</f>
        <v>18</v>
      </c>
    </row>
    <row r="51" spans="1:24">
      <c r="A51" s="25" t="s">
        <v>1203</v>
      </c>
      <c r="B51" s="25" t="s">
        <v>148</v>
      </c>
      <c r="C51" s="25" t="s">
        <v>149</v>
      </c>
      <c r="D51" s="25" t="s">
        <v>150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1778</f>
        <v>1778</v>
      </c>
      <c r="L51" s="32" t="s">
        <v>1204</v>
      </c>
      <c r="M51" s="31">
        <f>1780</f>
        <v>1780</v>
      </c>
      <c r="N51" s="32" t="s">
        <v>1204</v>
      </c>
      <c r="O51" s="31">
        <f>1705</f>
        <v>1705</v>
      </c>
      <c r="P51" s="32" t="s">
        <v>738</v>
      </c>
      <c r="Q51" s="31">
        <f>1749</f>
        <v>1749</v>
      </c>
      <c r="R51" s="32" t="s">
        <v>1078</v>
      </c>
      <c r="S51" s="33">
        <f>1736.94</f>
        <v>1736.94</v>
      </c>
      <c r="T51" s="30">
        <f>12607706</f>
        <v>12607706</v>
      </c>
      <c r="U51" s="30">
        <f>11151099</f>
        <v>11151099</v>
      </c>
      <c r="V51" s="30">
        <f>21933902351</f>
        <v>21933902351</v>
      </c>
      <c r="W51" s="30">
        <f>19399111959</f>
        <v>19399111959</v>
      </c>
      <c r="X51" s="34">
        <f>18</f>
        <v>18</v>
      </c>
    </row>
    <row r="52" spans="1:24">
      <c r="A52" s="25" t="s">
        <v>1203</v>
      </c>
      <c r="B52" s="25" t="s">
        <v>151</v>
      </c>
      <c r="C52" s="25" t="s">
        <v>152</v>
      </c>
      <c r="D52" s="25" t="s">
        <v>153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</v>
      </c>
      <c r="K52" s="31">
        <f>2576</f>
        <v>2576</v>
      </c>
      <c r="L52" s="32" t="s">
        <v>1204</v>
      </c>
      <c r="M52" s="31">
        <f>2608</f>
        <v>2608</v>
      </c>
      <c r="N52" s="32" t="s">
        <v>1080</v>
      </c>
      <c r="O52" s="31">
        <f>2520</f>
        <v>2520</v>
      </c>
      <c r="P52" s="32" t="s">
        <v>1078</v>
      </c>
      <c r="Q52" s="31">
        <f>2530</f>
        <v>2530</v>
      </c>
      <c r="R52" s="32" t="s">
        <v>1078</v>
      </c>
      <c r="S52" s="33">
        <f>2556.83</f>
        <v>2556.83</v>
      </c>
      <c r="T52" s="30">
        <f>33190</f>
        <v>33190</v>
      </c>
      <c r="U52" s="30">
        <f>15622</f>
        <v>15622</v>
      </c>
      <c r="V52" s="30">
        <f>84492739</f>
        <v>84492739</v>
      </c>
      <c r="W52" s="30">
        <f>39495064</f>
        <v>39495064</v>
      </c>
      <c r="X52" s="34">
        <f>18</f>
        <v>18</v>
      </c>
    </row>
    <row r="53" spans="1:24">
      <c r="A53" s="25" t="s">
        <v>1203</v>
      </c>
      <c r="B53" s="25" t="s">
        <v>154</v>
      </c>
      <c r="C53" s="25" t="s">
        <v>155</v>
      </c>
      <c r="D53" s="25" t="s">
        <v>156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3730</f>
        <v>3730</v>
      </c>
      <c r="L53" s="32" t="s">
        <v>1204</v>
      </c>
      <c r="M53" s="31">
        <f>3820</f>
        <v>3820</v>
      </c>
      <c r="N53" s="32" t="s">
        <v>1209</v>
      </c>
      <c r="O53" s="31">
        <f>3665</f>
        <v>3665</v>
      </c>
      <c r="P53" s="32" t="s">
        <v>1081</v>
      </c>
      <c r="Q53" s="31">
        <f>3735</f>
        <v>3735</v>
      </c>
      <c r="R53" s="32" t="s">
        <v>1078</v>
      </c>
      <c r="S53" s="33">
        <f>3727.78</f>
        <v>3727.78</v>
      </c>
      <c r="T53" s="30">
        <f>1147945</f>
        <v>1147945</v>
      </c>
      <c r="U53" s="30">
        <f>335578</f>
        <v>335578</v>
      </c>
      <c r="V53" s="30">
        <f>4279550059</f>
        <v>4279550059</v>
      </c>
      <c r="W53" s="30">
        <f>1248902044</f>
        <v>1248902044</v>
      </c>
      <c r="X53" s="34">
        <f>18</f>
        <v>18</v>
      </c>
    </row>
    <row r="54" spans="1:24">
      <c r="A54" s="25" t="s">
        <v>1203</v>
      </c>
      <c r="B54" s="25" t="s">
        <v>157</v>
      </c>
      <c r="C54" s="25" t="s">
        <v>890</v>
      </c>
      <c r="D54" s="25" t="s">
        <v>891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35370</f>
        <v>35370</v>
      </c>
      <c r="L54" s="32" t="s">
        <v>1076</v>
      </c>
      <c r="M54" s="31">
        <f>35440</f>
        <v>35440</v>
      </c>
      <c r="N54" s="32" t="s">
        <v>1075</v>
      </c>
      <c r="O54" s="31">
        <f>34290</f>
        <v>34290</v>
      </c>
      <c r="P54" s="32" t="s">
        <v>1212</v>
      </c>
      <c r="Q54" s="31">
        <f>35140</f>
        <v>35140</v>
      </c>
      <c r="R54" s="32" t="s">
        <v>1075</v>
      </c>
      <c r="S54" s="33">
        <f>35045</f>
        <v>35045</v>
      </c>
      <c r="T54" s="30">
        <f>56</f>
        <v>56</v>
      </c>
      <c r="U54" s="30" t="str">
        <f>"－"</f>
        <v>－</v>
      </c>
      <c r="V54" s="30">
        <f>1972070</f>
        <v>1972070</v>
      </c>
      <c r="W54" s="30" t="str">
        <f>"－"</f>
        <v>－</v>
      </c>
      <c r="X54" s="34">
        <f>4</f>
        <v>4</v>
      </c>
    </row>
    <row r="55" spans="1:24">
      <c r="A55" s="25" t="s">
        <v>1203</v>
      </c>
      <c r="B55" s="25" t="s">
        <v>158</v>
      </c>
      <c r="C55" s="25" t="s">
        <v>159</v>
      </c>
      <c r="D55" s="25" t="s">
        <v>160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27500</f>
        <v>27500</v>
      </c>
      <c r="L55" s="32" t="s">
        <v>1204</v>
      </c>
      <c r="M55" s="31">
        <f>28970</f>
        <v>28970</v>
      </c>
      <c r="N55" s="32" t="s">
        <v>1208</v>
      </c>
      <c r="O55" s="31">
        <f>26200</f>
        <v>26200</v>
      </c>
      <c r="P55" s="32" t="s">
        <v>1078</v>
      </c>
      <c r="Q55" s="31">
        <f>26200</f>
        <v>26200</v>
      </c>
      <c r="R55" s="32" t="s">
        <v>1078</v>
      </c>
      <c r="S55" s="33">
        <f>27168.5</f>
        <v>27168.5</v>
      </c>
      <c r="T55" s="30">
        <f>75</f>
        <v>75</v>
      </c>
      <c r="U55" s="30" t="str">
        <f>"－"</f>
        <v>－</v>
      </c>
      <c r="V55" s="30">
        <f>2035745</f>
        <v>2035745</v>
      </c>
      <c r="W55" s="30" t="str">
        <f>"－"</f>
        <v>－</v>
      </c>
      <c r="X55" s="34">
        <f>10</f>
        <v>10</v>
      </c>
    </row>
    <row r="56" spans="1:24">
      <c r="A56" s="25" t="s">
        <v>1203</v>
      </c>
      <c r="B56" s="25" t="s">
        <v>161</v>
      </c>
      <c r="C56" s="25" t="s">
        <v>162</v>
      </c>
      <c r="D56" s="25" t="s">
        <v>163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2890</f>
        <v>2890</v>
      </c>
      <c r="L56" s="32" t="s">
        <v>1204</v>
      </c>
      <c r="M56" s="31">
        <f>2890</f>
        <v>2890</v>
      </c>
      <c r="N56" s="32" t="s">
        <v>1204</v>
      </c>
      <c r="O56" s="31">
        <f>2750</f>
        <v>2750</v>
      </c>
      <c r="P56" s="32" t="s">
        <v>1210</v>
      </c>
      <c r="Q56" s="31">
        <f>2758</f>
        <v>2758</v>
      </c>
      <c r="R56" s="32" t="s">
        <v>1078</v>
      </c>
      <c r="S56" s="33">
        <f>2799.57</f>
        <v>2799.57</v>
      </c>
      <c r="T56" s="30">
        <f>1282</f>
        <v>1282</v>
      </c>
      <c r="U56" s="30">
        <f>2</f>
        <v>2</v>
      </c>
      <c r="V56" s="30">
        <f>3566924</f>
        <v>3566924</v>
      </c>
      <c r="W56" s="30">
        <f>5609</f>
        <v>5609</v>
      </c>
      <c r="X56" s="34">
        <f>14</f>
        <v>14</v>
      </c>
    </row>
    <row r="57" spans="1:24">
      <c r="A57" s="25" t="s">
        <v>1203</v>
      </c>
      <c r="B57" s="25" t="s">
        <v>164</v>
      </c>
      <c r="C57" s="25" t="s">
        <v>165</v>
      </c>
      <c r="D57" s="25" t="s">
        <v>166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1630</f>
        <v>1630</v>
      </c>
      <c r="L57" s="32" t="s">
        <v>1204</v>
      </c>
      <c r="M57" s="31">
        <f>1668</f>
        <v>1668</v>
      </c>
      <c r="N57" s="32" t="s">
        <v>1078</v>
      </c>
      <c r="O57" s="31">
        <f>1621</f>
        <v>1621</v>
      </c>
      <c r="P57" s="32" t="s">
        <v>1211</v>
      </c>
      <c r="Q57" s="31">
        <f>1665</f>
        <v>1665</v>
      </c>
      <c r="R57" s="32" t="s">
        <v>1078</v>
      </c>
      <c r="S57" s="33">
        <f>1639.78</f>
        <v>1639.78</v>
      </c>
      <c r="T57" s="30">
        <f>9951132</f>
        <v>9951132</v>
      </c>
      <c r="U57" s="30">
        <f>8892986</f>
        <v>8892986</v>
      </c>
      <c r="V57" s="30">
        <f>16326613020</f>
        <v>16326613020</v>
      </c>
      <c r="W57" s="30">
        <f>14594737591</f>
        <v>14594737591</v>
      </c>
      <c r="X57" s="34">
        <f>18</f>
        <v>18</v>
      </c>
    </row>
    <row r="58" spans="1:24">
      <c r="A58" s="25" t="s">
        <v>1203</v>
      </c>
      <c r="B58" s="25" t="s">
        <v>167</v>
      </c>
      <c r="C58" s="25" t="s">
        <v>168</v>
      </c>
      <c r="D58" s="25" t="s">
        <v>169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2887</f>
        <v>2887</v>
      </c>
      <c r="L58" s="32" t="s">
        <v>1204</v>
      </c>
      <c r="M58" s="31">
        <f>2887</f>
        <v>2887</v>
      </c>
      <c r="N58" s="32" t="s">
        <v>1204</v>
      </c>
      <c r="O58" s="31">
        <f>2741</f>
        <v>2741</v>
      </c>
      <c r="P58" s="32" t="s">
        <v>1212</v>
      </c>
      <c r="Q58" s="31">
        <f>2761</f>
        <v>2761</v>
      </c>
      <c r="R58" s="32" t="s">
        <v>1212</v>
      </c>
      <c r="S58" s="33">
        <f>2782.81</f>
        <v>2782.81</v>
      </c>
      <c r="T58" s="30">
        <f>2238</f>
        <v>2238</v>
      </c>
      <c r="U58" s="30">
        <f>1</f>
        <v>1</v>
      </c>
      <c r="V58" s="30">
        <f>6199603</f>
        <v>6199603</v>
      </c>
      <c r="W58" s="30">
        <f>2746</f>
        <v>2746</v>
      </c>
      <c r="X58" s="34">
        <f>16</f>
        <v>16</v>
      </c>
    </row>
    <row r="59" spans="1:24">
      <c r="A59" s="25" t="s">
        <v>1203</v>
      </c>
      <c r="B59" s="25" t="s">
        <v>170</v>
      </c>
      <c r="C59" s="25" t="s">
        <v>171</v>
      </c>
      <c r="D59" s="25" t="s">
        <v>172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10</v>
      </c>
      <c r="K59" s="31">
        <f>2755</f>
        <v>2755</v>
      </c>
      <c r="L59" s="32" t="s">
        <v>1204</v>
      </c>
      <c r="M59" s="31">
        <f>2830</f>
        <v>2830</v>
      </c>
      <c r="N59" s="32" t="s">
        <v>1209</v>
      </c>
      <c r="O59" s="31">
        <f>2728</f>
        <v>2728</v>
      </c>
      <c r="P59" s="32" t="s">
        <v>1078</v>
      </c>
      <c r="Q59" s="31">
        <f>2728</f>
        <v>2728</v>
      </c>
      <c r="R59" s="32" t="s">
        <v>1078</v>
      </c>
      <c r="S59" s="33">
        <f>2767.67</f>
        <v>2767.67</v>
      </c>
      <c r="T59" s="30">
        <f>2680</f>
        <v>2680</v>
      </c>
      <c r="U59" s="30" t="str">
        <f>"－"</f>
        <v>－</v>
      </c>
      <c r="V59" s="30">
        <f>7390070</f>
        <v>7390070</v>
      </c>
      <c r="W59" s="30" t="str">
        <f>"－"</f>
        <v>－</v>
      </c>
      <c r="X59" s="34">
        <f>18</f>
        <v>18</v>
      </c>
    </row>
    <row r="60" spans="1:24">
      <c r="A60" s="25" t="s">
        <v>1203</v>
      </c>
      <c r="B60" s="25" t="s">
        <v>173</v>
      </c>
      <c r="C60" s="25" t="s">
        <v>174</v>
      </c>
      <c r="D60" s="25" t="s">
        <v>175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>
        <f>40370</f>
        <v>40370</v>
      </c>
      <c r="L60" s="32" t="s">
        <v>1211</v>
      </c>
      <c r="M60" s="31">
        <f>40540</f>
        <v>40540</v>
      </c>
      <c r="N60" s="32" t="s">
        <v>1080</v>
      </c>
      <c r="O60" s="31">
        <f>40370</f>
        <v>40370</v>
      </c>
      <c r="P60" s="32" t="s">
        <v>1211</v>
      </c>
      <c r="Q60" s="31">
        <f>40540</f>
        <v>40540</v>
      </c>
      <c r="R60" s="32" t="s">
        <v>1080</v>
      </c>
      <c r="S60" s="33">
        <f>40455</f>
        <v>40455</v>
      </c>
      <c r="T60" s="30">
        <f>2</f>
        <v>2</v>
      </c>
      <c r="U60" s="30" t="str">
        <f>"－"</f>
        <v>－</v>
      </c>
      <c r="V60" s="30">
        <f>80910</f>
        <v>80910</v>
      </c>
      <c r="W60" s="30" t="str">
        <f>"－"</f>
        <v>－</v>
      </c>
      <c r="X60" s="34">
        <f>2</f>
        <v>2</v>
      </c>
    </row>
    <row r="61" spans="1:24">
      <c r="A61" s="25" t="s">
        <v>1203</v>
      </c>
      <c r="B61" s="25" t="s">
        <v>176</v>
      </c>
      <c r="C61" s="25" t="s">
        <v>177</v>
      </c>
      <c r="D61" s="25" t="s">
        <v>178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</v>
      </c>
      <c r="K61" s="31">
        <f>23585</f>
        <v>23585</v>
      </c>
      <c r="L61" s="32" t="s">
        <v>1204</v>
      </c>
      <c r="M61" s="31">
        <f>23620</f>
        <v>23620</v>
      </c>
      <c r="N61" s="32" t="s">
        <v>1204</v>
      </c>
      <c r="O61" s="31">
        <f>22730</f>
        <v>22730</v>
      </c>
      <c r="P61" s="32" t="s">
        <v>1076</v>
      </c>
      <c r="Q61" s="31">
        <f>23250</f>
        <v>23250</v>
      </c>
      <c r="R61" s="32" t="s">
        <v>1078</v>
      </c>
      <c r="S61" s="33">
        <f>23143.33</f>
        <v>23143.33</v>
      </c>
      <c r="T61" s="30">
        <f>460215</f>
        <v>460215</v>
      </c>
      <c r="U61" s="30">
        <f>439043</f>
        <v>439043</v>
      </c>
      <c r="V61" s="30">
        <f>10663306998</f>
        <v>10663306998</v>
      </c>
      <c r="W61" s="30">
        <f>10169914658</f>
        <v>10169914658</v>
      </c>
      <c r="X61" s="34">
        <f>18</f>
        <v>18</v>
      </c>
    </row>
    <row r="62" spans="1:24">
      <c r="A62" s="25" t="s">
        <v>1203</v>
      </c>
      <c r="B62" s="25" t="s">
        <v>179</v>
      </c>
      <c r="C62" s="25" t="s">
        <v>180</v>
      </c>
      <c r="D62" s="25" t="s">
        <v>181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12535</f>
        <v>12535</v>
      </c>
      <c r="L62" s="32" t="s">
        <v>1204</v>
      </c>
      <c r="M62" s="31">
        <f>12825</f>
        <v>12825</v>
      </c>
      <c r="N62" s="32" t="s">
        <v>1078</v>
      </c>
      <c r="O62" s="31">
        <f>12465</f>
        <v>12465</v>
      </c>
      <c r="P62" s="32" t="s">
        <v>1211</v>
      </c>
      <c r="Q62" s="31">
        <f>12820</f>
        <v>12820</v>
      </c>
      <c r="R62" s="32" t="s">
        <v>1078</v>
      </c>
      <c r="S62" s="33">
        <f>12607.22</f>
        <v>12607.22</v>
      </c>
      <c r="T62" s="30">
        <f>1328424</f>
        <v>1328424</v>
      </c>
      <c r="U62" s="30">
        <f>1287901</f>
        <v>1287901</v>
      </c>
      <c r="V62" s="30">
        <f>16917277444</f>
        <v>16917277444</v>
      </c>
      <c r="W62" s="30">
        <f>16405097204</f>
        <v>16405097204</v>
      </c>
      <c r="X62" s="34">
        <f>18</f>
        <v>18</v>
      </c>
    </row>
    <row r="63" spans="1:24">
      <c r="A63" s="25" t="s">
        <v>1203</v>
      </c>
      <c r="B63" s="25" t="s">
        <v>182</v>
      </c>
      <c r="C63" s="25" t="s">
        <v>892</v>
      </c>
      <c r="D63" s="25" t="s">
        <v>893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1773</f>
        <v>1773</v>
      </c>
      <c r="L63" s="32" t="s">
        <v>1204</v>
      </c>
      <c r="M63" s="31">
        <f>1787</f>
        <v>1787</v>
      </c>
      <c r="N63" s="32" t="s">
        <v>1078</v>
      </c>
      <c r="O63" s="31">
        <f>1724</f>
        <v>1724</v>
      </c>
      <c r="P63" s="32" t="s">
        <v>1206</v>
      </c>
      <c r="Q63" s="31">
        <f>1774</f>
        <v>1774</v>
      </c>
      <c r="R63" s="32" t="s">
        <v>1078</v>
      </c>
      <c r="S63" s="33">
        <f>1752.78</f>
        <v>1752.78</v>
      </c>
      <c r="T63" s="30">
        <f>3464600</f>
        <v>3464600</v>
      </c>
      <c r="U63" s="30">
        <f>1526610</f>
        <v>1526610</v>
      </c>
      <c r="V63" s="30">
        <f>6059913507</f>
        <v>6059913507</v>
      </c>
      <c r="W63" s="30">
        <f>2663078881</f>
        <v>2663078881</v>
      </c>
      <c r="X63" s="34">
        <f>18</f>
        <v>18</v>
      </c>
    </row>
    <row r="64" spans="1:24">
      <c r="A64" s="25" t="s">
        <v>1203</v>
      </c>
      <c r="B64" s="25" t="s">
        <v>183</v>
      </c>
      <c r="C64" s="25" t="s">
        <v>184</v>
      </c>
      <c r="D64" s="25" t="s">
        <v>185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2280</f>
        <v>2280</v>
      </c>
      <c r="L64" s="32" t="s">
        <v>1204</v>
      </c>
      <c r="M64" s="31">
        <f>2328</f>
        <v>2328</v>
      </c>
      <c r="N64" s="32" t="s">
        <v>1207</v>
      </c>
      <c r="O64" s="31">
        <f>2239</f>
        <v>2239</v>
      </c>
      <c r="P64" s="32" t="s">
        <v>1204</v>
      </c>
      <c r="Q64" s="31">
        <f>2304</f>
        <v>2304</v>
      </c>
      <c r="R64" s="32" t="s">
        <v>1078</v>
      </c>
      <c r="S64" s="33">
        <f>2291.44</f>
        <v>2291.44</v>
      </c>
      <c r="T64" s="30">
        <f>8655529</f>
        <v>8655529</v>
      </c>
      <c r="U64" s="30">
        <f>557298</f>
        <v>557298</v>
      </c>
      <c r="V64" s="30">
        <f>19810883490</f>
        <v>19810883490</v>
      </c>
      <c r="W64" s="30">
        <f>1268230265</f>
        <v>1268230265</v>
      </c>
      <c r="X64" s="34">
        <f>18</f>
        <v>18</v>
      </c>
    </row>
    <row r="65" spans="1:24">
      <c r="A65" s="25" t="s">
        <v>1203</v>
      </c>
      <c r="B65" s="25" t="s">
        <v>186</v>
      </c>
      <c r="C65" s="25" t="s">
        <v>187</v>
      </c>
      <c r="D65" s="25" t="s">
        <v>188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10</v>
      </c>
      <c r="K65" s="31">
        <f>7362</f>
        <v>7362</v>
      </c>
      <c r="L65" s="32" t="s">
        <v>1209</v>
      </c>
      <c r="M65" s="31">
        <f>7362</f>
        <v>7362</v>
      </c>
      <c r="N65" s="32" t="s">
        <v>1209</v>
      </c>
      <c r="O65" s="31">
        <f>7362</f>
        <v>7362</v>
      </c>
      <c r="P65" s="32" t="s">
        <v>1209</v>
      </c>
      <c r="Q65" s="31">
        <f>7362</f>
        <v>7362</v>
      </c>
      <c r="R65" s="32" t="s">
        <v>1209</v>
      </c>
      <c r="S65" s="33">
        <f>7362</f>
        <v>7362</v>
      </c>
      <c r="T65" s="30">
        <f>24050</f>
        <v>24050</v>
      </c>
      <c r="U65" s="30">
        <f>24000</f>
        <v>24000</v>
      </c>
      <c r="V65" s="30">
        <f>179034900</f>
        <v>179034900</v>
      </c>
      <c r="W65" s="30">
        <f>178666800</f>
        <v>178666800</v>
      </c>
      <c r="X65" s="34">
        <f>1</f>
        <v>1</v>
      </c>
    </row>
    <row r="66" spans="1:24">
      <c r="A66" s="25" t="s">
        <v>1203</v>
      </c>
      <c r="B66" s="25" t="s">
        <v>189</v>
      </c>
      <c r="C66" s="25" t="s">
        <v>190</v>
      </c>
      <c r="D66" s="25" t="s">
        <v>191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19990</f>
        <v>19990</v>
      </c>
      <c r="L66" s="32" t="s">
        <v>1204</v>
      </c>
      <c r="M66" s="31">
        <f>19990</f>
        <v>19990</v>
      </c>
      <c r="N66" s="32" t="s">
        <v>1204</v>
      </c>
      <c r="O66" s="31">
        <f>18925</f>
        <v>18925</v>
      </c>
      <c r="P66" s="32" t="s">
        <v>1078</v>
      </c>
      <c r="Q66" s="31">
        <f>18965</f>
        <v>18965</v>
      </c>
      <c r="R66" s="32" t="s">
        <v>1078</v>
      </c>
      <c r="S66" s="33">
        <f>19516.67</f>
        <v>19516.669999999998</v>
      </c>
      <c r="T66" s="30">
        <f>1293</f>
        <v>1293</v>
      </c>
      <c r="U66" s="30">
        <f>125</f>
        <v>125</v>
      </c>
      <c r="V66" s="30">
        <f>25102570</f>
        <v>25102570</v>
      </c>
      <c r="W66" s="30">
        <f>2433125</f>
        <v>2433125</v>
      </c>
      <c r="X66" s="34">
        <f>18</f>
        <v>18</v>
      </c>
    </row>
    <row r="67" spans="1:24">
      <c r="A67" s="25" t="s">
        <v>1203</v>
      </c>
      <c r="B67" s="25" t="s">
        <v>192</v>
      </c>
      <c r="C67" s="25" t="s">
        <v>193</v>
      </c>
      <c r="D67" s="25" t="s">
        <v>194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31350</f>
        <v>31350</v>
      </c>
      <c r="L67" s="32" t="s">
        <v>1204</v>
      </c>
      <c r="M67" s="31">
        <f>31570</f>
        <v>31570</v>
      </c>
      <c r="N67" s="32" t="s">
        <v>1207</v>
      </c>
      <c r="O67" s="31">
        <f>30690</f>
        <v>30690</v>
      </c>
      <c r="P67" s="32" t="s">
        <v>1209</v>
      </c>
      <c r="Q67" s="31">
        <f>31060</f>
        <v>31060</v>
      </c>
      <c r="R67" s="32" t="s">
        <v>1078</v>
      </c>
      <c r="S67" s="33">
        <f>31061.11</f>
        <v>31061.11</v>
      </c>
      <c r="T67" s="30">
        <f>33707</f>
        <v>33707</v>
      </c>
      <c r="U67" s="30">
        <f>6261</f>
        <v>6261</v>
      </c>
      <c r="V67" s="30">
        <f>1044008953</f>
        <v>1044008953</v>
      </c>
      <c r="W67" s="30">
        <f>193884623</f>
        <v>193884623</v>
      </c>
      <c r="X67" s="34">
        <f>18</f>
        <v>18</v>
      </c>
    </row>
    <row r="68" spans="1:24">
      <c r="A68" s="25" t="s">
        <v>1203</v>
      </c>
      <c r="B68" s="25" t="s">
        <v>195</v>
      </c>
      <c r="C68" s="25" t="s">
        <v>196</v>
      </c>
      <c r="D68" s="25" t="s">
        <v>197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10</v>
      </c>
      <c r="K68" s="31">
        <f>10060</f>
        <v>10060</v>
      </c>
      <c r="L68" s="32" t="s">
        <v>1204</v>
      </c>
      <c r="M68" s="31">
        <f>10125</f>
        <v>10125</v>
      </c>
      <c r="N68" s="32" t="s">
        <v>1209</v>
      </c>
      <c r="O68" s="31">
        <f>9737</f>
        <v>9737</v>
      </c>
      <c r="P68" s="32" t="s">
        <v>1078</v>
      </c>
      <c r="Q68" s="31">
        <f>9752</f>
        <v>9752</v>
      </c>
      <c r="R68" s="32" t="s">
        <v>1078</v>
      </c>
      <c r="S68" s="33">
        <f>9954.56</f>
        <v>9954.56</v>
      </c>
      <c r="T68" s="30">
        <f>21480</f>
        <v>21480</v>
      </c>
      <c r="U68" s="30">
        <f>10</f>
        <v>10</v>
      </c>
      <c r="V68" s="30">
        <f>213223530</f>
        <v>213223530</v>
      </c>
      <c r="W68" s="30">
        <f>98150</f>
        <v>98150</v>
      </c>
      <c r="X68" s="34">
        <f>18</f>
        <v>18</v>
      </c>
    </row>
    <row r="69" spans="1:24">
      <c r="A69" s="25" t="s">
        <v>1203</v>
      </c>
      <c r="B69" s="25" t="s">
        <v>198</v>
      </c>
      <c r="C69" s="25" t="s">
        <v>199</v>
      </c>
      <c r="D69" s="25" t="s">
        <v>200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1741</f>
        <v>1741</v>
      </c>
      <c r="L69" s="32" t="s">
        <v>1204</v>
      </c>
      <c r="M69" s="31">
        <f>1780</f>
        <v>1780</v>
      </c>
      <c r="N69" s="32" t="s">
        <v>1075</v>
      </c>
      <c r="O69" s="31">
        <f>1740</f>
        <v>1740</v>
      </c>
      <c r="P69" s="32" t="s">
        <v>1204</v>
      </c>
      <c r="Q69" s="31">
        <f>1779</f>
        <v>1779</v>
      </c>
      <c r="R69" s="32" t="s">
        <v>1078</v>
      </c>
      <c r="S69" s="33">
        <f>1757.72</f>
        <v>1757.72</v>
      </c>
      <c r="T69" s="30">
        <f>705592</f>
        <v>705592</v>
      </c>
      <c r="U69" s="30">
        <f>460187</f>
        <v>460187</v>
      </c>
      <c r="V69" s="30">
        <f>1242573563</f>
        <v>1242573563</v>
      </c>
      <c r="W69" s="30">
        <f>810446730</f>
        <v>810446730</v>
      </c>
      <c r="X69" s="34">
        <f>18</f>
        <v>18</v>
      </c>
    </row>
    <row r="70" spans="1:24">
      <c r="A70" s="25" t="s">
        <v>1203</v>
      </c>
      <c r="B70" s="25" t="s">
        <v>201</v>
      </c>
      <c r="C70" s="25" t="s">
        <v>202</v>
      </c>
      <c r="D70" s="25" t="s">
        <v>203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1835</f>
        <v>1835</v>
      </c>
      <c r="L70" s="32" t="s">
        <v>1204</v>
      </c>
      <c r="M70" s="31">
        <f>1849</f>
        <v>1849</v>
      </c>
      <c r="N70" s="32" t="s">
        <v>1075</v>
      </c>
      <c r="O70" s="31">
        <f>1822</f>
        <v>1822</v>
      </c>
      <c r="P70" s="32" t="s">
        <v>1204</v>
      </c>
      <c r="Q70" s="31">
        <f>1847</f>
        <v>1847</v>
      </c>
      <c r="R70" s="32" t="s">
        <v>1078</v>
      </c>
      <c r="S70" s="33">
        <f>1838.72</f>
        <v>1838.72</v>
      </c>
      <c r="T70" s="30">
        <f>296681</f>
        <v>296681</v>
      </c>
      <c r="U70" s="30">
        <f>1000</f>
        <v>1000</v>
      </c>
      <c r="V70" s="30">
        <f>544368677</f>
        <v>544368677</v>
      </c>
      <c r="W70" s="30">
        <f>1846200</f>
        <v>1846200</v>
      </c>
      <c r="X70" s="34">
        <f>18</f>
        <v>18</v>
      </c>
    </row>
    <row r="71" spans="1:24">
      <c r="A71" s="25" t="s">
        <v>1203</v>
      </c>
      <c r="B71" s="25" t="s">
        <v>204</v>
      </c>
      <c r="C71" s="25" t="s">
        <v>205</v>
      </c>
      <c r="D71" s="25" t="s">
        <v>206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21610</f>
        <v>21610</v>
      </c>
      <c r="L71" s="32" t="s">
        <v>1204</v>
      </c>
      <c r="M71" s="31">
        <f>21950</f>
        <v>21950</v>
      </c>
      <c r="N71" s="32" t="s">
        <v>1205</v>
      </c>
      <c r="O71" s="31">
        <f>21110</f>
        <v>21110</v>
      </c>
      <c r="P71" s="32" t="s">
        <v>1078</v>
      </c>
      <c r="Q71" s="31">
        <f>21170</f>
        <v>21170</v>
      </c>
      <c r="R71" s="32" t="s">
        <v>1078</v>
      </c>
      <c r="S71" s="33">
        <f>21640</f>
        <v>21640</v>
      </c>
      <c r="T71" s="30">
        <f>2670</f>
        <v>2670</v>
      </c>
      <c r="U71" s="30" t="str">
        <f>"－"</f>
        <v>－</v>
      </c>
      <c r="V71" s="30">
        <f>57315545</f>
        <v>57315545</v>
      </c>
      <c r="W71" s="30" t="str">
        <f>"－"</f>
        <v>－</v>
      </c>
      <c r="X71" s="34">
        <f>18</f>
        <v>18</v>
      </c>
    </row>
    <row r="72" spans="1:24">
      <c r="A72" s="25" t="s">
        <v>1203</v>
      </c>
      <c r="B72" s="25" t="s">
        <v>207</v>
      </c>
      <c r="C72" s="25" t="s">
        <v>208</v>
      </c>
      <c r="D72" s="25" t="s">
        <v>209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9132</f>
        <v>9132</v>
      </c>
      <c r="L72" s="32" t="s">
        <v>1204</v>
      </c>
      <c r="M72" s="31">
        <f>9280</f>
        <v>9280</v>
      </c>
      <c r="N72" s="32" t="s">
        <v>1078</v>
      </c>
      <c r="O72" s="31">
        <f>9000</f>
        <v>9000</v>
      </c>
      <c r="P72" s="32" t="s">
        <v>1081</v>
      </c>
      <c r="Q72" s="31">
        <f>9280</f>
        <v>9280</v>
      </c>
      <c r="R72" s="32" t="s">
        <v>1078</v>
      </c>
      <c r="S72" s="33">
        <f>9091.89</f>
        <v>9091.89</v>
      </c>
      <c r="T72" s="30">
        <f>3263</f>
        <v>3263</v>
      </c>
      <c r="U72" s="30">
        <f>110</f>
        <v>110</v>
      </c>
      <c r="V72" s="30">
        <f>29765891</f>
        <v>29765891</v>
      </c>
      <c r="W72" s="30">
        <f>1019534</f>
        <v>1019534</v>
      </c>
      <c r="X72" s="34">
        <f>18</f>
        <v>18</v>
      </c>
    </row>
    <row r="73" spans="1:24">
      <c r="A73" s="25" t="s">
        <v>1203</v>
      </c>
      <c r="B73" s="25" t="s">
        <v>210</v>
      </c>
      <c r="C73" s="25" t="s">
        <v>211</v>
      </c>
      <c r="D73" s="25" t="s">
        <v>212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13130</f>
        <v>13130</v>
      </c>
      <c r="L73" s="32" t="s">
        <v>1204</v>
      </c>
      <c r="M73" s="31">
        <f>13645</f>
        <v>13645</v>
      </c>
      <c r="N73" s="32" t="s">
        <v>1211</v>
      </c>
      <c r="O73" s="31">
        <f>12940</f>
        <v>12940</v>
      </c>
      <c r="P73" s="32" t="s">
        <v>1078</v>
      </c>
      <c r="Q73" s="31">
        <f>12995</f>
        <v>12995</v>
      </c>
      <c r="R73" s="32" t="s">
        <v>1078</v>
      </c>
      <c r="S73" s="33">
        <f>13321.39</f>
        <v>13321.39</v>
      </c>
      <c r="T73" s="30">
        <f>7206077</f>
        <v>7206077</v>
      </c>
      <c r="U73" s="30">
        <f>1563946</f>
        <v>1563946</v>
      </c>
      <c r="V73" s="30">
        <f>96133194338</f>
        <v>96133194338</v>
      </c>
      <c r="W73" s="30">
        <f>20984018453</f>
        <v>20984018453</v>
      </c>
      <c r="X73" s="34">
        <f>18</f>
        <v>18</v>
      </c>
    </row>
    <row r="74" spans="1:24">
      <c r="A74" s="25" t="s">
        <v>1203</v>
      </c>
      <c r="B74" s="25" t="s">
        <v>213</v>
      </c>
      <c r="C74" s="25" t="s">
        <v>214</v>
      </c>
      <c r="D74" s="25" t="s">
        <v>215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4475</f>
        <v>4475</v>
      </c>
      <c r="L74" s="32" t="s">
        <v>1204</v>
      </c>
      <c r="M74" s="31">
        <f>4510</f>
        <v>4510</v>
      </c>
      <c r="N74" s="32" t="s">
        <v>1080</v>
      </c>
      <c r="O74" s="31">
        <f>4215</f>
        <v>4215</v>
      </c>
      <c r="P74" s="32" t="s">
        <v>1212</v>
      </c>
      <c r="Q74" s="31">
        <f>4230</f>
        <v>4230</v>
      </c>
      <c r="R74" s="32" t="s">
        <v>1078</v>
      </c>
      <c r="S74" s="33">
        <f>4384.72</f>
        <v>4384.72</v>
      </c>
      <c r="T74" s="30">
        <f>319625</f>
        <v>319625</v>
      </c>
      <c r="U74" s="30">
        <f>340</f>
        <v>340</v>
      </c>
      <c r="V74" s="30">
        <f>1401872630</f>
        <v>1401872630</v>
      </c>
      <c r="W74" s="30">
        <f>1467880</f>
        <v>1467880</v>
      </c>
      <c r="X74" s="34">
        <f>18</f>
        <v>18</v>
      </c>
    </row>
    <row r="75" spans="1:24">
      <c r="A75" s="25" t="s">
        <v>1203</v>
      </c>
      <c r="B75" s="25" t="s">
        <v>216</v>
      </c>
      <c r="C75" s="25" t="s">
        <v>217</v>
      </c>
      <c r="D75" s="25" t="s">
        <v>218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14400</f>
        <v>14400</v>
      </c>
      <c r="L75" s="32" t="s">
        <v>1204</v>
      </c>
      <c r="M75" s="31">
        <f>14965</f>
        <v>14965</v>
      </c>
      <c r="N75" s="32" t="s">
        <v>1080</v>
      </c>
      <c r="O75" s="31">
        <f>13810</f>
        <v>13810</v>
      </c>
      <c r="P75" s="32" t="s">
        <v>1078</v>
      </c>
      <c r="Q75" s="31">
        <f>13875</f>
        <v>13875</v>
      </c>
      <c r="R75" s="32" t="s">
        <v>1078</v>
      </c>
      <c r="S75" s="33">
        <f>14488.06</f>
        <v>14488.06</v>
      </c>
      <c r="T75" s="30">
        <f>359939</f>
        <v>359939</v>
      </c>
      <c r="U75" s="30">
        <f>1857</f>
        <v>1857</v>
      </c>
      <c r="V75" s="30">
        <f>5197808380</f>
        <v>5197808380</v>
      </c>
      <c r="W75" s="30">
        <f>26583015</f>
        <v>26583015</v>
      </c>
      <c r="X75" s="34">
        <f>18</f>
        <v>18</v>
      </c>
    </row>
    <row r="76" spans="1:24">
      <c r="A76" s="25" t="s">
        <v>1203</v>
      </c>
      <c r="B76" s="25" t="s">
        <v>219</v>
      </c>
      <c r="C76" s="25" t="s">
        <v>220</v>
      </c>
      <c r="D76" s="25" t="s">
        <v>221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46790</f>
        <v>46790</v>
      </c>
      <c r="L76" s="32" t="s">
        <v>1204</v>
      </c>
      <c r="M76" s="31">
        <f>47710</f>
        <v>47710</v>
      </c>
      <c r="N76" s="32" t="s">
        <v>1204</v>
      </c>
      <c r="O76" s="31">
        <f>40500</f>
        <v>40500</v>
      </c>
      <c r="P76" s="32" t="s">
        <v>1078</v>
      </c>
      <c r="Q76" s="31">
        <f>40800</f>
        <v>40800</v>
      </c>
      <c r="R76" s="32" t="s">
        <v>1078</v>
      </c>
      <c r="S76" s="33">
        <f>44160.56</f>
        <v>44160.56</v>
      </c>
      <c r="T76" s="30">
        <f>30707</f>
        <v>30707</v>
      </c>
      <c r="U76" s="30" t="str">
        <f>"－"</f>
        <v>－</v>
      </c>
      <c r="V76" s="30">
        <f>1346210640</f>
        <v>1346210640</v>
      </c>
      <c r="W76" s="30" t="str">
        <f>"－"</f>
        <v>－</v>
      </c>
      <c r="X76" s="34">
        <f>18</f>
        <v>18</v>
      </c>
    </row>
    <row r="77" spans="1:24">
      <c r="A77" s="25" t="s">
        <v>1203</v>
      </c>
      <c r="B77" s="25" t="s">
        <v>222</v>
      </c>
      <c r="C77" s="25" t="s">
        <v>757</v>
      </c>
      <c r="D77" s="25" t="s">
        <v>758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33000</f>
        <v>33000</v>
      </c>
      <c r="L77" s="32" t="s">
        <v>1204</v>
      </c>
      <c r="M77" s="31">
        <f>34160</f>
        <v>34160</v>
      </c>
      <c r="N77" s="32" t="s">
        <v>1207</v>
      </c>
      <c r="O77" s="31">
        <f>30970</f>
        <v>30970</v>
      </c>
      <c r="P77" s="32" t="s">
        <v>1078</v>
      </c>
      <c r="Q77" s="31">
        <f>31270</f>
        <v>31270</v>
      </c>
      <c r="R77" s="32" t="s">
        <v>1078</v>
      </c>
      <c r="S77" s="33">
        <f>33232.78</f>
        <v>33232.78</v>
      </c>
      <c r="T77" s="30">
        <f>546956</f>
        <v>546956</v>
      </c>
      <c r="U77" s="30">
        <f>9852</f>
        <v>9852</v>
      </c>
      <c r="V77" s="30">
        <f>18048875175</f>
        <v>18048875175</v>
      </c>
      <c r="W77" s="30">
        <f>325069715</f>
        <v>325069715</v>
      </c>
      <c r="X77" s="34">
        <f>18</f>
        <v>18</v>
      </c>
    </row>
    <row r="78" spans="1:24">
      <c r="A78" s="25" t="s">
        <v>1203</v>
      </c>
      <c r="B78" s="25" t="s">
        <v>223</v>
      </c>
      <c r="C78" s="25" t="s">
        <v>759</v>
      </c>
      <c r="D78" s="25" t="s">
        <v>760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66720</f>
        <v>66720</v>
      </c>
      <c r="L78" s="32" t="s">
        <v>1204</v>
      </c>
      <c r="M78" s="31">
        <f>67560</f>
        <v>67560</v>
      </c>
      <c r="N78" s="32" t="s">
        <v>1208</v>
      </c>
      <c r="O78" s="31">
        <f>62860</f>
        <v>62860</v>
      </c>
      <c r="P78" s="32" t="s">
        <v>1078</v>
      </c>
      <c r="Q78" s="31">
        <f>63320</f>
        <v>63320</v>
      </c>
      <c r="R78" s="32" t="s">
        <v>1078</v>
      </c>
      <c r="S78" s="33">
        <f>65665</f>
        <v>65665</v>
      </c>
      <c r="T78" s="30">
        <f>37562</f>
        <v>37562</v>
      </c>
      <c r="U78" s="30">
        <f>3505</f>
        <v>3505</v>
      </c>
      <c r="V78" s="30">
        <f>2462957520</f>
        <v>2462957520</v>
      </c>
      <c r="W78" s="30">
        <f>225375250</f>
        <v>225375250</v>
      </c>
      <c r="X78" s="34">
        <f>18</f>
        <v>18</v>
      </c>
    </row>
    <row r="79" spans="1:24">
      <c r="A79" s="25" t="s">
        <v>1203</v>
      </c>
      <c r="B79" s="25" t="s">
        <v>224</v>
      </c>
      <c r="C79" s="25" t="s">
        <v>225</v>
      </c>
      <c r="D79" s="25" t="s">
        <v>226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10</v>
      </c>
      <c r="K79" s="31">
        <f>10005</f>
        <v>10005</v>
      </c>
      <c r="L79" s="32" t="s">
        <v>1204</v>
      </c>
      <c r="M79" s="31">
        <f>10165</f>
        <v>10165</v>
      </c>
      <c r="N79" s="32" t="s">
        <v>1211</v>
      </c>
      <c r="O79" s="31">
        <f>9469</f>
        <v>9469</v>
      </c>
      <c r="P79" s="32" t="s">
        <v>1078</v>
      </c>
      <c r="Q79" s="31">
        <f>9593</f>
        <v>9593</v>
      </c>
      <c r="R79" s="32" t="s">
        <v>1078</v>
      </c>
      <c r="S79" s="33">
        <f>9962.5</f>
        <v>9962.5</v>
      </c>
      <c r="T79" s="30">
        <f>741810</f>
        <v>741810</v>
      </c>
      <c r="U79" s="30">
        <f>94340</f>
        <v>94340</v>
      </c>
      <c r="V79" s="30">
        <f>7334196565</f>
        <v>7334196565</v>
      </c>
      <c r="W79" s="30">
        <f>923281785</f>
        <v>923281785</v>
      </c>
      <c r="X79" s="34">
        <f>18</f>
        <v>18</v>
      </c>
    </row>
    <row r="80" spans="1:24">
      <c r="A80" s="25" t="s">
        <v>1203</v>
      </c>
      <c r="B80" s="25" t="s">
        <v>227</v>
      </c>
      <c r="C80" s="25" t="s">
        <v>228</v>
      </c>
      <c r="D80" s="25" t="s">
        <v>229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10</v>
      </c>
      <c r="K80" s="31">
        <f>6135</f>
        <v>6135</v>
      </c>
      <c r="L80" s="32" t="s">
        <v>1204</v>
      </c>
      <c r="M80" s="31">
        <f>6245</f>
        <v>6245</v>
      </c>
      <c r="N80" s="32" t="s">
        <v>1211</v>
      </c>
      <c r="O80" s="31">
        <f>5841</f>
        <v>5841</v>
      </c>
      <c r="P80" s="32" t="s">
        <v>1078</v>
      </c>
      <c r="Q80" s="31">
        <f>5884</f>
        <v>5884</v>
      </c>
      <c r="R80" s="32" t="s">
        <v>1078</v>
      </c>
      <c r="S80" s="33">
        <f>6118.56</f>
        <v>6118.56</v>
      </c>
      <c r="T80" s="30">
        <f>202970</f>
        <v>202970</v>
      </c>
      <c r="U80" s="30">
        <f>57040</f>
        <v>57040</v>
      </c>
      <c r="V80" s="30">
        <f>1233520390</f>
        <v>1233520390</v>
      </c>
      <c r="W80" s="30">
        <f>345106810</f>
        <v>345106810</v>
      </c>
      <c r="X80" s="34">
        <f>18</f>
        <v>18</v>
      </c>
    </row>
    <row r="81" spans="1:24">
      <c r="A81" s="25" t="s">
        <v>1203</v>
      </c>
      <c r="B81" s="25" t="s">
        <v>230</v>
      </c>
      <c r="C81" s="25" t="s">
        <v>830</v>
      </c>
      <c r="D81" s="25" t="s">
        <v>831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10</v>
      </c>
      <c r="K81" s="31">
        <f>5341</f>
        <v>5341</v>
      </c>
      <c r="L81" s="32" t="s">
        <v>1204</v>
      </c>
      <c r="M81" s="31">
        <f>5553</f>
        <v>5553</v>
      </c>
      <c r="N81" s="32" t="s">
        <v>1207</v>
      </c>
      <c r="O81" s="31">
        <f>5286</f>
        <v>5286</v>
      </c>
      <c r="P81" s="32" t="s">
        <v>1210</v>
      </c>
      <c r="Q81" s="31">
        <f>5318</f>
        <v>5318</v>
      </c>
      <c r="R81" s="32" t="s">
        <v>1078</v>
      </c>
      <c r="S81" s="33">
        <f>5440.22</f>
        <v>5440.22</v>
      </c>
      <c r="T81" s="30">
        <f>6980</f>
        <v>6980</v>
      </c>
      <c r="U81" s="30">
        <f>330</f>
        <v>330</v>
      </c>
      <c r="V81" s="30">
        <f>38001290</f>
        <v>38001290</v>
      </c>
      <c r="W81" s="30">
        <f>1798950</f>
        <v>1798950</v>
      </c>
      <c r="X81" s="34">
        <f>18</f>
        <v>18</v>
      </c>
    </row>
    <row r="82" spans="1:24">
      <c r="A82" s="25" t="s">
        <v>1203</v>
      </c>
      <c r="B82" s="25" t="s">
        <v>231</v>
      </c>
      <c r="C82" s="25" t="s">
        <v>232</v>
      </c>
      <c r="D82" s="25" t="s">
        <v>233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10</v>
      </c>
      <c r="K82" s="31">
        <f>4967</f>
        <v>4967</v>
      </c>
      <c r="L82" s="32" t="s">
        <v>1204</v>
      </c>
      <c r="M82" s="31">
        <f>5074</f>
        <v>5074</v>
      </c>
      <c r="N82" s="32" t="s">
        <v>1211</v>
      </c>
      <c r="O82" s="31">
        <f>4770</f>
        <v>4770</v>
      </c>
      <c r="P82" s="32" t="s">
        <v>1078</v>
      </c>
      <c r="Q82" s="31">
        <f>4805</f>
        <v>4805</v>
      </c>
      <c r="R82" s="32" t="s">
        <v>1078</v>
      </c>
      <c r="S82" s="33">
        <f>4974.28</f>
        <v>4974.28</v>
      </c>
      <c r="T82" s="30">
        <f>89510</f>
        <v>89510</v>
      </c>
      <c r="U82" s="30" t="str">
        <f>"－"</f>
        <v>－</v>
      </c>
      <c r="V82" s="30">
        <f>443588800</f>
        <v>443588800</v>
      </c>
      <c r="W82" s="30" t="str">
        <f>"－"</f>
        <v>－</v>
      </c>
      <c r="X82" s="34">
        <f>18</f>
        <v>18</v>
      </c>
    </row>
    <row r="83" spans="1:24">
      <c r="A83" s="25" t="s">
        <v>1203</v>
      </c>
      <c r="B83" s="25" t="s">
        <v>234</v>
      </c>
      <c r="C83" s="25" t="s">
        <v>943</v>
      </c>
      <c r="D83" s="25" t="s">
        <v>235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10</v>
      </c>
      <c r="K83" s="31">
        <f>2275</f>
        <v>2275</v>
      </c>
      <c r="L83" s="32" t="s">
        <v>1204</v>
      </c>
      <c r="M83" s="31">
        <f>2332</f>
        <v>2332</v>
      </c>
      <c r="N83" s="32" t="s">
        <v>1205</v>
      </c>
      <c r="O83" s="31">
        <f>2075</f>
        <v>2075</v>
      </c>
      <c r="P83" s="32" t="s">
        <v>1078</v>
      </c>
      <c r="Q83" s="31">
        <f>2099</f>
        <v>2099</v>
      </c>
      <c r="R83" s="32" t="s">
        <v>1078</v>
      </c>
      <c r="S83" s="33">
        <f>2253.44</f>
        <v>2253.44</v>
      </c>
      <c r="T83" s="30">
        <f>54800</f>
        <v>54800</v>
      </c>
      <c r="U83" s="30" t="str">
        <f>"－"</f>
        <v>－</v>
      </c>
      <c r="V83" s="30">
        <f>122277775</f>
        <v>122277775</v>
      </c>
      <c r="W83" s="30" t="str">
        <f>"－"</f>
        <v>－</v>
      </c>
      <c r="X83" s="34">
        <f>18</f>
        <v>18</v>
      </c>
    </row>
    <row r="84" spans="1:24">
      <c r="A84" s="25" t="s">
        <v>1203</v>
      </c>
      <c r="B84" s="25" t="s">
        <v>236</v>
      </c>
      <c r="C84" s="25" t="s">
        <v>237</v>
      </c>
      <c r="D84" s="25" t="s">
        <v>238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92900</f>
        <v>92900</v>
      </c>
      <c r="L84" s="32" t="s">
        <v>1204</v>
      </c>
      <c r="M84" s="31">
        <f>93540</f>
        <v>93540</v>
      </c>
      <c r="N84" s="32" t="s">
        <v>1211</v>
      </c>
      <c r="O84" s="31">
        <f>87200</f>
        <v>87200</v>
      </c>
      <c r="P84" s="32" t="s">
        <v>1078</v>
      </c>
      <c r="Q84" s="31">
        <f>87970</f>
        <v>87970</v>
      </c>
      <c r="R84" s="32" t="s">
        <v>1078</v>
      </c>
      <c r="S84" s="33">
        <f>91651.11</f>
        <v>91651.11</v>
      </c>
      <c r="T84" s="30">
        <f>57286</f>
        <v>57286</v>
      </c>
      <c r="U84" s="30">
        <f>90</f>
        <v>90</v>
      </c>
      <c r="V84" s="30">
        <f>5229499180</f>
        <v>5229499180</v>
      </c>
      <c r="W84" s="30">
        <f>8442810</f>
        <v>8442810</v>
      </c>
      <c r="X84" s="34">
        <f>18</f>
        <v>18</v>
      </c>
    </row>
    <row r="85" spans="1:24">
      <c r="A85" s="25" t="s">
        <v>1203</v>
      </c>
      <c r="B85" s="25" t="s">
        <v>239</v>
      </c>
      <c r="C85" s="25" t="s">
        <v>240</v>
      </c>
      <c r="D85" s="25" t="s">
        <v>241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3650</f>
        <v>3650</v>
      </c>
      <c r="L85" s="32" t="s">
        <v>1204</v>
      </c>
      <c r="M85" s="31">
        <f>3650</f>
        <v>3650</v>
      </c>
      <c r="N85" s="32" t="s">
        <v>1204</v>
      </c>
      <c r="O85" s="31">
        <f>3210</f>
        <v>3210</v>
      </c>
      <c r="P85" s="32" t="s">
        <v>1078</v>
      </c>
      <c r="Q85" s="31">
        <f>3285</f>
        <v>3285</v>
      </c>
      <c r="R85" s="32" t="s">
        <v>1078</v>
      </c>
      <c r="S85" s="33">
        <f>3512.78</f>
        <v>3512.78</v>
      </c>
      <c r="T85" s="30">
        <f>9021</f>
        <v>9021</v>
      </c>
      <c r="U85" s="30" t="str">
        <f>"－"</f>
        <v>－</v>
      </c>
      <c r="V85" s="30">
        <f>31237630</f>
        <v>31237630</v>
      </c>
      <c r="W85" s="30" t="str">
        <f>"－"</f>
        <v>－</v>
      </c>
      <c r="X85" s="34">
        <f>18</f>
        <v>18</v>
      </c>
    </row>
    <row r="86" spans="1:24">
      <c r="A86" s="25" t="s">
        <v>1203</v>
      </c>
      <c r="B86" s="25" t="s">
        <v>242</v>
      </c>
      <c r="C86" s="25" t="s">
        <v>243</v>
      </c>
      <c r="D86" s="25" t="s">
        <v>244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5330</f>
        <v>5330</v>
      </c>
      <c r="L86" s="32" t="s">
        <v>1204</v>
      </c>
      <c r="M86" s="31">
        <f>5350</f>
        <v>5350</v>
      </c>
      <c r="N86" s="32" t="s">
        <v>1210</v>
      </c>
      <c r="O86" s="31">
        <f>5200</f>
        <v>5200</v>
      </c>
      <c r="P86" s="32" t="s">
        <v>738</v>
      </c>
      <c r="Q86" s="31">
        <f>5300</f>
        <v>5300</v>
      </c>
      <c r="R86" s="32" t="s">
        <v>1078</v>
      </c>
      <c r="S86" s="33">
        <f>5265</f>
        <v>5265</v>
      </c>
      <c r="T86" s="30">
        <f>5038</f>
        <v>5038</v>
      </c>
      <c r="U86" s="30" t="str">
        <f>"－"</f>
        <v>－</v>
      </c>
      <c r="V86" s="30">
        <f>26497370</f>
        <v>26497370</v>
      </c>
      <c r="W86" s="30" t="str">
        <f>"－"</f>
        <v>－</v>
      </c>
      <c r="X86" s="34">
        <f>18</f>
        <v>18</v>
      </c>
    </row>
    <row r="87" spans="1:24">
      <c r="A87" s="25" t="s">
        <v>1203</v>
      </c>
      <c r="B87" s="25" t="s">
        <v>245</v>
      </c>
      <c r="C87" s="25" t="s">
        <v>832</v>
      </c>
      <c r="D87" s="25" t="s">
        <v>833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2471</f>
        <v>2471</v>
      </c>
      <c r="L87" s="32" t="s">
        <v>1204</v>
      </c>
      <c r="M87" s="31">
        <f>2604</f>
        <v>2604</v>
      </c>
      <c r="N87" s="32" t="s">
        <v>1206</v>
      </c>
      <c r="O87" s="31">
        <f>2382</f>
        <v>2382</v>
      </c>
      <c r="P87" s="32" t="s">
        <v>1078</v>
      </c>
      <c r="Q87" s="31">
        <f>2390</f>
        <v>2390</v>
      </c>
      <c r="R87" s="32" t="s">
        <v>1078</v>
      </c>
      <c r="S87" s="33">
        <f>2514.22</f>
        <v>2514.2199999999998</v>
      </c>
      <c r="T87" s="30">
        <f>383140</f>
        <v>383140</v>
      </c>
      <c r="U87" s="30">
        <f>20</f>
        <v>20</v>
      </c>
      <c r="V87" s="30">
        <f>961283250</f>
        <v>961283250</v>
      </c>
      <c r="W87" s="30">
        <f>50842</f>
        <v>50842</v>
      </c>
      <c r="X87" s="34">
        <f>18</f>
        <v>18</v>
      </c>
    </row>
    <row r="88" spans="1:24">
      <c r="A88" s="25" t="s">
        <v>1203</v>
      </c>
      <c r="B88" s="25" t="s">
        <v>246</v>
      </c>
      <c r="C88" s="25" t="s">
        <v>247</v>
      </c>
      <c r="D88" s="25" t="s">
        <v>248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49490</f>
        <v>49490</v>
      </c>
      <c r="L88" s="32" t="s">
        <v>1204</v>
      </c>
      <c r="M88" s="31">
        <f>49550</f>
        <v>49550</v>
      </c>
      <c r="N88" s="32" t="s">
        <v>662</v>
      </c>
      <c r="O88" s="31">
        <f>48500</f>
        <v>48500</v>
      </c>
      <c r="P88" s="32" t="s">
        <v>1078</v>
      </c>
      <c r="Q88" s="31">
        <f>48720</f>
        <v>48720</v>
      </c>
      <c r="R88" s="32" t="s">
        <v>1078</v>
      </c>
      <c r="S88" s="33">
        <f>49046.67</f>
        <v>49046.67</v>
      </c>
      <c r="T88" s="30">
        <f>11273</f>
        <v>11273</v>
      </c>
      <c r="U88" s="30">
        <f>209</f>
        <v>209</v>
      </c>
      <c r="V88" s="30">
        <f>551947456</f>
        <v>551947456</v>
      </c>
      <c r="W88" s="30">
        <f>10168416</f>
        <v>10168416</v>
      </c>
      <c r="X88" s="34">
        <f>18</f>
        <v>18</v>
      </c>
    </row>
    <row r="89" spans="1:24">
      <c r="A89" s="25" t="s">
        <v>1203</v>
      </c>
      <c r="B89" s="25" t="s">
        <v>249</v>
      </c>
      <c r="C89" s="25" t="s">
        <v>250</v>
      </c>
      <c r="D89" s="25" t="s">
        <v>251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10</v>
      </c>
      <c r="K89" s="31">
        <f>463.1</f>
        <v>463.1</v>
      </c>
      <c r="L89" s="32" t="s">
        <v>1204</v>
      </c>
      <c r="M89" s="31">
        <f>483.3</f>
        <v>483.3</v>
      </c>
      <c r="N89" s="32" t="s">
        <v>1205</v>
      </c>
      <c r="O89" s="31">
        <f>441.7</f>
        <v>441.7</v>
      </c>
      <c r="P89" s="32" t="s">
        <v>1078</v>
      </c>
      <c r="Q89" s="31">
        <f>455.3</f>
        <v>455.3</v>
      </c>
      <c r="R89" s="32" t="s">
        <v>1078</v>
      </c>
      <c r="S89" s="33">
        <f>466.88</f>
        <v>466.88</v>
      </c>
      <c r="T89" s="30">
        <f>91296890</f>
        <v>91296890</v>
      </c>
      <c r="U89" s="30">
        <f>80</f>
        <v>80</v>
      </c>
      <c r="V89" s="30">
        <f>42525290620</f>
        <v>42525290620</v>
      </c>
      <c r="W89" s="30">
        <f>36728</f>
        <v>36728</v>
      </c>
      <c r="X89" s="34">
        <f>18</f>
        <v>18</v>
      </c>
    </row>
    <row r="90" spans="1:24">
      <c r="A90" s="25" t="s">
        <v>1203</v>
      </c>
      <c r="B90" s="25" t="s">
        <v>252</v>
      </c>
      <c r="C90" s="25" t="s">
        <v>253</v>
      </c>
      <c r="D90" s="25" t="s">
        <v>254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10</v>
      </c>
      <c r="K90" s="31">
        <f>1233</f>
        <v>1233</v>
      </c>
      <c r="L90" s="32" t="s">
        <v>1204</v>
      </c>
      <c r="M90" s="31">
        <f>1261</f>
        <v>1261</v>
      </c>
      <c r="N90" s="32" t="s">
        <v>1078</v>
      </c>
      <c r="O90" s="31">
        <f>1208</f>
        <v>1208</v>
      </c>
      <c r="P90" s="32" t="s">
        <v>1205</v>
      </c>
      <c r="Q90" s="31">
        <f>1252</f>
        <v>1252</v>
      </c>
      <c r="R90" s="32" t="s">
        <v>1078</v>
      </c>
      <c r="S90" s="33">
        <f>1230.14</f>
        <v>1230.1400000000001</v>
      </c>
      <c r="T90" s="30">
        <f>466660</f>
        <v>466660</v>
      </c>
      <c r="U90" s="30">
        <f>15470</f>
        <v>15470</v>
      </c>
      <c r="V90" s="30">
        <f>574496660</f>
        <v>574496660</v>
      </c>
      <c r="W90" s="30">
        <f>19076490</f>
        <v>19076490</v>
      </c>
      <c r="X90" s="34">
        <f>18</f>
        <v>18</v>
      </c>
    </row>
    <row r="91" spans="1:24">
      <c r="A91" s="25" t="s">
        <v>1203</v>
      </c>
      <c r="B91" s="25" t="s">
        <v>255</v>
      </c>
      <c r="C91" s="25" t="s">
        <v>256</v>
      </c>
      <c r="D91" s="25" t="s">
        <v>257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</v>
      </c>
      <c r="K91" s="31">
        <f>26285</f>
        <v>26285</v>
      </c>
      <c r="L91" s="32" t="s">
        <v>1204</v>
      </c>
      <c r="M91" s="31">
        <f>27565</f>
        <v>27565</v>
      </c>
      <c r="N91" s="32" t="s">
        <v>1211</v>
      </c>
      <c r="O91" s="31">
        <f>23825</f>
        <v>23825</v>
      </c>
      <c r="P91" s="32" t="s">
        <v>1078</v>
      </c>
      <c r="Q91" s="31">
        <f>24280</f>
        <v>24280</v>
      </c>
      <c r="R91" s="32" t="s">
        <v>1078</v>
      </c>
      <c r="S91" s="33">
        <f>26406.39</f>
        <v>26406.39</v>
      </c>
      <c r="T91" s="30">
        <f>91904571</f>
        <v>91904571</v>
      </c>
      <c r="U91" s="30">
        <f>608969</f>
        <v>608969</v>
      </c>
      <c r="V91" s="30">
        <f>2411308245648</f>
        <v>2411308245648</v>
      </c>
      <c r="W91" s="30">
        <f>15929813473</f>
        <v>15929813473</v>
      </c>
      <c r="X91" s="34">
        <f>18</f>
        <v>18</v>
      </c>
    </row>
    <row r="92" spans="1:24">
      <c r="A92" s="25" t="s">
        <v>1203</v>
      </c>
      <c r="B92" s="25" t="s">
        <v>258</v>
      </c>
      <c r="C92" s="25" t="s">
        <v>259</v>
      </c>
      <c r="D92" s="25" t="s">
        <v>260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</v>
      </c>
      <c r="K92" s="31">
        <f>585</f>
        <v>585</v>
      </c>
      <c r="L92" s="32" t="s">
        <v>1204</v>
      </c>
      <c r="M92" s="31">
        <f>611</f>
        <v>611</v>
      </c>
      <c r="N92" s="32" t="s">
        <v>1078</v>
      </c>
      <c r="O92" s="31">
        <f>569</f>
        <v>569</v>
      </c>
      <c r="P92" s="32" t="s">
        <v>1080</v>
      </c>
      <c r="Q92" s="31">
        <f>605</f>
        <v>605</v>
      </c>
      <c r="R92" s="32" t="s">
        <v>1078</v>
      </c>
      <c r="S92" s="33">
        <f>582.17</f>
        <v>582.16999999999996</v>
      </c>
      <c r="T92" s="30">
        <f>20175755</f>
        <v>20175755</v>
      </c>
      <c r="U92" s="30">
        <f>3917408</f>
        <v>3917408</v>
      </c>
      <c r="V92" s="30">
        <f>11802764281</f>
        <v>11802764281</v>
      </c>
      <c r="W92" s="30">
        <f>2286920885</f>
        <v>2286920885</v>
      </c>
      <c r="X92" s="34">
        <f>18</f>
        <v>18</v>
      </c>
    </row>
    <row r="93" spans="1:24">
      <c r="A93" s="25" t="s">
        <v>1203</v>
      </c>
      <c r="B93" s="25" t="s">
        <v>261</v>
      </c>
      <c r="C93" s="25" t="s">
        <v>262</v>
      </c>
      <c r="D93" s="25" t="s">
        <v>263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10</v>
      </c>
      <c r="K93" s="31">
        <f>5838</f>
        <v>5838</v>
      </c>
      <c r="L93" s="32" t="s">
        <v>1204</v>
      </c>
      <c r="M93" s="31">
        <f>7880</f>
        <v>7880</v>
      </c>
      <c r="N93" s="32" t="s">
        <v>1075</v>
      </c>
      <c r="O93" s="31">
        <f>5460</f>
        <v>5460</v>
      </c>
      <c r="P93" s="32" t="s">
        <v>1204</v>
      </c>
      <c r="Q93" s="31">
        <f>7059</f>
        <v>7059</v>
      </c>
      <c r="R93" s="32" t="s">
        <v>1078</v>
      </c>
      <c r="S93" s="33">
        <f>6776.11</f>
        <v>6776.11</v>
      </c>
      <c r="T93" s="30">
        <f>782810</f>
        <v>782810</v>
      </c>
      <c r="U93" s="30">
        <f>550</f>
        <v>550</v>
      </c>
      <c r="V93" s="30">
        <f>5400111330</f>
        <v>5400111330</v>
      </c>
      <c r="W93" s="30">
        <f>4197280</f>
        <v>4197280</v>
      </c>
      <c r="X93" s="34">
        <f>18</f>
        <v>18</v>
      </c>
    </row>
    <row r="94" spans="1:24">
      <c r="A94" s="25" t="s">
        <v>1203</v>
      </c>
      <c r="B94" s="25" t="s">
        <v>264</v>
      </c>
      <c r="C94" s="25" t="s">
        <v>265</v>
      </c>
      <c r="D94" s="25" t="s">
        <v>266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10</v>
      </c>
      <c r="K94" s="31">
        <f>10100</f>
        <v>10100</v>
      </c>
      <c r="L94" s="32" t="s">
        <v>1204</v>
      </c>
      <c r="M94" s="31">
        <f>10210</f>
        <v>10210</v>
      </c>
      <c r="N94" s="32" t="s">
        <v>1204</v>
      </c>
      <c r="O94" s="31">
        <f>7997</f>
        <v>7997</v>
      </c>
      <c r="P94" s="32" t="s">
        <v>1075</v>
      </c>
      <c r="Q94" s="31">
        <f>8494</f>
        <v>8494</v>
      </c>
      <c r="R94" s="32" t="s">
        <v>1078</v>
      </c>
      <c r="S94" s="33">
        <f>8933.11</f>
        <v>8933.11</v>
      </c>
      <c r="T94" s="30">
        <f>117630</f>
        <v>117630</v>
      </c>
      <c r="U94" s="30" t="str">
        <f>"－"</f>
        <v>－</v>
      </c>
      <c r="V94" s="30">
        <f>1045516810</f>
        <v>1045516810</v>
      </c>
      <c r="W94" s="30" t="str">
        <f>"－"</f>
        <v>－</v>
      </c>
      <c r="X94" s="34">
        <f>18</f>
        <v>18</v>
      </c>
    </row>
    <row r="95" spans="1:24">
      <c r="A95" s="25" t="s">
        <v>1203</v>
      </c>
      <c r="B95" s="25" t="s">
        <v>267</v>
      </c>
      <c r="C95" s="25" t="s">
        <v>268</v>
      </c>
      <c r="D95" s="25" t="s">
        <v>944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</v>
      </c>
      <c r="K95" s="31">
        <f>38130</f>
        <v>38130</v>
      </c>
      <c r="L95" s="32" t="s">
        <v>1204</v>
      </c>
      <c r="M95" s="31">
        <f>38700</f>
        <v>38700</v>
      </c>
      <c r="N95" s="32" t="s">
        <v>1207</v>
      </c>
      <c r="O95" s="31">
        <f>37470</f>
        <v>37470</v>
      </c>
      <c r="P95" s="32" t="s">
        <v>1204</v>
      </c>
      <c r="Q95" s="31">
        <f>38180</f>
        <v>38180</v>
      </c>
      <c r="R95" s="32" t="s">
        <v>1078</v>
      </c>
      <c r="S95" s="33">
        <f>38193.33</f>
        <v>38193.33</v>
      </c>
      <c r="T95" s="30">
        <f>87695</f>
        <v>87695</v>
      </c>
      <c r="U95" s="30">
        <f>48682</f>
        <v>48682</v>
      </c>
      <c r="V95" s="30">
        <f>3336120518</f>
        <v>3336120518</v>
      </c>
      <c r="W95" s="30">
        <f>1853110518</f>
        <v>1853110518</v>
      </c>
      <c r="X95" s="34">
        <f>18</f>
        <v>18</v>
      </c>
    </row>
    <row r="96" spans="1:24">
      <c r="A96" s="25" t="s">
        <v>1203</v>
      </c>
      <c r="B96" s="25" t="s">
        <v>269</v>
      </c>
      <c r="C96" s="25" t="s">
        <v>270</v>
      </c>
      <c r="D96" s="25" t="s">
        <v>271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</v>
      </c>
      <c r="K96" s="31">
        <f>3080</f>
        <v>3080</v>
      </c>
      <c r="L96" s="32" t="s">
        <v>1204</v>
      </c>
      <c r="M96" s="31">
        <f>3155</f>
        <v>3155</v>
      </c>
      <c r="N96" s="32" t="s">
        <v>1211</v>
      </c>
      <c r="O96" s="31">
        <f>2936</f>
        <v>2936</v>
      </c>
      <c r="P96" s="32" t="s">
        <v>1078</v>
      </c>
      <c r="Q96" s="31">
        <f>2975</f>
        <v>2975</v>
      </c>
      <c r="R96" s="32" t="s">
        <v>1078</v>
      </c>
      <c r="S96" s="33">
        <f>3091.94</f>
        <v>3091.94</v>
      </c>
      <c r="T96" s="30">
        <f>212683</f>
        <v>212683</v>
      </c>
      <c r="U96" s="30">
        <f>82673</f>
        <v>82673</v>
      </c>
      <c r="V96" s="30">
        <f>650569322</f>
        <v>650569322</v>
      </c>
      <c r="W96" s="30">
        <f>250133950</f>
        <v>250133950</v>
      </c>
      <c r="X96" s="34">
        <f>18</f>
        <v>18</v>
      </c>
    </row>
    <row r="97" spans="1:24">
      <c r="A97" s="25" t="s">
        <v>1203</v>
      </c>
      <c r="B97" s="25" t="s">
        <v>272</v>
      </c>
      <c r="C97" s="25" t="s">
        <v>273</v>
      </c>
      <c r="D97" s="25" t="s">
        <v>274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10</v>
      </c>
      <c r="K97" s="31">
        <f>281.4</f>
        <v>281.39999999999998</v>
      </c>
      <c r="L97" s="32" t="s">
        <v>1204</v>
      </c>
      <c r="M97" s="31">
        <f>296.5</f>
        <v>296.5</v>
      </c>
      <c r="N97" s="32" t="s">
        <v>1211</v>
      </c>
      <c r="O97" s="31">
        <f>256.2</f>
        <v>256.2</v>
      </c>
      <c r="P97" s="32" t="s">
        <v>1078</v>
      </c>
      <c r="Q97" s="31">
        <f>261</f>
        <v>261</v>
      </c>
      <c r="R97" s="32" t="s">
        <v>1078</v>
      </c>
      <c r="S97" s="33">
        <f>283.88</f>
        <v>283.88</v>
      </c>
      <c r="T97" s="30">
        <f>696825240</f>
        <v>696825240</v>
      </c>
      <c r="U97" s="30">
        <f>17619510</f>
        <v>17619510</v>
      </c>
      <c r="V97" s="30">
        <f>196587298459</f>
        <v>196587298459</v>
      </c>
      <c r="W97" s="30">
        <f>4935841533</f>
        <v>4935841533</v>
      </c>
      <c r="X97" s="34">
        <f>18</f>
        <v>18</v>
      </c>
    </row>
    <row r="98" spans="1:24">
      <c r="A98" s="25" t="s">
        <v>1203</v>
      </c>
      <c r="B98" s="25" t="s">
        <v>275</v>
      </c>
      <c r="C98" s="25" t="s">
        <v>276</v>
      </c>
      <c r="D98" s="25" t="s">
        <v>277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10</v>
      </c>
      <c r="K98" s="31">
        <f>1549.5</f>
        <v>1549.5</v>
      </c>
      <c r="L98" s="32" t="s">
        <v>1204</v>
      </c>
      <c r="M98" s="31">
        <f>1621</f>
        <v>1621</v>
      </c>
      <c r="N98" s="32" t="s">
        <v>1078</v>
      </c>
      <c r="O98" s="31">
        <f>1515</f>
        <v>1515</v>
      </c>
      <c r="P98" s="32" t="s">
        <v>1080</v>
      </c>
      <c r="Q98" s="31">
        <f>1608.5</f>
        <v>1608.5</v>
      </c>
      <c r="R98" s="32" t="s">
        <v>1078</v>
      </c>
      <c r="S98" s="33">
        <f>1546.03</f>
        <v>1546.03</v>
      </c>
      <c r="T98" s="30">
        <f>9410900</f>
        <v>9410900</v>
      </c>
      <c r="U98" s="30">
        <f>111870</f>
        <v>111870</v>
      </c>
      <c r="V98" s="30">
        <f>14641110485</f>
        <v>14641110485</v>
      </c>
      <c r="W98" s="30">
        <f>173962310</f>
        <v>173962310</v>
      </c>
      <c r="X98" s="34">
        <f>18</f>
        <v>18</v>
      </c>
    </row>
    <row r="99" spans="1:24">
      <c r="A99" s="25" t="s">
        <v>1203</v>
      </c>
      <c r="B99" s="25" t="s">
        <v>278</v>
      </c>
      <c r="C99" s="25" t="s">
        <v>894</v>
      </c>
      <c r="D99" s="25" t="s">
        <v>895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1850</f>
        <v>1850</v>
      </c>
      <c r="L99" s="32" t="s">
        <v>1204</v>
      </c>
      <c r="M99" s="31">
        <f>1880</f>
        <v>1880</v>
      </c>
      <c r="N99" s="32" t="s">
        <v>1085</v>
      </c>
      <c r="O99" s="31">
        <f>1805</f>
        <v>1805</v>
      </c>
      <c r="P99" s="32" t="s">
        <v>1078</v>
      </c>
      <c r="Q99" s="31">
        <f>1805</f>
        <v>1805</v>
      </c>
      <c r="R99" s="32" t="s">
        <v>1078</v>
      </c>
      <c r="S99" s="33">
        <f>1842.73</f>
        <v>1842.73</v>
      </c>
      <c r="T99" s="30">
        <f>1080</f>
        <v>1080</v>
      </c>
      <c r="U99" s="30" t="str">
        <f>"－"</f>
        <v>－</v>
      </c>
      <c r="V99" s="30">
        <f>1986520</f>
        <v>1986520</v>
      </c>
      <c r="W99" s="30" t="str">
        <f>"－"</f>
        <v>－</v>
      </c>
      <c r="X99" s="34">
        <f>13</f>
        <v>13</v>
      </c>
    </row>
    <row r="100" spans="1:24">
      <c r="A100" s="25" t="s">
        <v>1203</v>
      </c>
      <c r="B100" s="25" t="s">
        <v>279</v>
      </c>
      <c r="C100" s="25" t="s">
        <v>280</v>
      </c>
      <c r="D100" s="25" t="s">
        <v>281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</v>
      </c>
      <c r="K100" s="31">
        <f>2200</f>
        <v>2200</v>
      </c>
      <c r="L100" s="32" t="s">
        <v>1204</v>
      </c>
      <c r="M100" s="31">
        <f>2200</f>
        <v>2200</v>
      </c>
      <c r="N100" s="32" t="s">
        <v>1204</v>
      </c>
      <c r="O100" s="31">
        <f>2090</f>
        <v>2090</v>
      </c>
      <c r="P100" s="32" t="s">
        <v>1078</v>
      </c>
      <c r="Q100" s="31">
        <f>2100</f>
        <v>2100</v>
      </c>
      <c r="R100" s="32" t="s">
        <v>1078</v>
      </c>
      <c r="S100" s="33">
        <f>2149</f>
        <v>2149</v>
      </c>
      <c r="T100" s="30">
        <f>15955</f>
        <v>15955</v>
      </c>
      <c r="U100" s="30">
        <f>1</f>
        <v>1</v>
      </c>
      <c r="V100" s="30">
        <f>34368404</f>
        <v>34368404</v>
      </c>
      <c r="W100" s="30">
        <f>2150</f>
        <v>2150</v>
      </c>
      <c r="X100" s="34">
        <f>18</f>
        <v>18</v>
      </c>
    </row>
    <row r="101" spans="1:24">
      <c r="A101" s="25" t="s">
        <v>1203</v>
      </c>
      <c r="B101" s="25" t="s">
        <v>282</v>
      </c>
      <c r="C101" s="25" t="s">
        <v>283</v>
      </c>
      <c r="D101" s="25" t="s">
        <v>284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</v>
      </c>
      <c r="K101" s="31">
        <f>24895</f>
        <v>24895</v>
      </c>
      <c r="L101" s="32" t="s">
        <v>1204</v>
      </c>
      <c r="M101" s="31">
        <f>25280</f>
        <v>25280</v>
      </c>
      <c r="N101" s="32" t="s">
        <v>1205</v>
      </c>
      <c r="O101" s="31">
        <f>24300</f>
        <v>24300</v>
      </c>
      <c r="P101" s="32" t="s">
        <v>1078</v>
      </c>
      <c r="Q101" s="31">
        <f>24470</f>
        <v>24470</v>
      </c>
      <c r="R101" s="32" t="s">
        <v>1078</v>
      </c>
      <c r="S101" s="33">
        <f>24908.06</f>
        <v>24908.06</v>
      </c>
      <c r="T101" s="30">
        <f>175700</f>
        <v>175700</v>
      </c>
      <c r="U101" s="30">
        <f>42819</f>
        <v>42819</v>
      </c>
      <c r="V101" s="30">
        <f>4368186870</f>
        <v>4368186870</v>
      </c>
      <c r="W101" s="30">
        <f>1063860395</f>
        <v>1063860395</v>
      </c>
      <c r="X101" s="34">
        <f>18</f>
        <v>18</v>
      </c>
    </row>
    <row r="102" spans="1:24">
      <c r="A102" s="25" t="s">
        <v>1203</v>
      </c>
      <c r="B102" s="25" t="s">
        <v>285</v>
      </c>
      <c r="C102" s="25" t="s">
        <v>286</v>
      </c>
      <c r="D102" s="25" t="s">
        <v>287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2256</f>
        <v>2256</v>
      </c>
      <c r="L102" s="32" t="s">
        <v>1204</v>
      </c>
      <c r="M102" s="31">
        <f>2305</f>
        <v>2305</v>
      </c>
      <c r="N102" s="32" t="s">
        <v>1205</v>
      </c>
      <c r="O102" s="31">
        <f>2215</f>
        <v>2215</v>
      </c>
      <c r="P102" s="32" t="s">
        <v>1078</v>
      </c>
      <c r="Q102" s="31">
        <f>2235</f>
        <v>2235</v>
      </c>
      <c r="R102" s="32" t="s">
        <v>1078</v>
      </c>
      <c r="S102" s="33">
        <f>2271.78</f>
        <v>2271.7800000000002</v>
      </c>
      <c r="T102" s="30">
        <f>270228</f>
        <v>270228</v>
      </c>
      <c r="U102" s="30">
        <f>220293</f>
        <v>220293</v>
      </c>
      <c r="V102" s="30">
        <f>613084276</f>
        <v>613084276</v>
      </c>
      <c r="W102" s="30">
        <f>499999022</f>
        <v>499999022</v>
      </c>
      <c r="X102" s="34">
        <f>18</f>
        <v>18</v>
      </c>
    </row>
    <row r="103" spans="1:24">
      <c r="A103" s="25" t="s">
        <v>1203</v>
      </c>
      <c r="B103" s="25" t="s">
        <v>288</v>
      </c>
      <c r="C103" s="25" t="s">
        <v>289</v>
      </c>
      <c r="D103" s="25" t="s">
        <v>290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25250</f>
        <v>25250</v>
      </c>
      <c r="L103" s="32" t="s">
        <v>1204</v>
      </c>
      <c r="M103" s="31">
        <f>25800</f>
        <v>25800</v>
      </c>
      <c r="N103" s="32" t="s">
        <v>1205</v>
      </c>
      <c r="O103" s="31">
        <f>24790</f>
        <v>24790</v>
      </c>
      <c r="P103" s="32" t="s">
        <v>1078</v>
      </c>
      <c r="Q103" s="31">
        <f>25000</f>
        <v>25000</v>
      </c>
      <c r="R103" s="32" t="s">
        <v>1078</v>
      </c>
      <c r="S103" s="33">
        <f>25430.83</f>
        <v>25430.83</v>
      </c>
      <c r="T103" s="30">
        <f>22383</f>
        <v>22383</v>
      </c>
      <c r="U103" s="30">
        <f>16580</f>
        <v>16580</v>
      </c>
      <c r="V103" s="30">
        <f>566429678</f>
        <v>566429678</v>
      </c>
      <c r="W103" s="30">
        <f>419541388</f>
        <v>419541388</v>
      </c>
      <c r="X103" s="34">
        <f>18</f>
        <v>18</v>
      </c>
    </row>
    <row r="104" spans="1:24">
      <c r="A104" s="25" t="s">
        <v>1203</v>
      </c>
      <c r="B104" s="25" t="s">
        <v>291</v>
      </c>
      <c r="C104" s="25" t="s">
        <v>292</v>
      </c>
      <c r="D104" s="25" t="s">
        <v>293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10</v>
      </c>
      <c r="K104" s="31">
        <f>1735</f>
        <v>1735</v>
      </c>
      <c r="L104" s="32" t="s">
        <v>1204</v>
      </c>
      <c r="M104" s="31">
        <f>1754</f>
        <v>1754</v>
      </c>
      <c r="N104" s="32" t="s">
        <v>1078</v>
      </c>
      <c r="O104" s="31">
        <f>1692.5</f>
        <v>1692.5</v>
      </c>
      <c r="P104" s="32" t="s">
        <v>1206</v>
      </c>
      <c r="Q104" s="31">
        <f>1730</f>
        <v>1730</v>
      </c>
      <c r="R104" s="32" t="s">
        <v>1078</v>
      </c>
      <c r="S104" s="33">
        <f>1718.86</f>
        <v>1718.86</v>
      </c>
      <c r="T104" s="30">
        <f>1064220</f>
        <v>1064220</v>
      </c>
      <c r="U104" s="30">
        <f>315010</f>
        <v>315010</v>
      </c>
      <c r="V104" s="30">
        <f>1836250540</f>
        <v>1836250540</v>
      </c>
      <c r="W104" s="30">
        <f>543653825</f>
        <v>543653825</v>
      </c>
      <c r="X104" s="34">
        <f>18</f>
        <v>18</v>
      </c>
    </row>
    <row r="105" spans="1:24">
      <c r="A105" s="25" t="s">
        <v>1203</v>
      </c>
      <c r="B105" s="25" t="s">
        <v>294</v>
      </c>
      <c r="C105" s="25" t="s">
        <v>295</v>
      </c>
      <c r="D105" s="25" t="s">
        <v>296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10</v>
      </c>
      <c r="K105" s="31">
        <f>2270</f>
        <v>2270</v>
      </c>
      <c r="L105" s="32" t="s">
        <v>1211</v>
      </c>
      <c r="M105" s="31">
        <f>2320</f>
        <v>2320</v>
      </c>
      <c r="N105" s="32" t="s">
        <v>1211</v>
      </c>
      <c r="O105" s="31">
        <f>2160.5</f>
        <v>2160.5</v>
      </c>
      <c r="P105" s="32" t="s">
        <v>1078</v>
      </c>
      <c r="Q105" s="31">
        <f>2161.5</f>
        <v>2161.5</v>
      </c>
      <c r="R105" s="32" t="s">
        <v>1078</v>
      </c>
      <c r="S105" s="33">
        <f>2234.25</f>
        <v>2234.25</v>
      </c>
      <c r="T105" s="30">
        <f>16190</f>
        <v>16190</v>
      </c>
      <c r="U105" s="30" t="str">
        <f>"－"</f>
        <v>－</v>
      </c>
      <c r="V105" s="30">
        <f>35027880</f>
        <v>35027880</v>
      </c>
      <c r="W105" s="30" t="str">
        <f>"－"</f>
        <v>－</v>
      </c>
      <c r="X105" s="34">
        <f>4</f>
        <v>4</v>
      </c>
    </row>
    <row r="106" spans="1:24">
      <c r="A106" s="25" t="s">
        <v>1203</v>
      </c>
      <c r="B106" s="25" t="s">
        <v>297</v>
      </c>
      <c r="C106" s="25" t="s">
        <v>298</v>
      </c>
      <c r="D106" s="25" t="s">
        <v>299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1763</f>
        <v>1763</v>
      </c>
      <c r="L106" s="32" t="s">
        <v>1204</v>
      </c>
      <c r="M106" s="31">
        <f>1779</f>
        <v>1779</v>
      </c>
      <c r="N106" s="32" t="s">
        <v>1078</v>
      </c>
      <c r="O106" s="31">
        <f>1715.5</f>
        <v>1715.5</v>
      </c>
      <c r="P106" s="32" t="s">
        <v>738</v>
      </c>
      <c r="Q106" s="31">
        <f>1756</f>
        <v>1756</v>
      </c>
      <c r="R106" s="32" t="s">
        <v>1078</v>
      </c>
      <c r="S106" s="33">
        <f>1745.67</f>
        <v>1745.67</v>
      </c>
      <c r="T106" s="30">
        <f>4830360</f>
        <v>4830360</v>
      </c>
      <c r="U106" s="30">
        <f>3392610</f>
        <v>3392610</v>
      </c>
      <c r="V106" s="30">
        <f>8410738960</f>
        <v>8410738960</v>
      </c>
      <c r="W106" s="30">
        <f>5900794800</f>
        <v>5900794800</v>
      </c>
      <c r="X106" s="34">
        <f>18</f>
        <v>18</v>
      </c>
    </row>
    <row r="107" spans="1:24">
      <c r="A107" s="25" t="s">
        <v>1203</v>
      </c>
      <c r="B107" s="25" t="s">
        <v>300</v>
      </c>
      <c r="C107" s="25" t="s">
        <v>896</v>
      </c>
      <c r="D107" s="25" t="s">
        <v>897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</v>
      </c>
      <c r="K107" s="31">
        <f>25170</f>
        <v>25170</v>
      </c>
      <c r="L107" s="32" t="s">
        <v>1204</v>
      </c>
      <c r="M107" s="31">
        <f>25655</f>
        <v>25655</v>
      </c>
      <c r="N107" s="32" t="s">
        <v>1204</v>
      </c>
      <c r="O107" s="31">
        <f>24590</f>
        <v>24590</v>
      </c>
      <c r="P107" s="32" t="s">
        <v>1078</v>
      </c>
      <c r="Q107" s="31">
        <f>24600</f>
        <v>24600</v>
      </c>
      <c r="R107" s="32" t="s">
        <v>1078</v>
      </c>
      <c r="S107" s="33">
        <f>25186.18</f>
        <v>25186.18</v>
      </c>
      <c r="T107" s="30">
        <f>3707</f>
        <v>3707</v>
      </c>
      <c r="U107" s="30">
        <f>2</f>
        <v>2</v>
      </c>
      <c r="V107" s="30">
        <f>93480155</f>
        <v>93480155</v>
      </c>
      <c r="W107" s="30">
        <f>50305</f>
        <v>50305</v>
      </c>
      <c r="X107" s="34">
        <f>17</f>
        <v>17</v>
      </c>
    </row>
    <row r="108" spans="1:24">
      <c r="A108" s="25" t="s">
        <v>1203</v>
      </c>
      <c r="B108" s="25" t="s">
        <v>1097</v>
      </c>
      <c r="C108" s="25" t="s">
        <v>1096</v>
      </c>
      <c r="D108" s="25" t="s">
        <v>1095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521.2</f>
        <v>521.20000000000005</v>
      </c>
      <c r="L108" s="32" t="s">
        <v>1204</v>
      </c>
      <c r="M108" s="31">
        <f>530</f>
        <v>530</v>
      </c>
      <c r="N108" s="32" t="s">
        <v>662</v>
      </c>
      <c r="O108" s="31">
        <f>500.3</f>
        <v>500.3</v>
      </c>
      <c r="P108" s="32" t="s">
        <v>1078</v>
      </c>
      <c r="Q108" s="31">
        <f>520</f>
        <v>520</v>
      </c>
      <c r="R108" s="32" t="s">
        <v>1078</v>
      </c>
      <c r="S108" s="33">
        <f>519.14</f>
        <v>519.14</v>
      </c>
      <c r="T108" s="30">
        <f>688190</f>
        <v>688190</v>
      </c>
      <c r="U108" s="30">
        <f>3470</f>
        <v>3470</v>
      </c>
      <c r="V108" s="30">
        <f>353219774</f>
        <v>353219774</v>
      </c>
      <c r="W108" s="30">
        <f>1794252</f>
        <v>1794252</v>
      </c>
      <c r="X108" s="34">
        <f>18</f>
        <v>18</v>
      </c>
    </row>
    <row r="109" spans="1:24">
      <c r="A109" s="25" t="s">
        <v>1203</v>
      </c>
      <c r="B109" s="25" t="s">
        <v>301</v>
      </c>
      <c r="C109" s="25" t="s">
        <v>302</v>
      </c>
      <c r="D109" s="25" t="s">
        <v>303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100</v>
      </c>
      <c r="K109" s="31">
        <f>401.9</f>
        <v>401.9</v>
      </c>
      <c r="L109" s="32" t="s">
        <v>1204</v>
      </c>
      <c r="M109" s="31">
        <f>418.9</f>
        <v>418.9</v>
      </c>
      <c r="N109" s="32" t="s">
        <v>1207</v>
      </c>
      <c r="O109" s="31">
        <f>388.5</f>
        <v>388.5</v>
      </c>
      <c r="P109" s="32" t="s">
        <v>1206</v>
      </c>
      <c r="Q109" s="31">
        <f>393.8</f>
        <v>393.8</v>
      </c>
      <c r="R109" s="32" t="s">
        <v>1078</v>
      </c>
      <c r="S109" s="33">
        <f>399.98</f>
        <v>399.98</v>
      </c>
      <c r="T109" s="30">
        <f>242717800</f>
        <v>242717800</v>
      </c>
      <c r="U109" s="30">
        <f>96977900</f>
        <v>96977900</v>
      </c>
      <c r="V109" s="30">
        <f>96751571942</f>
        <v>96751571942</v>
      </c>
      <c r="W109" s="30">
        <f>38699940872</f>
        <v>38699940872</v>
      </c>
      <c r="X109" s="34">
        <f>18</f>
        <v>18</v>
      </c>
    </row>
    <row r="110" spans="1:24">
      <c r="A110" s="25" t="s">
        <v>1203</v>
      </c>
      <c r="B110" s="25" t="s">
        <v>304</v>
      </c>
      <c r="C110" s="25" t="s">
        <v>305</v>
      </c>
      <c r="D110" s="25" t="s">
        <v>306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</v>
      </c>
      <c r="K110" s="31">
        <f>36130</f>
        <v>36130</v>
      </c>
      <c r="L110" s="32" t="s">
        <v>1204</v>
      </c>
      <c r="M110" s="31">
        <f>36440</f>
        <v>36440</v>
      </c>
      <c r="N110" s="32" t="s">
        <v>1208</v>
      </c>
      <c r="O110" s="31">
        <f>35250</f>
        <v>35250</v>
      </c>
      <c r="P110" s="32" t="s">
        <v>1210</v>
      </c>
      <c r="Q110" s="31">
        <f>36060</f>
        <v>36060</v>
      </c>
      <c r="R110" s="32" t="s">
        <v>1078</v>
      </c>
      <c r="S110" s="33">
        <f>35740.56</f>
        <v>35740.559999999998</v>
      </c>
      <c r="T110" s="30">
        <f>5650</f>
        <v>5650</v>
      </c>
      <c r="U110" s="30">
        <f>33</f>
        <v>33</v>
      </c>
      <c r="V110" s="30">
        <f>203107510</f>
        <v>203107510</v>
      </c>
      <c r="W110" s="30">
        <f>1185160</f>
        <v>1185160</v>
      </c>
      <c r="X110" s="34">
        <f>18</f>
        <v>18</v>
      </c>
    </row>
    <row r="111" spans="1:24">
      <c r="A111" s="25" t="s">
        <v>1203</v>
      </c>
      <c r="B111" s="25" t="s">
        <v>307</v>
      </c>
      <c r="C111" s="25" t="s">
        <v>308</v>
      </c>
      <c r="D111" s="25" t="s">
        <v>309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</v>
      </c>
      <c r="K111" s="31">
        <f>20500</f>
        <v>20500</v>
      </c>
      <c r="L111" s="32" t="s">
        <v>1204</v>
      </c>
      <c r="M111" s="31">
        <f>21785</f>
        <v>21785</v>
      </c>
      <c r="N111" s="32" t="s">
        <v>1076</v>
      </c>
      <c r="O111" s="31">
        <f>20285</f>
        <v>20285</v>
      </c>
      <c r="P111" s="32" t="s">
        <v>1208</v>
      </c>
      <c r="Q111" s="31">
        <f>21030</f>
        <v>21030</v>
      </c>
      <c r="R111" s="32" t="s">
        <v>1078</v>
      </c>
      <c r="S111" s="33">
        <f>20956.11</f>
        <v>20956.11</v>
      </c>
      <c r="T111" s="30">
        <f>27078</f>
        <v>27078</v>
      </c>
      <c r="U111" s="30">
        <f>10015</f>
        <v>10015</v>
      </c>
      <c r="V111" s="30">
        <f>559421658</f>
        <v>559421658</v>
      </c>
      <c r="W111" s="30">
        <f>205478638</f>
        <v>205478638</v>
      </c>
      <c r="X111" s="34">
        <f>18</f>
        <v>18</v>
      </c>
    </row>
    <row r="112" spans="1:24">
      <c r="A112" s="25" t="s">
        <v>1203</v>
      </c>
      <c r="B112" s="25" t="s">
        <v>310</v>
      </c>
      <c r="C112" s="25" t="s">
        <v>311</v>
      </c>
      <c r="D112" s="25" t="s">
        <v>312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30630</f>
        <v>30630</v>
      </c>
      <c r="L112" s="32" t="s">
        <v>1204</v>
      </c>
      <c r="M112" s="31">
        <f>31450</f>
        <v>31450</v>
      </c>
      <c r="N112" s="32" t="s">
        <v>662</v>
      </c>
      <c r="O112" s="31">
        <f>30420</f>
        <v>30420</v>
      </c>
      <c r="P112" s="32" t="s">
        <v>1212</v>
      </c>
      <c r="Q112" s="31">
        <f>30560</f>
        <v>30560</v>
      </c>
      <c r="R112" s="32" t="s">
        <v>1078</v>
      </c>
      <c r="S112" s="33">
        <f>30902.78</f>
        <v>30902.78</v>
      </c>
      <c r="T112" s="30">
        <f>5656</f>
        <v>5656</v>
      </c>
      <c r="U112" s="30" t="str">
        <f>"－"</f>
        <v>－</v>
      </c>
      <c r="V112" s="30">
        <f>173823870</f>
        <v>173823870</v>
      </c>
      <c r="W112" s="30" t="str">
        <f>"－"</f>
        <v>－</v>
      </c>
      <c r="X112" s="34">
        <f>18</f>
        <v>18</v>
      </c>
    </row>
    <row r="113" spans="1:24">
      <c r="A113" s="25" t="s">
        <v>1203</v>
      </c>
      <c r="B113" s="25" t="s">
        <v>313</v>
      </c>
      <c r="C113" s="25" t="s">
        <v>314</v>
      </c>
      <c r="D113" s="25" t="s">
        <v>315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28315</f>
        <v>28315</v>
      </c>
      <c r="L113" s="32" t="s">
        <v>1204</v>
      </c>
      <c r="M113" s="31">
        <f>28565</f>
        <v>28565</v>
      </c>
      <c r="N113" s="32" t="s">
        <v>1080</v>
      </c>
      <c r="O113" s="31">
        <f>27570</f>
        <v>27570</v>
      </c>
      <c r="P113" s="32" t="s">
        <v>1078</v>
      </c>
      <c r="Q113" s="31">
        <f>27690</f>
        <v>27690</v>
      </c>
      <c r="R113" s="32" t="s">
        <v>1078</v>
      </c>
      <c r="S113" s="33">
        <f>28038.61</f>
        <v>28038.61</v>
      </c>
      <c r="T113" s="30">
        <f>3276</f>
        <v>3276</v>
      </c>
      <c r="U113" s="30" t="str">
        <f>"－"</f>
        <v>－</v>
      </c>
      <c r="V113" s="30">
        <f>91568385</f>
        <v>91568385</v>
      </c>
      <c r="W113" s="30" t="str">
        <f>"－"</f>
        <v>－</v>
      </c>
      <c r="X113" s="34">
        <f>18</f>
        <v>18</v>
      </c>
    </row>
    <row r="114" spans="1:24">
      <c r="A114" s="25" t="s">
        <v>1203</v>
      </c>
      <c r="B114" s="25" t="s">
        <v>316</v>
      </c>
      <c r="C114" s="25" t="s">
        <v>317</v>
      </c>
      <c r="D114" s="25" t="s">
        <v>318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26700</f>
        <v>26700</v>
      </c>
      <c r="L114" s="32" t="s">
        <v>1204</v>
      </c>
      <c r="M114" s="31">
        <f>27100</f>
        <v>27100</v>
      </c>
      <c r="N114" s="32" t="s">
        <v>1209</v>
      </c>
      <c r="O114" s="31">
        <f>25100</f>
        <v>25100</v>
      </c>
      <c r="P114" s="32" t="s">
        <v>1081</v>
      </c>
      <c r="Q114" s="31">
        <f>25775</f>
        <v>25775</v>
      </c>
      <c r="R114" s="32" t="s">
        <v>1078</v>
      </c>
      <c r="S114" s="33">
        <f>25935.83</f>
        <v>25935.83</v>
      </c>
      <c r="T114" s="30">
        <f>11180</f>
        <v>11180</v>
      </c>
      <c r="U114" s="30">
        <f>7</f>
        <v>7</v>
      </c>
      <c r="V114" s="30">
        <f>289567217</f>
        <v>289567217</v>
      </c>
      <c r="W114" s="30">
        <f>184002</f>
        <v>184002</v>
      </c>
      <c r="X114" s="34">
        <f>18</f>
        <v>18</v>
      </c>
    </row>
    <row r="115" spans="1:24">
      <c r="A115" s="25" t="s">
        <v>1203</v>
      </c>
      <c r="B115" s="25" t="s">
        <v>319</v>
      </c>
      <c r="C115" s="25" t="s">
        <v>320</v>
      </c>
      <c r="D115" s="25" t="s">
        <v>321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30510</f>
        <v>30510</v>
      </c>
      <c r="L115" s="32" t="s">
        <v>1204</v>
      </c>
      <c r="M115" s="31">
        <f>31500</f>
        <v>31500</v>
      </c>
      <c r="N115" s="32" t="s">
        <v>1209</v>
      </c>
      <c r="O115" s="31">
        <f>29360</f>
        <v>29360</v>
      </c>
      <c r="P115" s="32" t="s">
        <v>1210</v>
      </c>
      <c r="Q115" s="31">
        <f>29750</f>
        <v>29750</v>
      </c>
      <c r="R115" s="32" t="s">
        <v>1078</v>
      </c>
      <c r="S115" s="33">
        <f>30357.5</f>
        <v>30357.5</v>
      </c>
      <c r="T115" s="30">
        <f>9356</f>
        <v>9356</v>
      </c>
      <c r="U115" s="30">
        <f>40</f>
        <v>40</v>
      </c>
      <c r="V115" s="30">
        <f>282593150</f>
        <v>282593150</v>
      </c>
      <c r="W115" s="30">
        <f>1212800</f>
        <v>1212800</v>
      </c>
      <c r="X115" s="34">
        <f>18</f>
        <v>18</v>
      </c>
    </row>
    <row r="116" spans="1:24">
      <c r="A116" s="25" t="s">
        <v>1203</v>
      </c>
      <c r="B116" s="25" t="s">
        <v>322</v>
      </c>
      <c r="C116" s="25" t="s">
        <v>323</v>
      </c>
      <c r="D116" s="25" t="s">
        <v>324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27190</f>
        <v>27190</v>
      </c>
      <c r="L116" s="32" t="s">
        <v>1204</v>
      </c>
      <c r="M116" s="31">
        <f>28930</f>
        <v>28930</v>
      </c>
      <c r="N116" s="32" t="s">
        <v>1206</v>
      </c>
      <c r="O116" s="31">
        <f>26800</f>
        <v>26800</v>
      </c>
      <c r="P116" s="32" t="s">
        <v>1204</v>
      </c>
      <c r="Q116" s="31">
        <f>27315</f>
        <v>27315</v>
      </c>
      <c r="R116" s="32" t="s">
        <v>1078</v>
      </c>
      <c r="S116" s="33">
        <f>27955</f>
        <v>27955</v>
      </c>
      <c r="T116" s="30">
        <f>9782</f>
        <v>9782</v>
      </c>
      <c r="U116" s="30" t="str">
        <f>"－"</f>
        <v>－</v>
      </c>
      <c r="V116" s="30">
        <f>269310880</f>
        <v>269310880</v>
      </c>
      <c r="W116" s="30" t="str">
        <f>"－"</f>
        <v>－</v>
      </c>
      <c r="X116" s="34">
        <f>18</f>
        <v>18</v>
      </c>
    </row>
    <row r="117" spans="1:24">
      <c r="A117" s="25" t="s">
        <v>1203</v>
      </c>
      <c r="B117" s="25" t="s">
        <v>325</v>
      </c>
      <c r="C117" s="25" t="s">
        <v>326</v>
      </c>
      <c r="D117" s="25" t="s">
        <v>327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57520</f>
        <v>57520</v>
      </c>
      <c r="L117" s="32" t="s">
        <v>1204</v>
      </c>
      <c r="M117" s="31">
        <f>58470</f>
        <v>58470</v>
      </c>
      <c r="N117" s="32" t="s">
        <v>1208</v>
      </c>
      <c r="O117" s="31">
        <f>54270</f>
        <v>54270</v>
      </c>
      <c r="P117" s="32" t="s">
        <v>1078</v>
      </c>
      <c r="Q117" s="31">
        <f>54770</f>
        <v>54770</v>
      </c>
      <c r="R117" s="32" t="s">
        <v>1078</v>
      </c>
      <c r="S117" s="33">
        <f>57046.67</f>
        <v>57046.67</v>
      </c>
      <c r="T117" s="30">
        <f>5885</f>
        <v>5885</v>
      </c>
      <c r="U117" s="30">
        <f>2042</f>
        <v>2042</v>
      </c>
      <c r="V117" s="30">
        <f>336273297</f>
        <v>336273297</v>
      </c>
      <c r="W117" s="30">
        <f>116976267</f>
        <v>116976267</v>
      </c>
      <c r="X117" s="34">
        <f>18</f>
        <v>18</v>
      </c>
    </row>
    <row r="118" spans="1:24">
      <c r="A118" s="25" t="s">
        <v>1203</v>
      </c>
      <c r="B118" s="25" t="s">
        <v>328</v>
      </c>
      <c r="C118" s="25" t="s">
        <v>329</v>
      </c>
      <c r="D118" s="25" t="s">
        <v>330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38830</f>
        <v>38830</v>
      </c>
      <c r="L118" s="32" t="s">
        <v>1204</v>
      </c>
      <c r="M118" s="31">
        <f>40380</f>
        <v>40380</v>
      </c>
      <c r="N118" s="32" t="s">
        <v>1205</v>
      </c>
      <c r="O118" s="31">
        <f>37420</f>
        <v>37420</v>
      </c>
      <c r="P118" s="32" t="s">
        <v>1078</v>
      </c>
      <c r="Q118" s="31">
        <f>37560</f>
        <v>37560</v>
      </c>
      <c r="R118" s="32" t="s">
        <v>1078</v>
      </c>
      <c r="S118" s="33">
        <f>39045</f>
        <v>39045</v>
      </c>
      <c r="T118" s="30">
        <f>27383</f>
        <v>27383</v>
      </c>
      <c r="U118" s="30">
        <f>10007</f>
        <v>10007</v>
      </c>
      <c r="V118" s="30">
        <f>1074630125</f>
        <v>1074630125</v>
      </c>
      <c r="W118" s="30">
        <f>389305745</f>
        <v>389305745</v>
      </c>
      <c r="X118" s="34">
        <f>18</f>
        <v>18</v>
      </c>
    </row>
    <row r="119" spans="1:24">
      <c r="A119" s="25" t="s">
        <v>1203</v>
      </c>
      <c r="B119" s="25" t="s">
        <v>331</v>
      </c>
      <c r="C119" s="25" t="s">
        <v>332</v>
      </c>
      <c r="D119" s="25" t="s">
        <v>333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37710</f>
        <v>37710</v>
      </c>
      <c r="L119" s="32" t="s">
        <v>1204</v>
      </c>
      <c r="M119" s="31">
        <f>39840</f>
        <v>39840</v>
      </c>
      <c r="N119" s="32" t="s">
        <v>738</v>
      </c>
      <c r="O119" s="31">
        <f>36910</f>
        <v>36910</v>
      </c>
      <c r="P119" s="32" t="s">
        <v>1078</v>
      </c>
      <c r="Q119" s="31">
        <f>37190</f>
        <v>37190</v>
      </c>
      <c r="R119" s="32" t="s">
        <v>1078</v>
      </c>
      <c r="S119" s="33">
        <f>38606.11</f>
        <v>38606.11</v>
      </c>
      <c r="T119" s="30">
        <f>5227</f>
        <v>5227</v>
      </c>
      <c r="U119" s="30">
        <f>7</f>
        <v>7</v>
      </c>
      <c r="V119" s="30">
        <f>199326100</f>
        <v>199326100</v>
      </c>
      <c r="W119" s="30">
        <f>269960</f>
        <v>269960</v>
      </c>
      <c r="X119" s="34">
        <f>18</f>
        <v>18</v>
      </c>
    </row>
    <row r="120" spans="1:24">
      <c r="A120" s="25" t="s">
        <v>1203</v>
      </c>
      <c r="B120" s="25" t="s">
        <v>334</v>
      </c>
      <c r="C120" s="25" t="s">
        <v>335</v>
      </c>
      <c r="D120" s="25" t="s">
        <v>336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8034</f>
        <v>8034</v>
      </c>
      <c r="L120" s="32" t="s">
        <v>1204</v>
      </c>
      <c r="M120" s="31">
        <f>8230</f>
        <v>8230</v>
      </c>
      <c r="N120" s="32" t="s">
        <v>1078</v>
      </c>
      <c r="O120" s="31">
        <f>7830</f>
        <v>7830</v>
      </c>
      <c r="P120" s="32" t="s">
        <v>1206</v>
      </c>
      <c r="Q120" s="31">
        <f>8143</f>
        <v>8143</v>
      </c>
      <c r="R120" s="32" t="s">
        <v>1078</v>
      </c>
      <c r="S120" s="33">
        <f>8018.83</f>
        <v>8018.83</v>
      </c>
      <c r="T120" s="30">
        <f>39566</f>
        <v>39566</v>
      </c>
      <c r="U120" s="30" t="str">
        <f>"－"</f>
        <v>－</v>
      </c>
      <c r="V120" s="30">
        <f>316833998</f>
        <v>316833998</v>
      </c>
      <c r="W120" s="30" t="str">
        <f>"－"</f>
        <v>－</v>
      </c>
      <c r="X120" s="34">
        <f>18</f>
        <v>18</v>
      </c>
    </row>
    <row r="121" spans="1:24">
      <c r="A121" s="25" t="s">
        <v>1203</v>
      </c>
      <c r="B121" s="25" t="s">
        <v>337</v>
      </c>
      <c r="C121" s="25" t="s">
        <v>338</v>
      </c>
      <c r="D121" s="25" t="s">
        <v>339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17900</f>
        <v>17900</v>
      </c>
      <c r="L121" s="32" t="s">
        <v>1204</v>
      </c>
      <c r="M121" s="31">
        <f>18750</f>
        <v>18750</v>
      </c>
      <c r="N121" s="32" t="s">
        <v>1078</v>
      </c>
      <c r="O121" s="31">
        <f>17885</f>
        <v>17885</v>
      </c>
      <c r="P121" s="32" t="s">
        <v>1209</v>
      </c>
      <c r="Q121" s="31">
        <f>18570</f>
        <v>18570</v>
      </c>
      <c r="R121" s="32" t="s">
        <v>1078</v>
      </c>
      <c r="S121" s="33">
        <f>18296.67</f>
        <v>18296.669999999998</v>
      </c>
      <c r="T121" s="30">
        <f>30166</f>
        <v>30166</v>
      </c>
      <c r="U121" s="30">
        <f>13541</f>
        <v>13541</v>
      </c>
      <c r="V121" s="30">
        <f>547658481</f>
        <v>547658481</v>
      </c>
      <c r="W121" s="30">
        <f>246191826</f>
        <v>246191826</v>
      </c>
      <c r="X121" s="34">
        <f>18</f>
        <v>18</v>
      </c>
    </row>
    <row r="122" spans="1:24">
      <c r="A122" s="25" t="s">
        <v>1203</v>
      </c>
      <c r="B122" s="25" t="s">
        <v>340</v>
      </c>
      <c r="C122" s="25" t="s">
        <v>341</v>
      </c>
      <c r="D122" s="25" t="s">
        <v>342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78570</f>
        <v>78570</v>
      </c>
      <c r="L122" s="32" t="s">
        <v>1204</v>
      </c>
      <c r="M122" s="31">
        <f>79840</f>
        <v>79840</v>
      </c>
      <c r="N122" s="32" t="s">
        <v>1085</v>
      </c>
      <c r="O122" s="31">
        <f>73670</f>
        <v>73670</v>
      </c>
      <c r="P122" s="32" t="s">
        <v>1076</v>
      </c>
      <c r="Q122" s="31">
        <f>76970</f>
        <v>76970</v>
      </c>
      <c r="R122" s="32" t="s">
        <v>1078</v>
      </c>
      <c r="S122" s="33">
        <f>76944.44</f>
        <v>76944.44</v>
      </c>
      <c r="T122" s="30">
        <f>17486</f>
        <v>17486</v>
      </c>
      <c r="U122" s="30">
        <f>166</f>
        <v>166</v>
      </c>
      <c r="V122" s="30">
        <f>1349905980</f>
        <v>1349905980</v>
      </c>
      <c r="W122" s="30">
        <f>12780400</f>
        <v>12780400</v>
      </c>
      <c r="X122" s="34">
        <f>18</f>
        <v>18</v>
      </c>
    </row>
    <row r="123" spans="1:24">
      <c r="A123" s="25" t="s">
        <v>1203</v>
      </c>
      <c r="B123" s="25" t="s">
        <v>1094</v>
      </c>
      <c r="C123" s="25" t="s">
        <v>1093</v>
      </c>
      <c r="D123" s="25" t="s">
        <v>1092</v>
      </c>
      <c r="E123" s="26" t="s">
        <v>43</v>
      </c>
      <c r="F123" s="27" t="s">
        <v>43</v>
      </c>
      <c r="G123" s="28" t="s">
        <v>43</v>
      </c>
      <c r="H123" s="29"/>
      <c r="I123" s="29" t="s">
        <v>452</v>
      </c>
      <c r="J123" s="30">
        <v>1</v>
      </c>
      <c r="K123" s="31">
        <f>9939</f>
        <v>9939</v>
      </c>
      <c r="L123" s="32" t="s">
        <v>1204</v>
      </c>
      <c r="M123" s="31">
        <f>10250</f>
        <v>10250</v>
      </c>
      <c r="N123" s="32" t="s">
        <v>1211</v>
      </c>
      <c r="O123" s="31">
        <f>9806</f>
        <v>9806</v>
      </c>
      <c r="P123" s="32" t="s">
        <v>1209</v>
      </c>
      <c r="Q123" s="31">
        <f>9922</f>
        <v>9922</v>
      </c>
      <c r="R123" s="32" t="s">
        <v>1078</v>
      </c>
      <c r="S123" s="33">
        <f>10043.69</f>
        <v>10043.69</v>
      </c>
      <c r="T123" s="30">
        <f>1712</f>
        <v>1712</v>
      </c>
      <c r="U123" s="30" t="str">
        <f>"－"</f>
        <v>－</v>
      </c>
      <c r="V123" s="30">
        <f>17221036</f>
        <v>17221036</v>
      </c>
      <c r="W123" s="30" t="str">
        <f>"－"</f>
        <v>－</v>
      </c>
      <c r="X123" s="34">
        <f>16</f>
        <v>16</v>
      </c>
    </row>
    <row r="124" spans="1:24">
      <c r="A124" s="25" t="s">
        <v>1203</v>
      </c>
      <c r="B124" s="25" t="s">
        <v>343</v>
      </c>
      <c r="C124" s="25" t="s">
        <v>344</v>
      </c>
      <c r="D124" s="25" t="s">
        <v>345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31820</f>
        <v>31820</v>
      </c>
      <c r="L124" s="32" t="s">
        <v>1204</v>
      </c>
      <c r="M124" s="31">
        <f>32270</f>
        <v>32270</v>
      </c>
      <c r="N124" s="32" t="s">
        <v>1208</v>
      </c>
      <c r="O124" s="31">
        <f>30230</f>
        <v>30230</v>
      </c>
      <c r="P124" s="32" t="s">
        <v>1078</v>
      </c>
      <c r="Q124" s="31">
        <f>30440</f>
        <v>30440</v>
      </c>
      <c r="R124" s="32" t="s">
        <v>1078</v>
      </c>
      <c r="S124" s="33">
        <f>31533.89</f>
        <v>31533.89</v>
      </c>
      <c r="T124" s="30">
        <f>2978</f>
        <v>2978</v>
      </c>
      <c r="U124" s="30">
        <f>17</f>
        <v>17</v>
      </c>
      <c r="V124" s="30">
        <f>93463245</f>
        <v>93463245</v>
      </c>
      <c r="W124" s="30">
        <f>539845</f>
        <v>539845</v>
      </c>
      <c r="X124" s="34">
        <f>18</f>
        <v>18</v>
      </c>
    </row>
    <row r="125" spans="1:24">
      <c r="A125" s="25" t="s">
        <v>1203</v>
      </c>
      <c r="B125" s="25" t="s">
        <v>346</v>
      </c>
      <c r="C125" s="25" t="s">
        <v>347</v>
      </c>
      <c r="D125" s="25" t="s">
        <v>348</v>
      </c>
      <c r="E125" s="26" t="s">
        <v>43</v>
      </c>
      <c r="F125" s="27" t="s">
        <v>43</v>
      </c>
      <c r="G125" s="28" t="s">
        <v>43</v>
      </c>
      <c r="H125" s="29"/>
      <c r="I125" s="29" t="s">
        <v>44</v>
      </c>
      <c r="J125" s="30">
        <v>1</v>
      </c>
      <c r="K125" s="31">
        <f>21220</f>
        <v>21220</v>
      </c>
      <c r="L125" s="32" t="s">
        <v>1204</v>
      </c>
      <c r="M125" s="31">
        <f>22280</f>
        <v>22280</v>
      </c>
      <c r="N125" s="32" t="s">
        <v>1207</v>
      </c>
      <c r="O125" s="31">
        <f>20650</f>
        <v>20650</v>
      </c>
      <c r="P125" s="32" t="s">
        <v>1206</v>
      </c>
      <c r="Q125" s="31">
        <f>21030</f>
        <v>21030</v>
      </c>
      <c r="R125" s="32" t="s">
        <v>1078</v>
      </c>
      <c r="S125" s="33">
        <f>21307.22</f>
        <v>21307.22</v>
      </c>
      <c r="T125" s="30">
        <f>455741</f>
        <v>455741</v>
      </c>
      <c r="U125" s="30">
        <f>339043</f>
        <v>339043</v>
      </c>
      <c r="V125" s="30">
        <f>9621005119</f>
        <v>9621005119</v>
      </c>
      <c r="W125" s="30">
        <f>7141110979</f>
        <v>7141110979</v>
      </c>
      <c r="X125" s="34">
        <f>18</f>
        <v>18</v>
      </c>
    </row>
    <row r="126" spans="1:24">
      <c r="A126" s="25" t="s">
        <v>1203</v>
      </c>
      <c r="B126" s="25" t="s">
        <v>349</v>
      </c>
      <c r="C126" s="25" t="s">
        <v>350</v>
      </c>
      <c r="D126" s="25" t="s">
        <v>351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27600</f>
        <v>27600</v>
      </c>
      <c r="L126" s="32" t="s">
        <v>1204</v>
      </c>
      <c r="M126" s="31">
        <f>28235</f>
        <v>28235</v>
      </c>
      <c r="N126" s="32" t="s">
        <v>1205</v>
      </c>
      <c r="O126" s="31">
        <f>26830</f>
        <v>26830</v>
      </c>
      <c r="P126" s="32" t="s">
        <v>1204</v>
      </c>
      <c r="Q126" s="31">
        <f>27765</f>
        <v>27765</v>
      </c>
      <c r="R126" s="32" t="s">
        <v>1078</v>
      </c>
      <c r="S126" s="33">
        <f>27628.61</f>
        <v>27628.61</v>
      </c>
      <c r="T126" s="30">
        <f>41263</f>
        <v>41263</v>
      </c>
      <c r="U126" s="30">
        <f>12502</f>
        <v>12502</v>
      </c>
      <c r="V126" s="30">
        <f>1134550044</f>
        <v>1134550044</v>
      </c>
      <c r="W126" s="30">
        <f>343817054</f>
        <v>343817054</v>
      </c>
      <c r="X126" s="34">
        <f>18</f>
        <v>18</v>
      </c>
    </row>
    <row r="127" spans="1:24">
      <c r="A127" s="25" t="s">
        <v>1203</v>
      </c>
      <c r="B127" s="25" t="s">
        <v>352</v>
      </c>
      <c r="C127" s="25" t="s">
        <v>353</v>
      </c>
      <c r="D127" s="25" t="s">
        <v>354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39140</f>
        <v>39140</v>
      </c>
      <c r="L127" s="32" t="s">
        <v>1204</v>
      </c>
      <c r="M127" s="31">
        <f>40120</f>
        <v>40120</v>
      </c>
      <c r="N127" s="32" t="s">
        <v>1208</v>
      </c>
      <c r="O127" s="31">
        <f>37410</f>
        <v>37410</v>
      </c>
      <c r="P127" s="32" t="s">
        <v>1081</v>
      </c>
      <c r="Q127" s="31">
        <f>38440</f>
        <v>38440</v>
      </c>
      <c r="R127" s="32" t="s">
        <v>1078</v>
      </c>
      <c r="S127" s="33">
        <f>38657.22</f>
        <v>38657.22</v>
      </c>
      <c r="T127" s="30">
        <f>9737</f>
        <v>9737</v>
      </c>
      <c r="U127" s="30">
        <f>5028</f>
        <v>5028</v>
      </c>
      <c r="V127" s="30">
        <f>381082883</f>
        <v>381082883</v>
      </c>
      <c r="W127" s="30">
        <f>198203863</f>
        <v>198203863</v>
      </c>
      <c r="X127" s="34">
        <f>18</f>
        <v>18</v>
      </c>
    </row>
    <row r="128" spans="1:24">
      <c r="A128" s="25" t="s">
        <v>1203</v>
      </c>
      <c r="B128" s="25" t="s">
        <v>1091</v>
      </c>
      <c r="C128" s="25" t="s">
        <v>1090</v>
      </c>
      <c r="D128" s="25" t="s">
        <v>1089</v>
      </c>
      <c r="E128" s="26" t="s">
        <v>43</v>
      </c>
      <c r="F128" s="27" t="s">
        <v>43</v>
      </c>
      <c r="G128" s="28" t="s">
        <v>43</v>
      </c>
      <c r="H128" s="29"/>
      <c r="I128" s="29" t="s">
        <v>452</v>
      </c>
      <c r="J128" s="30">
        <v>1</v>
      </c>
      <c r="K128" s="31">
        <f>8403</f>
        <v>8403</v>
      </c>
      <c r="L128" s="32" t="s">
        <v>1204</v>
      </c>
      <c r="M128" s="31">
        <f>8948</f>
        <v>8948</v>
      </c>
      <c r="N128" s="32" t="s">
        <v>1081</v>
      </c>
      <c r="O128" s="31">
        <f>8111</f>
        <v>8111</v>
      </c>
      <c r="P128" s="32" t="s">
        <v>1078</v>
      </c>
      <c r="Q128" s="31">
        <f>8261</f>
        <v>8261</v>
      </c>
      <c r="R128" s="32" t="s">
        <v>1078</v>
      </c>
      <c r="S128" s="33">
        <f>8566.83</f>
        <v>8566.83</v>
      </c>
      <c r="T128" s="30">
        <f>38603</f>
        <v>38603</v>
      </c>
      <c r="U128" s="30">
        <f>3</f>
        <v>3</v>
      </c>
      <c r="V128" s="30">
        <f>330821189</f>
        <v>330821189</v>
      </c>
      <c r="W128" s="30">
        <f>25865</f>
        <v>25865</v>
      </c>
      <c r="X128" s="34">
        <f>18</f>
        <v>18</v>
      </c>
    </row>
    <row r="129" spans="1:24">
      <c r="A129" s="25" t="s">
        <v>1203</v>
      </c>
      <c r="B129" s="25" t="s">
        <v>355</v>
      </c>
      <c r="C129" s="25" t="s">
        <v>898</v>
      </c>
      <c r="D129" s="25" t="s">
        <v>899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2085</f>
        <v>2085</v>
      </c>
      <c r="L129" s="32" t="s">
        <v>1204</v>
      </c>
      <c r="M129" s="31">
        <f>2086</f>
        <v>2086</v>
      </c>
      <c r="N129" s="32" t="s">
        <v>1207</v>
      </c>
      <c r="O129" s="31">
        <f>2017</f>
        <v>2017</v>
      </c>
      <c r="P129" s="32" t="s">
        <v>1204</v>
      </c>
      <c r="Q129" s="31">
        <f>2051</f>
        <v>2051</v>
      </c>
      <c r="R129" s="32" t="s">
        <v>1078</v>
      </c>
      <c r="S129" s="33">
        <f>2056</f>
        <v>2056</v>
      </c>
      <c r="T129" s="30">
        <f>1625327</f>
        <v>1625327</v>
      </c>
      <c r="U129" s="30">
        <f>1300271</f>
        <v>1300271</v>
      </c>
      <c r="V129" s="30">
        <f>3328029529</f>
        <v>3328029529</v>
      </c>
      <c r="W129" s="30">
        <f>2662840180</f>
        <v>2662840180</v>
      </c>
      <c r="X129" s="34">
        <f>18</f>
        <v>18</v>
      </c>
    </row>
    <row r="130" spans="1:24">
      <c r="A130" s="25" t="s">
        <v>1203</v>
      </c>
      <c r="B130" s="25" t="s">
        <v>356</v>
      </c>
      <c r="C130" s="25" t="s">
        <v>900</v>
      </c>
      <c r="D130" s="25" t="s">
        <v>901</v>
      </c>
      <c r="E130" s="26" t="s">
        <v>43</v>
      </c>
      <c r="F130" s="27" t="s">
        <v>43</v>
      </c>
      <c r="G130" s="28" t="s">
        <v>43</v>
      </c>
      <c r="H130" s="29"/>
      <c r="I130" s="29" t="s">
        <v>44</v>
      </c>
      <c r="J130" s="30">
        <v>10</v>
      </c>
      <c r="K130" s="31">
        <f>3254</f>
        <v>3254</v>
      </c>
      <c r="L130" s="32" t="s">
        <v>1204</v>
      </c>
      <c r="M130" s="31">
        <f>3320</f>
        <v>3320</v>
      </c>
      <c r="N130" s="32" t="s">
        <v>1207</v>
      </c>
      <c r="O130" s="31">
        <f>3185</f>
        <v>3185</v>
      </c>
      <c r="P130" s="32" t="s">
        <v>1078</v>
      </c>
      <c r="Q130" s="31">
        <f>3185</f>
        <v>3185</v>
      </c>
      <c r="R130" s="32" t="s">
        <v>1078</v>
      </c>
      <c r="S130" s="33">
        <f>3273.73</f>
        <v>3273.73</v>
      </c>
      <c r="T130" s="30">
        <f>28520</f>
        <v>28520</v>
      </c>
      <c r="U130" s="30">
        <f>10</f>
        <v>10</v>
      </c>
      <c r="V130" s="30">
        <f>92416180</f>
        <v>92416180</v>
      </c>
      <c r="W130" s="30">
        <f>33170</f>
        <v>33170</v>
      </c>
      <c r="X130" s="34">
        <f>11</f>
        <v>11</v>
      </c>
    </row>
    <row r="131" spans="1:24">
      <c r="A131" s="25" t="s">
        <v>1203</v>
      </c>
      <c r="B131" s="25" t="s">
        <v>357</v>
      </c>
      <c r="C131" s="25" t="s">
        <v>902</v>
      </c>
      <c r="D131" s="25" t="s">
        <v>903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10</v>
      </c>
      <c r="K131" s="31">
        <f>3559</f>
        <v>3559</v>
      </c>
      <c r="L131" s="32" t="s">
        <v>1204</v>
      </c>
      <c r="M131" s="31">
        <f>3614</f>
        <v>3614</v>
      </c>
      <c r="N131" s="32" t="s">
        <v>1205</v>
      </c>
      <c r="O131" s="31">
        <f>3457</f>
        <v>3457</v>
      </c>
      <c r="P131" s="32" t="s">
        <v>1078</v>
      </c>
      <c r="Q131" s="31">
        <f>3472</f>
        <v>3472</v>
      </c>
      <c r="R131" s="32" t="s">
        <v>1078</v>
      </c>
      <c r="S131" s="33">
        <f>3549.81</f>
        <v>3549.81</v>
      </c>
      <c r="T131" s="30">
        <f>77160</f>
        <v>77160</v>
      </c>
      <c r="U131" s="30">
        <f>29010</f>
        <v>29010</v>
      </c>
      <c r="V131" s="30">
        <f>271174120</f>
        <v>271174120</v>
      </c>
      <c r="W131" s="30">
        <f>100725360</f>
        <v>100725360</v>
      </c>
      <c r="X131" s="34">
        <f>16</f>
        <v>16</v>
      </c>
    </row>
    <row r="132" spans="1:24">
      <c r="A132" s="25" t="s">
        <v>1203</v>
      </c>
      <c r="B132" s="25" t="s">
        <v>358</v>
      </c>
      <c r="C132" s="25" t="s">
        <v>904</v>
      </c>
      <c r="D132" s="25" t="s">
        <v>905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2206.5</f>
        <v>2206.5</v>
      </c>
      <c r="L132" s="32" t="s">
        <v>1204</v>
      </c>
      <c r="M132" s="31">
        <f>2315</f>
        <v>2315</v>
      </c>
      <c r="N132" s="32" t="s">
        <v>1080</v>
      </c>
      <c r="O132" s="31">
        <f>2169</f>
        <v>2169</v>
      </c>
      <c r="P132" s="32" t="s">
        <v>1212</v>
      </c>
      <c r="Q132" s="31">
        <f>2169</f>
        <v>2169</v>
      </c>
      <c r="R132" s="32" t="s">
        <v>1212</v>
      </c>
      <c r="S132" s="33">
        <f>2195</f>
        <v>2195</v>
      </c>
      <c r="T132" s="30">
        <f>44760</f>
        <v>44760</v>
      </c>
      <c r="U132" s="30" t="str">
        <f>"－"</f>
        <v>－</v>
      </c>
      <c r="V132" s="30">
        <f>97691105</f>
        <v>97691105</v>
      </c>
      <c r="W132" s="30" t="str">
        <f>"－"</f>
        <v>－</v>
      </c>
      <c r="X132" s="34">
        <f>5</f>
        <v>5</v>
      </c>
    </row>
    <row r="133" spans="1:24">
      <c r="A133" s="25" t="s">
        <v>1203</v>
      </c>
      <c r="B133" s="25" t="s">
        <v>359</v>
      </c>
      <c r="C133" s="25" t="s">
        <v>360</v>
      </c>
      <c r="D133" s="25" t="s">
        <v>361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667.7</f>
        <v>667.7</v>
      </c>
      <c r="L133" s="32" t="s">
        <v>1204</v>
      </c>
      <c r="M133" s="31">
        <f>676.9</f>
        <v>676.9</v>
      </c>
      <c r="N133" s="32" t="s">
        <v>1208</v>
      </c>
      <c r="O133" s="31">
        <f>628.1</f>
        <v>628.1</v>
      </c>
      <c r="P133" s="32" t="s">
        <v>1078</v>
      </c>
      <c r="Q133" s="31">
        <f>634.1</f>
        <v>634.1</v>
      </c>
      <c r="R133" s="32" t="s">
        <v>1078</v>
      </c>
      <c r="S133" s="33">
        <f>661.31</f>
        <v>661.31</v>
      </c>
      <c r="T133" s="30">
        <f>44711050</f>
        <v>44711050</v>
      </c>
      <c r="U133" s="30">
        <f>1542530</f>
        <v>1542530</v>
      </c>
      <c r="V133" s="30">
        <f>29330989541</f>
        <v>29330989541</v>
      </c>
      <c r="W133" s="30">
        <f>1013151539</f>
        <v>1013151539</v>
      </c>
      <c r="X133" s="34">
        <f>18</f>
        <v>18</v>
      </c>
    </row>
    <row r="134" spans="1:24">
      <c r="A134" s="25" t="s">
        <v>1203</v>
      </c>
      <c r="B134" s="25" t="s">
        <v>362</v>
      </c>
      <c r="C134" s="25" t="s">
        <v>363</v>
      </c>
      <c r="D134" s="25" t="s">
        <v>364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301.8</f>
        <v>301.8</v>
      </c>
      <c r="L134" s="32" t="s">
        <v>1204</v>
      </c>
      <c r="M134" s="31">
        <f>302.8</f>
        <v>302.8</v>
      </c>
      <c r="N134" s="32" t="s">
        <v>1204</v>
      </c>
      <c r="O134" s="31">
        <f>291.2</f>
        <v>291.2</v>
      </c>
      <c r="P134" s="32" t="s">
        <v>1076</v>
      </c>
      <c r="Q134" s="31">
        <f>297.9</f>
        <v>297.89999999999998</v>
      </c>
      <c r="R134" s="32" t="s">
        <v>1078</v>
      </c>
      <c r="S134" s="33">
        <f>296.65</f>
        <v>296.64999999999998</v>
      </c>
      <c r="T134" s="30">
        <f>7084080</f>
        <v>7084080</v>
      </c>
      <c r="U134" s="30">
        <f>4351480</f>
        <v>4351480</v>
      </c>
      <c r="V134" s="30">
        <f>2090769819</f>
        <v>2090769819</v>
      </c>
      <c r="W134" s="30">
        <f>1279689859</f>
        <v>1279689859</v>
      </c>
      <c r="X134" s="34">
        <f>18</f>
        <v>18</v>
      </c>
    </row>
    <row r="135" spans="1:24">
      <c r="A135" s="25" t="s">
        <v>1203</v>
      </c>
      <c r="B135" s="25" t="s">
        <v>365</v>
      </c>
      <c r="C135" s="25" t="s">
        <v>945</v>
      </c>
      <c r="D135" s="25" t="s">
        <v>366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</v>
      </c>
      <c r="K135" s="31">
        <f>5490</f>
        <v>5490</v>
      </c>
      <c r="L135" s="32" t="s">
        <v>1204</v>
      </c>
      <c r="M135" s="31">
        <f>5550</f>
        <v>5550</v>
      </c>
      <c r="N135" s="32" t="s">
        <v>1211</v>
      </c>
      <c r="O135" s="31">
        <f>5210</f>
        <v>5210</v>
      </c>
      <c r="P135" s="32" t="s">
        <v>1078</v>
      </c>
      <c r="Q135" s="31">
        <f>5270</f>
        <v>5270</v>
      </c>
      <c r="R135" s="32" t="s">
        <v>1078</v>
      </c>
      <c r="S135" s="33">
        <f>5450</f>
        <v>5450</v>
      </c>
      <c r="T135" s="30">
        <f>355254</f>
        <v>355254</v>
      </c>
      <c r="U135" s="30">
        <f>269276</f>
        <v>269276</v>
      </c>
      <c r="V135" s="30">
        <f>1930089670</f>
        <v>1930089670</v>
      </c>
      <c r="W135" s="30">
        <f>1462896880</f>
        <v>1462896880</v>
      </c>
      <c r="X135" s="34">
        <f>18</f>
        <v>18</v>
      </c>
    </row>
    <row r="136" spans="1:24">
      <c r="A136" s="25" t="s">
        <v>1203</v>
      </c>
      <c r="B136" s="25" t="s">
        <v>367</v>
      </c>
      <c r="C136" s="25" t="s">
        <v>368</v>
      </c>
      <c r="D136" s="25" t="s">
        <v>369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</v>
      </c>
      <c r="K136" s="31">
        <f>2757</f>
        <v>2757</v>
      </c>
      <c r="L136" s="32" t="s">
        <v>1204</v>
      </c>
      <c r="M136" s="31">
        <f>2846</f>
        <v>2846</v>
      </c>
      <c r="N136" s="32" t="s">
        <v>1207</v>
      </c>
      <c r="O136" s="31">
        <f>2698</f>
        <v>2698</v>
      </c>
      <c r="P136" s="32" t="s">
        <v>1078</v>
      </c>
      <c r="Q136" s="31">
        <f>2710</f>
        <v>2710</v>
      </c>
      <c r="R136" s="32" t="s">
        <v>1078</v>
      </c>
      <c r="S136" s="33">
        <f>2796.94</f>
        <v>2796.94</v>
      </c>
      <c r="T136" s="30">
        <f>114264</f>
        <v>114264</v>
      </c>
      <c r="U136" s="30">
        <f>42402</f>
        <v>42402</v>
      </c>
      <c r="V136" s="30">
        <f>316750459</f>
        <v>316750459</v>
      </c>
      <c r="W136" s="30">
        <f>117130681</f>
        <v>117130681</v>
      </c>
      <c r="X136" s="34">
        <f>18</f>
        <v>18</v>
      </c>
    </row>
    <row r="137" spans="1:24">
      <c r="A137" s="25" t="s">
        <v>1203</v>
      </c>
      <c r="B137" s="25" t="s">
        <v>370</v>
      </c>
      <c r="C137" s="25" t="s">
        <v>371</v>
      </c>
      <c r="D137" s="25" t="s">
        <v>372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3300</f>
        <v>3300</v>
      </c>
      <c r="L137" s="32" t="s">
        <v>1204</v>
      </c>
      <c r="M137" s="31">
        <f>3350</f>
        <v>3350</v>
      </c>
      <c r="N137" s="32" t="s">
        <v>1208</v>
      </c>
      <c r="O137" s="31">
        <f>3265</f>
        <v>3265</v>
      </c>
      <c r="P137" s="32" t="s">
        <v>738</v>
      </c>
      <c r="Q137" s="31">
        <f>3310</f>
        <v>3310</v>
      </c>
      <c r="R137" s="32" t="s">
        <v>1078</v>
      </c>
      <c r="S137" s="33">
        <f>3307.5</f>
        <v>3307.5</v>
      </c>
      <c r="T137" s="30">
        <f>196580</f>
        <v>196580</v>
      </c>
      <c r="U137" s="30">
        <f>20</f>
        <v>20</v>
      </c>
      <c r="V137" s="30">
        <f>650063395</f>
        <v>650063395</v>
      </c>
      <c r="W137" s="30">
        <f>65900</f>
        <v>65900</v>
      </c>
      <c r="X137" s="34">
        <f>18</f>
        <v>18</v>
      </c>
    </row>
    <row r="138" spans="1:24">
      <c r="A138" s="25" t="s">
        <v>1203</v>
      </c>
      <c r="B138" s="25" t="s">
        <v>373</v>
      </c>
      <c r="C138" s="25" t="s">
        <v>374</v>
      </c>
      <c r="D138" s="25" t="s">
        <v>375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9879</f>
        <v>9879</v>
      </c>
      <c r="L138" s="32" t="s">
        <v>1204</v>
      </c>
      <c r="M138" s="31">
        <f>9939</f>
        <v>9939</v>
      </c>
      <c r="N138" s="32" t="s">
        <v>1078</v>
      </c>
      <c r="O138" s="31">
        <f>9600</f>
        <v>9600</v>
      </c>
      <c r="P138" s="32" t="s">
        <v>738</v>
      </c>
      <c r="Q138" s="31">
        <f>9800</f>
        <v>9800</v>
      </c>
      <c r="R138" s="32" t="s">
        <v>1078</v>
      </c>
      <c r="S138" s="33">
        <f>9761.33</f>
        <v>9761.33</v>
      </c>
      <c r="T138" s="30">
        <f>53199</f>
        <v>53199</v>
      </c>
      <c r="U138" s="30">
        <f>1000</f>
        <v>1000</v>
      </c>
      <c r="V138" s="30">
        <f>520176091</f>
        <v>520176091</v>
      </c>
      <c r="W138" s="30">
        <f>9757700</f>
        <v>9757700</v>
      </c>
      <c r="X138" s="34">
        <f>18</f>
        <v>18</v>
      </c>
    </row>
    <row r="139" spans="1:24">
      <c r="A139" s="25" t="s">
        <v>1203</v>
      </c>
      <c r="B139" s="25" t="s">
        <v>376</v>
      </c>
      <c r="C139" s="25" t="s">
        <v>377</v>
      </c>
      <c r="D139" s="25" t="s">
        <v>378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3355</f>
        <v>3355</v>
      </c>
      <c r="L139" s="32" t="s">
        <v>1204</v>
      </c>
      <c r="M139" s="31">
        <f>3360</f>
        <v>3360</v>
      </c>
      <c r="N139" s="32" t="s">
        <v>1204</v>
      </c>
      <c r="O139" s="31">
        <f>3015</f>
        <v>3015</v>
      </c>
      <c r="P139" s="32" t="s">
        <v>1075</v>
      </c>
      <c r="Q139" s="31">
        <f>3085</f>
        <v>3085</v>
      </c>
      <c r="R139" s="32" t="s">
        <v>1078</v>
      </c>
      <c r="S139" s="33">
        <f>3197.5</f>
        <v>3197.5</v>
      </c>
      <c r="T139" s="30">
        <f>1750207</f>
        <v>1750207</v>
      </c>
      <c r="U139" s="30" t="str">
        <f t="shared" ref="U139:U144" si="0">"－"</f>
        <v>－</v>
      </c>
      <c r="V139" s="30">
        <f>5590105075</f>
        <v>5590105075</v>
      </c>
      <c r="W139" s="30" t="str">
        <f t="shared" ref="W139:W144" si="1">"－"</f>
        <v>－</v>
      </c>
      <c r="X139" s="34">
        <f>18</f>
        <v>18</v>
      </c>
    </row>
    <row r="140" spans="1:24">
      <c r="A140" s="25" t="s">
        <v>1203</v>
      </c>
      <c r="B140" s="25" t="s">
        <v>379</v>
      </c>
      <c r="C140" s="25" t="s">
        <v>380</v>
      </c>
      <c r="D140" s="25" t="s">
        <v>381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40500</f>
        <v>40500</v>
      </c>
      <c r="L140" s="32" t="s">
        <v>1204</v>
      </c>
      <c r="M140" s="31">
        <f>42940</f>
        <v>42940</v>
      </c>
      <c r="N140" s="32" t="s">
        <v>1080</v>
      </c>
      <c r="O140" s="31">
        <f>39920</f>
        <v>39920</v>
      </c>
      <c r="P140" s="32" t="s">
        <v>1078</v>
      </c>
      <c r="Q140" s="31">
        <f>40090</f>
        <v>40090</v>
      </c>
      <c r="R140" s="32" t="s">
        <v>1078</v>
      </c>
      <c r="S140" s="33">
        <f>40971.67</f>
        <v>40971.67</v>
      </c>
      <c r="T140" s="30">
        <f>13286</f>
        <v>13286</v>
      </c>
      <c r="U140" s="30" t="str">
        <f t="shared" si="0"/>
        <v>－</v>
      </c>
      <c r="V140" s="30">
        <f>544680380</f>
        <v>544680380</v>
      </c>
      <c r="W140" s="30" t="str">
        <f t="shared" si="1"/>
        <v>－</v>
      </c>
      <c r="X140" s="34">
        <f>18</f>
        <v>18</v>
      </c>
    </row>
    <row r="141" spans="1:24">
      <c r="A141" s="25" t="s">
        <v>1203</v>
      </c>
      <c r="B141" s="25" t="s">
        <v>382</v>
      </c>
      <c r="C141" s="25" t="s">
        <v>383</v>
      </c>
      <c r="D141" s="25" t="s">
        <v>384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10</v>
      </c>
      <c r="K141" s="31">
        <f>4468</f>
        <v>4468</v>
      </c>
      <c r="L141" s="32" t="s">
        <v>1204</v>
      </c>
      <c r="M141" s="31">
        <f>4619</f>
        <v>4619</v>
      </c>
      <c r="N141" s="32" t="s">
        <v>1080</v>
      </c>
      <c r="O141" s="31">
        <f>4270</f>
        <v>4270</v>
      </c>
      <c r="P141" s="32" t="s">
        <v>1078</v>
      </c>
      <c r="Q141" s="31">
        <f>4287</f>
        <v>4287</v>
      </c>
      <c r="R141" s="32" t="s">
        <v>1078</v>
      </c>
      <c r="S141" s="33">
        <f>4476.67</f>
        <v>4476.67</v>
      </c>
      <c r="T141" s="30">
        <f>88460</f>
        <v>88460</v>
      </c>
      <c r="U141" s="30" t="str">
        <f t="shared" si="0"/>
        <v>－</v>
      </c>
      <c r="V141" s="30">
        <f>394530580</f>
        <v>394530580</v>
      </c>
      <c r="W141" s="30" t="str">
        <f t="shared" si="1"/>
        <v>－</v>
      </c>
      <c r="X141" s="34">
        <f>18</f>
        <v>18</v>
      </c>
    </row>
    <row r="142" spans="1:24">
      <c r="A142" s="25" t="s">
        <v>1203</v>
      </c>
      <c r="B142" s="25" t="s">
        <v>385</v>
      </c>
      <c r="C142" s="25" t="s">
        <v>386</v>
      </c>
      <c r="D142" s="25" t="s">
        <v>387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13955</f>
        <v>13955</v>
      </c>
      <c r="L142" s="32" t="s">
        <v>1204</v>
      </c>
      <c r="M142" s="31">
        <f>14395</f>
        <v>14395</v>
      </c>
      <c r="N142" s="32" t="s">
        <v>1211</v>
      </c>
      <c r="O142" s="31">
        <f>13150</f>
        <v>13150</v>
      </c>
      <c r="P142" s="32" t="s">
        <v>1078</v>
      </c>
      <c r="Q142" s="31">
        <f>13335</f>
        <v>13335</v>
      </c>
      <c r="R142" s="32" t="s">
        <v>1078</v>
      </c>
      <c r="S142" s="33">
        <f>13690.83</f>
        <v>13690.83</v>
      </c>
      <c r="T142" s="30">
        <f>9089</f>
        <v>9089</v>
      </c>
      <c r="U142" s="30" t="str">
        <f t="shared" si="0"/>
        <v>－</v>
      </c>
      <c r="V142" s="30">
        <f>125186965</f>
        <v>125186965</v>
      </c>
      <c r="W142" s="30" t="str">
        <f t="shared" si="1"/>
        <v>－</v>
      </c>
      <c r="X142" s="34">
        <f>18</f>
        <v>18</v>
      </c>
    </row>
    <row r="143" spans="1:24">
      <c r="A143" s="25" t="s">
        <v>1203</v>
      </c>
      <c r="B143" s="25" t="s">
        <v>388</v>
      </c>
      <c r="C143" s="25" t="s">
        <v>389</v>
      </c>
      <c r="D143" s="25" t="s">
        <v>390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</v>
      </c>
      <c r="K143" s="31">
        <f>14985</f>
        <v>14985</v>
      </c>
      <c r="L143" s="32" t="s">
        <v>1204</v>
      </c>
      <c r="M143" s="31">
        <f>14985</f>
        <v>14985</v>
      </c>
      <c r="N143" s="32" t="s">
        <v>1204</v>
      </c>
      <c r="O143" s="31">
        <f>12620</f>
        <v>12620</v>
      </c>
      <c r="P143" s="32" t="s">
        <v>1078</v>
      </c>
      <c r="Q143" s="31">
        <f>12910</f>
        <v>12910</v>
      </c>
      <c r="R143" s="32" t="s">
        <v>1078</v>
      </c>
      <c r="S143" s="33">
        <f>13902.22</f>
        <v>13902.22</v>
      </c>
      <c r="T143" s="30">
        <f>20034</f>
        <v>20034</v>
      </c>
      <c r="U143" s="30" t="str">
        <f t="shared" si="0"/>
        <v>－</v>
      </c>
      <c r="V143" s="30">
        <f>276301255</f>
        <v>276301255</v>
      </c>
      <c r="W143" s="30" t="str">
        <f t="shared" si="1"/>
        <v>－</v>
      </c>
      <c r="X143" s="34">
        <f>18</f>
        <v>18</v>
      </c>
    </row>
    <row r="144" spans="1:24">
      <c r="A144" s="25" t="s">
        <v>1203</v>
      </c>
      <c r="B144" s="25" t="s">
        <v>391</v>
      </c>
      <c r="C144" s="25" t="s">
        <v>392</v>
      </c>
      <c r="D144" s="25" t="s">
        <v>393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25995</f>
        <v>25995</v>
      </c>
      <c r="L144" s="32" t="s">
        <v>1204</v>
      </c>
      <c r="M144" s="31">
        <f>26595</f>
        <v>26595</v>
      </c>
      <c r="N144" s="32" t="s">
        <v>1076</v>
      </c>
      <c r="O144" s="31">
        <f>25055</f>
        <v>25055</v>
      </c>
      <c r="P144" s="32" t="s">
        <v>1078</v>
      </c>
      <c r="Q144" s="31">
        <f>25055</f>
        <v>25055</v>
      </c>
      <c r="R144" s="32" t="s">
        <v>1078</v>
      </c>
      <c r="S144" s="33">
        <f>25980.63</f>
        <v>25980.63</v>
      </c>
      <c r="T144" s="30">
        <f>468</f>
        <v>468</v>
      </c>
      <c r="U144" s="30" t="str">
        <f t="shared" si="0"/>
        <v>－</v>
      </c>
      <c r="V144" s="30">
        <f>12148955</f>
        <v>12148955</v>
      </c>
      <c r="W144" s="30" t="str">
        <f t="shared" si="1"/>
        <v>－</v>
      </c>
      <c r="X144" s="34">
        <f>16</f>
        <v>16</v>
      </c>
    </row>
    <row r="145" spans="1:24">
      <c r="A145" s="25" t="s">
        <v>1203</v>
      </c>
      <c r="B145" s="25" t="s">
        <v>394</v>
      </c>
      <c r="C145" s="25" t="s">
        <v>395</v>
      </c>
      <c r="D145" s="25" t="s">
        <v>396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10</v>
      </c>
      <c r="K145" s="31">
        <f>55900</f>
        <v>55900</v>
      </c>
      <c r="L145" s="32" t="s">
        <v>1204</v>
      </c>
      <c r="M145" s="31">
        <f>56300</f>
        <v>56300</v>
      </c>
      <c r="N145" s="32" t="s">
        <v>1208</v>
      </c>
      <c r="O145" s="31">
        <f>54440</f>
        <v>54440</v>
      </c>
      <c r="P145" s="32" t="s">
        <v>1076</v>
      </c>
      <c r="Q145" s="31">
        <f>54740</f>
        <v>54740</v>
      </c>
      <c r="R145" s="32" t="s">
        <v>1078</v>
      </c>
      <c r="S145" s="33">
        <f>55308.33</f>
        <v>55308.33</v>
      </c>
      <c r="T145" s="30">
        <f>4310</f>
        <v>4310</v>
      </c>
      <c r="U145" s="30">
        <f>30</f>
        <v>30</v>
      </c>
      <c r="V145" s="30">
        <f>238898200</f>
        <v>238898200</v>
      </c>
      <c r="W145" s="30">
        <f>1669000</f>
        <v>1669000</v>
      </c>
      <c r="X145" s="34">
        <f>18</f>
        <v>18</v>
      </c>
    </row>
    <row r="146" spans="1:24">
      <c r="A146" s="25" t="s">
        <v>1203</v>
      </c>
      <c r="B146" s="25" t="s">
        <v>397</v>
      </c>
      <c r="C146" s="25" t="s">
        <v>946</v>
      </c>
      <c r="D146" s="25" t="s">
        <v>398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10</v>
      </c>
      <c r="K146" s="31">
        <f>346.5</f>
        <v>346.5</v>
      </c>
      <c r="L146" s="32" t="s">
        <v>1204</v>
      </c>
      <c r="M146" s="31">
        <f>349.9</f>
        <v>349.9</v>
      </c>
      <c r="N146" s="32" t="s">
        <v>1209</v>
      </c>
      <c r="O146" s="31">
        <f>315</f>
        <v>315</v>
      </c>
      <c r="P146" s="32" t="s">
        <v>1078</v>
      </c>
      <c r="Q146" s="31">
        <f>315.7</f>
        <v>315.7</v>
      </c>
      <c r="R146" s="32" t="s">
        <v>1078</v>
      </c>
      <c r="S146" s="33">
        <f>334.07</f>
        <v>334.07</v>
      </c>
      <c r="T146" s="30">
        <f>29381000</f>
        <v>29381000</v>
      </c>
      <c r="U146" s="30">
        <f>129390</f>
        <v>129390</v>
      </c>
      <c r="V146" s="30">
        <f>9788825155</f>
        <v>9788825155</v>
      </c>
      <c r="W146" s="30">
        <f>43585146</f>
        <v>43585146</v>
      </c>
      <c r="X146" s="34">
        <f>18</f>
        <v>18</v>
      </c>
    </row>
    <row r="147" spans="1:24">
      <c r="A147" s="25" t="s">
        <v>1203</v>
      </c>
      <c r="B147" s="25" t="s">
        <v>399</v>
      </c>
      <c r="C147" s="25" t="s">
        <v>947</v>
      </c>
      <c r="D147" s="25" t="s">
        <v>400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56160</f>
        <v>56160</v>
      </c>
      <c r="L147" s="32" t="s">
        <v>1204</v>
      </c>
      <c r="M147" s="31">
        <f>56980</f>
        <v>56980</v>
      </c>
      <c r="N147" s="32" t="s">
        <v>662</v>
      </c>
      <c r="O147" s="31">
        <f>53030</f>
        <v>53030</v>
      </c>
      <c r="P147" s="32" t="s">
        <v>1078</v>
      </c>
      <c r="Q147" s="31">
        <f>53030</f>
        <v>53030</v>
      </c>
      <c r="R147" s="32" t="s">
        <v>1078</v>
      </c>
      <c r="S147" s="33">
        <f>55138.67</f>
        <v>55138.67</v>
      </c>
      <c r="T147" s="30">
        <f>760</f>
        <v>760</v>
      </c>
      <c r="U147" s="30" t="str">
        <f>"－"</f>
        <v>－</v>
      </c>
      <c r="V147" s="30">
        <f>41447400</f>
        <v>41447400</v>
      </c>
      <c r="W147" s="30" t="str">
        <f>"－"</f>
        <v>－</v>
      </c>
      <c r="X147" s="34">
        <f>15</f>
        <v>15</v>
      </c>
    </row>
    <row r="148" spans="1:24">
      <c r="A148" s="25" t="s">
        <v>1203</v>
      </c>
      <c r="B148" s="25" t="s">
        <v>401</v>
      </c>
      <c r="C148" s="25" t="s">
        <v>402</v>
      </c>
      <c r="D148" s="25" t="s">
        <v>948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10</v>
      </c>
      <c r="K148" s="31">
        <f>6280</f>
        <v>6280</v>
      </c>
      <c r="L148" s="32" t="s">
        <v>1204</v>
      </c>
      <c r="M148" s="31">
        <f>6352</f>
        <v>6352</v>
      </c>
      <c r="N148" s="32" t="s">
        <v>1211</v>
      </c>
      <c r="O148" s="31">
        <f>5955</f>
        <v>5955</v>
      </c>
      <c r="P148" s="32" t="s">
        <v>1078</v>
      </c>
      <c r="Q148" s="31">
        <f>6002</f>
        <v>6002</v>
      </c>
      <c r="R148" s="32" t="s">
        <v>1078</v>
      </c>
      <c r="S148" s="33">
        <f>6218.39</f>
        <v>6218.39</v>
      </c>
      <c r="T148" s="30">
        <f>53990</f>
        <v>53990</v>
      </c>
      <c r="U148" s="30" t="str">
        <f>"－"</f>
        <v>－</v>
      </c>
      <c r="V148" s="30">
        <f>334364710</f>
        <v>334364710</v>
      </c>
      <c r="W148" s="30" t="str">
        <f>"－"</f>
        <v>－</v>
      </c>
      <c r="X148" s="34">
        <f>18</f>
        <v>18</v>
      </c>
    </row>
    <row r="149" spans="1:24">
      <c r="A149" s="25" t="s">
        <v>1203</v>
      </c>
      <c r="B149" s="25" t="s">
        <v>403</v>
      </c>
      <c r="C149" s="25" t="s">
        <v>949</v>
      </c>
      <c r="D149" s="25" t="s">
        <v>950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10</v>
      </c>
      <c r="K149" s="31">
        <f>2070.5</f>
        <v>2070.5</v>
      </c>
      <c r="L149" s="32" t="s">
        <v>1204</v>
      </c>
      <c r="M149" s="31">
        <f>2140</f>
        <v>2140</v>
      </c>
      <c r="N149" s="32" t="s">
        <v>1207</v>
      </c>
      <c r="O149" s="31">
        <f>2026</f>
        <v>2026</v>
      </c>
      <c r="P149" s="32" t="s">
        <v>1078</v>
      </c>
      <c r="Q149" s="31">
        <f>2038</f>
        <v>2038</v>
      </c>
      <c r="R149" s="32" t="s">
        <v>1078</v>
      </c>
      <c r="S149" s="33">
        <f>2096.92</f>
        <v>2096.92</v>
      </c>
      <c r="T149" s="30">
        <f>78620</f>
        <v>78620</v>
      </c>
      <c r="U149" s="30">
        <f>30</f>
        <v>30</v>
      </c>
      <c r="V149" s="30">
        <f>165599470</f>
        <v>165599470</v>
      </c>
      <c r="W149" s="30">
        <f>61530</f>
        <v>61530</v>
      </c>
      <c r="X149" s="34">
        <f>18</f>
        <v>18</v>
      </c>
    </row>
    <row r="150" spans="1:24">
      <c r="A150" s="25" t="s">
        <v>1203</v>
      </c>
      <c r="B150" s="25" t="s">
        <v>404</v>
      </c>
      <c r="C150" s="25" t="s">
        <v>405</v>
      </c>
      <c r="D150" s="25" t="s">
        <v>406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10</v>
      </c>
      <c r="K150" s="31">
        <f>1773.5</f>
        <v>1773.5</v>
      </c>
      <c r="L150" s="32" t="s">
        <v>1204</v>
      </c>
      <c r="M150" s="31">
        <f>1862</f>
        <v>1862</v>
      </c>
      <c r="N150" s="32" t="s">
        <v>1078</v>
      </c>
      <c r="O150" s="31">
        <f>1773.5</f>
        <v>1773.5</v>
      </c>
      <c r="P150" s="32" t="s">
        <v>1204</v>
      </c>
      <c r="Q150" s="31">
        <f>1799</f>
        <v>1799</v>
      </c>
      <c r="R150" s="32" t="s">
        <v>1078</v>
      </c>
      <c r="S150" s="33">
        <f>1811.11</f>
        <v>1811.11</v>
      </c>
      <c r="T150" s="30">
        <f>970</f>
        <v>970</v>
      </c>
      <c r="U150" s="30" t="str">
        <f t="shared" ref="U150:U163" si="2">"－"</f>
        <v>－</v>
      </c>
      <c r="V150" s="30">
        <f>1750590</f>
        <v>1750590</v>
      </c>
      <c r="W150" s="30" t="str">
        <f t="shared" ref="W150:W163" si="3">"－"</f>
        <v>－</v>
      </c>
      <c r="X150" s="34">
        <f>14</f>
        <v>14</v>
      </c>
    </row>
    <row r="151" spans="1:24">
      <c r="A151" s="25" t="s">
        <v>1203</v>
      </c>
      <c r="B151" s="25" t="s">
        <v>407</v>
      </c>
      <c r="C151" s="25" t="s">
        <v>408</v>
      </c>
      <c r="D151" s="25" t="s">
        <v>409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10</v>
      </c>
      <c r="K151" s="31">
        <f>560.6</f>
        <v>560.6</v>
      </c>
      <c r="L151" s="32" t="s">
        <v>1204</v>
      </c>
      <c r="M151" s="31">
        <f>601.1</f>
        <v>601.1</v>
      </c>
      <c r="N151" s="32" t="s">
        <v>1081</v>
      </c>
      <c r="O151" s="31">
        <f>550.8</f>
        <v>550.79999999999995</v>
      </c>
      <c r="P151" s="32" t="s">
        <v>738</v>
      </c>
      <c r="Q151" s="31">
        <f>569.3</f>
        <v>569.29999999999995</v>
      </c>
      <c r="R151" s="32" t="s">
        <v>1078</v>
      </c>
      <c r="S151" s="33">
        <f>574.82</f>
        <v>574.82000000000005</v>
      </c>
      <c r="T151" s="30">
        <f>38020</f>
        <v>38020</v>
      </c>
      <c r="U151" s="30" t="str">
        <f t="shared" si="2"/>
        <v>－</v>
      </c>
      <c r="V151" s="30">
        <f>21751678</f>
        <v>21751678</v>
      </c>
      <c r="W151" s="30" t="str">
        <f t="shared" si="3"/>
        <v>－</v>
      </c>
      <c r="X151" s="34">
        <f>18</f>
        <v>18</v>
      </c>
    </row>
    <row r="152" spans="1:24">
      <c r="A152" s="25" t="s">
        <v>1203</v>
      </c>
      <c r="B152" s="25" t="s">
        <v>410</v>
      </c>
      <c r="C152" s="25" t="s">
        <v>411</v>
      </c>
      <c r="D152" s="25" t="s">
        <v>412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2370.5</f>
        <v>2370.5</v>
      </c>
      <c r="L152" s="32" t="s">
        <v>1204</v>
      </c>
      <c r="M152" s="31">
        <f>2424</f>
        <v>2424</v>
      </c>
      <c r="N152" s="32" t="s">
        <v>738</v>
      </c>
      <c r="O152" s="31">
        <f>2260.5</f>
        <v>2260.5</v>
      </c>
      <c r="P152" s="32" t="s">
        <v>1210</v>
      </c>
      <c r="Q152" s="31">
        <f>2300</f>
        <v>2300</v>
      </c>
      <c r="R152" s="32" t="s">
        <v>1078</v>
      </c>
      <c r="S152" s="33">
        <f>2360.32</f>
        <v>2360.3200000000002</v>
      </c>
      <c r="T152" s="30">
        <f>1010</f>
        <v>1010</v>
      </c>
      <c r="U152" s="30" t="str">
        <f t="shared" si="2"/>
        <v>－</v>
      </c>
      <c r="V152" s="30">
        <f>2399810</f>
        <v>2399810</v>
      </c>
      <c r="W152" s="30" t="str">
        <f t="shared" si="3"/>
        <v>－</v>
      </c>
      <c r="X152" s="34">
        <f>17</f>
        <v>17</v>
      </c>
    </row>
    <row r="153" spans="1:24">
      <c r="A153" s="25" t="s">
        <v>1203</v>
      </c>
      <c r="B153" s="25" t="s">
        <v>413</v>
      </c>
      <c r="C153" s="25" t="s">
        <v>414</v>
      </c>
      <c r="D153" s="25" t="s">
        <v>415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982</f>
        <v>982</v>
      </c>
      <c r="L153" s="32" t="s">
        <v>1204</v>
      </c>
      <c r="M153" s="31">
        <f>1009.5</f>
        <v>1009.5</v>
      </c>
      <c r="N153" s="32" t="s">
        <v>1207</v>
      </c>
      <c r="O153" s="31">
        <f>937.7</f>
        <v>937.7</v>
      </c>
      <c r="P153" s="32" t="s">
        <v>1078</v>
      </c>
      <c r="Q153" s="31">
        <f>938.5</f>
        <v>938.5</v>
      </c>
      <c r="R153" s="32" t="s">
        <v>1078</v>
      </c>
      <c r="S153" s="33">
        <f>983.38</f>
        <v>983.38</v>
      </c>
      <c r="T153" s="30">
        <f>26690</f>
        <v>26690</v>
      </c>
      <c r="U153" s="30" t="str">
        <f t="shared" si="2"/>
        <v>－</v>
      </c>
      <c r="V153" s="30">
        <f>26263642</f>
        <v>26263642</v>
      </c>
      <c r="W153" s="30" t="str">
        <f t="shared" si="3"/>
        <v>－</v>
      </c>
      <c r="X153" s="34">
        <f>18</f>
        <v>18</v>
      </c>
    </row>
    <row r="154" spans="1:24">
      <c r="A154" s="25" t="s">
        <v>1203</v>
      </c>
      <c r="B154" s="25" t="s">
        <v>416</v>
      </c>
      <c r="C154" s="25" t="s">
        <v>417</v>
      </c>
      <c r="D154" s="25" t="s">
        <v>418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557.1</f>
        <v>557.1</v>
      </c>
      <c r="L154" s="32" t="s">
        <v>1204</v>
      </c>
      <c r="M154" s="31">
        <f>581.3</f>
        <v>581.29999999999995</v>
      </c>
      <c r="N154" s="32" t="s">
        <v>1209</v>
      </c>
      <c r="O154" s="31">
        <f>537.3</f>
        <v>537.29999999999995</v>
      </c>
      <c r="P154" s="32" t="s">
        <v>1078</v>
      </c>
      <c r="Q154" s="31">
        <f>539.6</f>
        <v>539.6</v>
      </c>
      <c r="R154" s="32" t="s">
        <v>1078</v>
      </c>
      <c r="S154" s="33">
        <f>563.93</f>
        <v>563.92999999999995</v>
      </c>
      <c r="T154" s="30">
        <f>102660</f>
        <v>102660</v>
      </c>
      <c r="U154" s="30" t="str">
        <f t="shared" si="2"/>
        <v>－</v>
      </c>
      <c r="V154" s="30">
        <f>57287530</f>
        <v>57287530</v>
      </c>
      <c r="W154" s="30" t="str">
        <f t="shared" si="3"/>
        <v>－</v>
      </c>
      <c r="X154" s="34">
        <f>18</f>
        <v>18</v>
      </c>
    </row>
    <row r="155" spans="1:24">
      <c r="A155" s="25" t="s">
        <v>1203</v>
      </c>
      <c r="B155" s="25" t="s">
        <v>419</v>
      </c>
      <c r="C155" s="25" t="s">
        <v>420</v>
      </c>
      <c r="D155" s="25" t="s">
        <v>421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</v>
      </c>
      <c r="K155" s="31">
        <f>1313</f>
        <v>1313</v>
      </c>
      <c r="L155" s="32" t="s">
        <v>1204</v>
      </c>
      <c r="M155" s="31">
        <f>1636</f>
        <v>1636</v>
      </c>
      <c r="N155" s="32" t="s">
        <v>1081</v>
      </c>
      <c r="O155" s="31">
        <f>1242</f>
        <v>1242</v>
      </c>
      <c r="P155" s="32" t="s">
        <v>1209</v>
      </c>
      <c r="Q155" s="31">
        <f>1486</f>
        <v>1486</v>
      </c>
      <c r="R155" s="32" t="s">
        <v>1078</v>
      </c>
      <c r="S155" s="33">
        <f>1419.44</f>
        <v>1419.44</v>
      </c>
      <c r="T155" s="30">
        <f>757222</f>
        <v>757222</v>
      </c>
      <c r="U155" s="30" t="str">
        <f t="shared" si="2"/>
        <v>－</v>
      </c>
      <c r="V155" s="30">
        <f>1104792005</f>
        <v>1104792005</v>
      </c>
      <c r="W155" s="30" t="str">
        <f t="shared" si="3"/>
        <v>－</v>
      </c>
      <c r="X155" s="34">
        <f>18</f>
        <v>18</v>
      </c>
    </row>
    <row r="156" spans="1:24">
      <c r="A156" s="25" t="s">
        <v>1203</v>
      </c>
      <c r="B156" s="25" t="s">
        <v>422</v>
      </c>
      <c r="C156" s="25" t="s">
        <v>423</v>
      </c>
      <c r="D156" s="25" t="s">
        <v>424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1588.5</f>
        <v>1588.5</v>
      </c>
      <c r="L156" s="32" t="s">
        <v>1204</v>
      </c>
      <c r="M156" s="31">
        <f>1620</f>
        <v>1620</v>
      </c>
      <c r="N156" s="32" t="s">
        <v>1208</v>
      </c>
      <c r="O156" s="31">
        <f>1444.5</f>
        <v>1444.5</v>
      </c>
      <c r="P156" s="32" t="s">
        <v>1075</v>
      </c>
      <c r="Q156" s="31">
        <f>1480.5</f>
        <v>1480.5</v>
      </c>
      <c r="R156" s="32" t="s">
        <v>1078</v>
      </c>
      <c r="S156" s="33">
        <f>1526.12</f>
        <v>1526.12</v>
      </c>
      <c r="T156" s="30">
        <f>12210</f>
        <v>12210</v>
      </c>
      <c r="U156" s="30" t="str">
        <f t="shared" si="2"/>
        <v>－</v>
      </c>
      <c r="V156" s="30">
        <f>18398890</f>
        <v>18398890</v>
      </c>
      <c r="W156" s="30" t="str">
        <f t="shared" si="3"/>
        <v>－</v>
      </c>
      <c r="X156" s="34">
        <f>17</f>
        <v>17</v>
      </c>
    </row>
    <row r="157" spans="1:24">
      <c r="A157" s="25" t="s">
        <v>1203</v>
      </c>
      <c r="B157" s="25" t="s">
        <v>425</v>
      </c>
      <c r="C157" s="25" t="s">
        <v>426</v>
      </c>
      <c r="D157" s="25" t="s">
        <v>427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8615</f>
        <v>8615</v>
      </c>
      <c r="L157" s="32" t="s">
        <v>1204</v>
      </c>
      <c r="M157" s="31">
        <f>8630</f>
        <v>8630</v>
      </c>
      <c r="N157" s="32" t="s">
        <v>1204</v>
      </c>
      <c r="O157" s="31">
        <f>7665</f>
        <v>7665</v>
      </c>
      <c r="P157" s="32" t="s">
        <v>1075</v>
      </c>
      <c r="Q157" s="31">
        <f>8168</f>
        <v>8168</v>
      </c>
      <c r="R157" s="32" t="s">
        <v>1078</v>
      </c>
      <c r="S157" s="33">
        <f>8226.67</f>
        <v>8226.67</v>
      </c>
      <c r="T157" s="30">
        <f>5150</f>
        <v>5150</v>
      </c>
      <c r="U157" s="30" t="str">
        <f t="shared" si="2"/>
        <v>－</v>
      </c>
      <c r="V157" s="30">
        <f>42469396</f>
        <v>42469396</v>
      </c>
      <c r="W157" s="30" t="str">
        <f t="shared" si="3"/>
        <v>－</v>
      </c>
      <c r="X157" s="34">
        <f>18</f>
        <v>18</v>
      </c>
    </row>
    <row r="158" spans="1:24">
      <c r="A158" s="25" t="s">
        <v>1203</v>
      </c>
      <c r="B158" s="25" t="s">
        <v>428</v>
      </c>
      <c r="C158" s="25" t="s">
        <v>429</v>
      </c>
      <c r="D158" s="25" t="s">
        <v>430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100</v>
      </c>
      <c r="K158" s="31">
        <f>541.4</f>
        <v>541.4</v>
      </c>
      <c r="L158" s="32" t="s">
        <v>1204</v>
      </c>
      <c r="M158" s="31">
        <f>544.8</f>
        <v>544.79999999999995</v>
      </c>
      <c r="N158" s="32" t="s">
        <v>1204</v>
      </c>
      <c r="O158" s="31">
        <f>503.9</f>
        <v>503.9</v>
      </c>
      <c r="P158" s="32" t="s">
        <v>1075</v>
      </c>
      <c r="Q158" s="31">
        <f>504.2</f>
        <v>504.2</v>
      </c>
      <c r="R158" s="32" t="s">
        <v>1078</v>
      </c>
      <c r="S158" s="33">
        <f>521.69</f>
        <v>521.69000000000005</v>
      </c>
      <c r="T158" s="30">
        <f>33300</f>
        <v>33300</v>
      </c>
      <c r="U158" s="30" t="str">
        <f t="shared" si="2"/>
        <v>－</v>
      </c>
      <c r="V158" s="30">
        <f>17324480</f>
        <v>17324480</v>
      </c>
      <c r="W158" s="30" t="str">
        <f t="shared" si="3"/>
        <v>－</v>
      </c>
      <c r="X158" s="34">
        <f>16</f>
        <v>16</v>
      </c>
    </row>
    <row r="159" spans="1:24">
      <c r="A159" s="25" t="s">
        <v>1203</v>
      </c>
      <c r="B159" s="25" t="s">
        <v>431</v>
      </c>
      <c r="C159" s="25" t="s">
        <v>432</v>
      </c>
      <c r="D159" s="25" t="s">
        <v>433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10</v>
      </c>
      <c r="K159" s="31">
        <f>5929</f>
        <v>5929</v>
      </c>
      <c r="L159" s="32" t="s">
        <v>1204</v>
      </c>
      <c r="M159" s="31">
        <f>6633</f>
        <v>6633</v>
      </c>
      <c r="N159" s="32" t="s">
        <v>1080</v>
      </c>
      <c r="O159" s="31">
        <f>5876</f>
        <v>5876</v>
      </c>
      <c r="P159" s="32" t="s">
        <v>1204</v>
      </c>
      <c r="Q159" s="31">
        <f>6114</f>
        <v>6114</v>
      </c>
      <c r="R159" s="32" t="s">
        <v>1078</v>
      </c>
      <c r="S159" s="33">
        <f>6226.22</f>
        <v>6226.22</v>
      </c>
      <c r="T159" s="30">
        <f>56620</f>
        <v>56620</v>
      </c>
      <c r="U159" s="30" t="str">
        <f t="shared" si="2"/>
        <v>－</v>
      </c>
      <c r="V159" s="30">
        <f>354082000</f>
        <v>354082000</v>
      </c>
      <c r="W159" s="30" t="str">
        <f t="shared" si="3"/>
        <v>－</v>
      </c>
      <c r="X159" s="34">
        <f>18</f>
        <v>18</v>
      </c>
    </row>
    <row r="160" spans="1:24">
      <c r="A160" s="25" t="s">
        <v>1203</v>
      </c>
      <c r="B160" s="25" t="s">
        <v>434</v>
      </c>
      <c r="C160" s="25" t="s">
        <v>435</v>
      </c>
      <c r="D160" s="25" t="s">
        <v>436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</v>
      </c>
      <c r="K160" s="31">
        <f>2140.5</f>
        <v>2140.5</v>
      </c>
      <c r="L160" s="32" t="s">
        <v>1204</v>
      </c>
      <c r="M160" s="31">
        <f>2200</f>
        <v>2200</v>
      </c>
      <c r="N160" s="32" t="s">
        <v>1208</v>
      </c>
      <c r="O160" s="31">
        <f>2073</f>
        <v>2073</v>
      </c>
      <c r="P160" s="32" t="s">
        <v>1075</v>
      </c>
      <c r="Q160" s="31">
        <f>2104.5</f>
        <v>2104.5</v>
      </c>
      <c r="R160" s="32" t="s">
        <v>1078</v>
      </c>
      <c r="S160" s="33">
        <f>2126.75</f>
        <v>2126.75</v>
      </c>
      <c r="T160" s="30">
        <f>8880</f>
        <v>8880</v>
      </c>
      <c r="U160" s="30" t="str">
        <f t="shared" si="2"/>
        <v>－</v>
      </c>
      <c r="V160" s="30">
        <f>18860725</f>
        <v>18860725</v>
      </c>
      <c r="W160" s="30" t="str">
        <f t="shared" si="3"/>
        <v>－</v>
      </c>
      <c r="X160" s="34">
        <f>18</f>
        <v>18</v>
      </c>
    </row>
    <row r="161" spans="1:24">
      <c r="A161" s="25" t="s">
        <v>1203</v>
      </c>
      <c r="B161" s="25" t="s">
        <v>437</v>
      </c>
      <c r="C161" s="25" t="s">
        <v>438</v>
      </c>
      <c r="D161" s="25" t="s">
        <v>439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</v>
      </c>
      <c r="K161" s="31">
        <f>3295</f>
        <v>3295</v>
      </c>
      <c r="L161" s="32" t="s">
        <v>1204</v>
      </c>
      <c r="M161" s="31">
        <f>3485</f>
        <v>3485</v>
      </c>
      <c r="N161" s="32" t="s">
        <v>1207</v>
      </c>
      <c r="O161" s="31">
        <f>3105</f>
        <v>3105</v>
      </c>
      <c r="P161" s="32" t="s">
        <v>1078</v>
      </c>
      <c r="Q161" s="31">
        <f>3130</f>
        <v>3130</v>
      </c>
      <c r="R161" s="32" t="s">
        <v>1078</v>
      </c>
      <c r="S161" s="33">
        <f>3326.67</f>
        <v>3326.67</v>
      </c>
      <c r="T161" s="30">
        <f>195235</f>
        <v>195235</v>
      </c>
      <c r="U161" s="30" t="str">
        <f t="shared" si="2"/>
        <v>－</v>
      </c>
      <c r="V161" s="30">
        <f>645868675</f>
        <v>645868675</v>
      </c>
      <c r="W161" s="30" t="str">
        <f t="shared" si="3"/>
        <v>－</v>
      </c>
      <c r="X161" s="34">
        <f>18</f>
        <v>18</v>
      </c>
    </row>
    <row r="162" spans="1:24">
      <c r="A162" s="25" t="s">
        <v>1203</v>
      </c>
      <c r="B162" s="25" t="s">
        <v>440</v>
      </c>
      <c r="C162" s="25" t="s">
        <v>441</v>
      </c>
      <c r="D162" s="25" t="s">
        <v>442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</v>
      </c>
      <c r="K162" s="31">
        <f>3465</f>
        <v>3465</v>
      </c>
      <c r="L162" s="32" t="s">
        <v>1204</v>
      </c>
      <c r="M162" s="31">
        <f>3535</f>
        <v>3535</v>
      </c>
      <c r="N162" s="32" t="s">
        <v>1207</v>
      </c>
      <c r="O162" s="31">
        <f>3240</f>
        <v>3240</v>
      </c>
      <c r="P162" s="32" t="s">
        <v>1078</v>
      </c>
      <c r="Q162" s="31">
        <f>3265</f>
        <v>3265</v>
      </c>
      <c r="R162" s="32" t="s">
        <v>1078</v>
      </c>
      <c r="S162" s="33">
        <f>3441.11</f>
        <v>3441.11</v>
      </c>
      <c r="T162" s="30">
        <f>23392</f>
        <v>23392</v>
      </c>
      <c r="U162" s="30" t="str">
        <f t="shared" si="2"/>
        <v>－</v>
      </c>
      <c r="V162" s="30">
        <f>80309230</f>
        <v>80309230</v>
      </c>
      <c r="W162" s="30" t="str">
        <f t="shared" si="3"/>
        <v>－</v>
      </c>
      <c r="X162" s="34">
        <f>18</f>
        <v>18</v>
      </c>
    </row>
    <row r="163" spans="1:24">
      <c r="A163" s="25" t="s">
        <v>1203</v>
      </c>
      <c r="B163" s="25" t="s">
        <v>443</v>
      </c>
      <c r="C163" s="25" t="s">
        <v>444</v>
      </c>
      <c r="D163" s="25" t="s">
        <v>445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10</v>
      </c>
      <c r="K163" s="31">
        <f>3986</f>
        <v>3986</v>
      </c>
      <c r="L163" s="32" t="s">
        <v>1204</v>
      </c>
      <c r="M163" s="31">
        <f>4074</f>
        <v>4074</v>
      </c>
      <c r="N163" s="32" t="s">
        <v>1209</v>
      </c>
      <c r="O163" s="31">
        <f>3750</f>
        <v>3750</v>
      </c>
      <c r="P163" s="32" t="s">
        <v>1075</v>
      </c>
      <c r="Q163" s="31">
        <f>3790</f>
        <v>3790</v>
      </c>
      <c r="R163" s="32" t="s">
        <v>1078</v>
      </c>
      <c r="S163" s="33">
        <f>3893.44</f>
        <v>3893.44</v>
      </c>
      <c r="T163" s="30">
        <f>12760</f>
        <v>12760</v>
      </c>
      <c r="U163" s="30" t="str">
        <f t="shared" si="2"/>
        <v>－</v>
      </c>
      <c r="V163" s="30">
        <f>49522820</f>
        <v>49522820</v>
      </c>
      <c r="W163" s="30" t="str">
        <f t="shared" si="3"/>
        <v>－</v>
      </c>
      <c r="X163" s="34">
        <f>18</f>
        <v>18</v>
      </c>
    </row>
    <row r="164" spans="1:24">
      <c r="A164" s="25" t="s">
        <v>1203</v>
      </c>
      <c r="B164" s="25" t="s">
        <v>446</v>
      </c>
      <c r="C164" s="25" t="s">
        <v>447</v>
      </c>
      <c r="D164" s="25" t="s">
        <v>951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10</v>
      </c>
      <c r="K164" s="31">
        <f>2977</f>
        <v>2977</v>
      </c>
      <c r="L164" s="32" t="s">
        <v>1204</v>
      </c>
      <c r="M164" s="31">
        <f>3025</f>
        <v>3025</v>
      </c>
      <c r="N164" s="32" t="s">
        <v>1207</v>
      </c>
      <c r="O164" s="31">
        <f>2937</f>
        <v>2937</v>
      </c>
      <c r="P164" s="32" t="s">
        <v>1079</v>
      </c>
      <c r="Q164" s="31">
        <f>3020</f>
        <v>3020</v>
      </c>
      <c r="R164" s="32" t="s">
        <v>1078</v>
      </c>
      <c r="S164" s="33">
        <f>2986.53</f>
        <v>2986.53</v>
      </c>
      <c r="T164" s="30">
        <f>448100</f>
        <v>448100</v>
      </c>
      <c r="U164" s="30">
        <f>247790</f>
        <v>247790</v>
      </c>
      <c r="V164" s="30">
        <f>1338973288</f>
        <v>1338973288</v>
      </c>
      <c r="W164" s="30">
        <f>741521283</f>
        <v>741521283</v>
      </c>
      <c r="X164" s="34">
        <f>18</f>
        <v>18</v>
      </c>
    </row>
    <row r="165" spans="1:24">
      <c r="A165" s="25" t="s">
        <v>1203</v>
      </c>
      <c r="B165" s="25" t="s">
        <v>448</v>
      </c>
      <c r="C165" s="25" t="s">
        <v>952</v>
      </c>
      <c r="D165" s="25" t="s">
        <v>953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435.5</f>
        <v>435.5</v>
      </c>
      <c r="L165" s="32" t="s">
        <v>1204</v>
      </c>
      <c r="M165" s="31">
        <f>435.8</f>
        <v>435.8</v>
      </c>
      <c r="N165" s="32" t="s">
        <v>1204</v>
      </c>
      <c r="O165" s="31">
        <f>398.6</f>
        <v>398.6</v>
      </c>
      <c r="P165" s="32" t="s">
        <v>1075</v>
      </c>
      <c r="Q165" s="31">
        <f>406.4</f>
        <v>406.4</v>
      </c>
      <c r="R165" s="32" t="s">
        <v>1078</v>
      </c>
      <c r="S165" s="33">
        <f>420.39</f>
        <v>420.39</v>
      </c>
      <c r="T165" s="30">
        <f>4644380</f>
        <v>4644380</v>
      </c>
      <c r="U165" s="30">
        <f>5000</f>
        <v>5000</v>
      </c>
      <c r="V165" s="30">
        <f>1944433984</f>
        <v>1944433984</v>
      </c>
      <c r="W165" s="30">
        <f>2120500</f>
        <v>2120500</v>
      </c>
      <c r="X165" s="34">
        <f>18</f>
        <v>18</v>
      </c>
    </row>
    <row r="166" spans="1:24">
      <c r="A166" s="25" t="s">
        <v>1203</v>
      </c>
      <c r="B166" s="25" t="s">
        <v>1088</v>
      </c>
      <c r="C166" s="25" t="s">
        <v>1087</v>
      </c>
      <c r="D166" s="25" t="s">
        <v>1086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2020</f>
        <v>2020</v>
      </c>
      <c r="L166" s="32" t="s">
        <v>1204</v>
      </c>
      <c r="M166" s="31">
        <f>2030</f>
        <v>2030</v>
      </c>
      <c r="N166" s="32" t="s">
        <v>1207</v>
      </c>
      <c r="O166" s="31">
        <f>1960</f>
        <v>1960</v>
      </c>
      <c r="P166" s="32" t="s">
        <v>1078</v>
      </c>
      <c r="Q166" s="31">
        <f>1969</f>
        <v>1969</v>
      </c>
      <c r="R166" s="32" t="s">
        <v>1078</v>
      </c>
      <c r="S166" s="33">
        <f>1998.94</f>
        <v>1998.94</v>
      </c>
      <c r="T166" s="30">
        <f>3153</f>
        <v>3153</v>
      </c>
      <c r="U166" s="30" t="str">
        <f>"－"</f>
        <v>－</v>
      </c>
      <c r="V166" s="30">
        <f>6299835</f>
        <v>6299835</v>
      </c>
      <c r="W166" s="30" t="str">
        <f>"－"</f>
        <v>－</v>
      </c>
      <c r="X166" s="34">
        <f>18</f>
        <v>18</v>
      </c>
    </row>
    <row r="167" spans="1:24">
      <c r="A167" s="25" t="s">
        <v>1203</v>
      </c>
      <c r="B167" s="25" t="s">
        <v>1098</v>
      </c>
      <c r="C167" s="25" t="s">
        <v>1099</v>
      </c>
      <c r="D167" s="25" t="s">
        <v>1100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</v>
      </c>
      <c r="K167" s="31">
        <f>1192</f>
        <v>1192</v>
      </c>
      <c r="L167" s="32" t="s">
        <v>1204</v>
      </c>
      <c r="M167" s="31">
        <f>1244</f>
        <v>1244</v>
      </c>
      <c r="N167" s="32" t="s">
        <v>1080</v>
      </c>
      <c r="O167" s="31">
        <f>1130</f>
        <v>1130</v>
      </c>
      <c r="P167" s="32" t="s">
        <v>1078</v>
      </c>
      <c r="Q167" s="31">
        <f>1140</f>
        <v>1140</v>
      </c>
      <c r="R167" s="32" t="s">
        <v>1078</v>
      </c>
      <c r="S167" s="33">
        <f>1208.56</f>
        <v>1208.56</v>
      </c>
      <c r="T167" s="30">
        <f>1135806</f>
        <v>1135806</v>
      </c>
      <c r="U167" s="30">
        <f>1</f>
        <v>1</v>
      </c>
      <c r="V167" s="30">
        <f>1362452133</f>
        <v>1362452133</v>
      </c>
      <c r="W167" s="30">
        <f>1201</f>
        <v>1201</v>
      </c>
      <c r="X167" s="34">
        <f>18</f>
        <v>18</v>
      </c>
    </row>
    <row r="168" spans="1:24">
      <c r="A168" s="25" t="s">
        <v>1203</v>
      </c>
      <c r="B168" s="25" t="s">
        <v>1101</v>
      </c>
      <c r="C168" s="25" t="s">
        <v>1102</v>
      </c>
      <c r="D168" s="25" t="s">
        <v>1103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10</v>
      </c>
      <c r="K168" s="31">
        <f>276.4</f>
        <v>276.39999999999998</v>
      </c>
      <c r="L168" s="32" t="s">
        <v>1204</v>
      </c>
      <c r="M168" s="31">
        <f>285.7</f>
        <v>285.7</v>
      </c>
      <c r="N168" s="32" t="s">
        <v>1078</v>
      </c>
      <c r="O168" s="31">
        <f>273.3</f>
        <v>273.3</v>
      </c>
      <c r="P168" s="32" t="s">
        <v>1081</v>
      </c>
      <c r="Q168" s="31">
        <f>285.6</f>
        <v>285.60000000000002</v>
      </c>
      <c r="R168" s="32" t="s">
        <v>1078</v>
      </c>
      <c r="S168" s="33">
        <f>278.64</f>
        <v>278.64</v>
      </c>
      <c r="T168" s="30">
        <f>3525930</f>
        <v>3525930</v>
      </c>
      <c r="U168" s="30" t="str">
        <f>"－"</f>
        <v>－</v>
      </c>
      <c r="V168" s="30">
        <f>990874597</f>
        <v>990874597</v>
      </c>
      <c r="W168" s="30" t="str">
        <f>"－"</f>
        <v>－</v>
      </c>
      <c r="X168" s="34">
        <f>18</f>
        <v>18</v>
      </c>
    </row>
    <row r="169" spans="1:24">
      <c r="A169" s="25" t="s">
        <v>1203</v>
      </c>
      <c r="B169" s="25" t="s">
        <v>1104</v>
      </c>
      <c r="C169" s="25" t="s">
        <v>1105</v>
      </c>
      <c r="D169" s="25" t="s">
        <v>1106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10</v>
      </c>
      <c r="K169" s="31">
        <f>296.6</f>
        <v>296.60000000000002</v>
      </c>
      <c r="L169" s="32" t="s">
        <v>1204</v>
      </c>
      <c r="M169" s="31">
        <f>302.7</f>
        <v>302.7</v>
      </c>
      <c r="N169" s="32" t="s">
        <v>1212</v>
      </c>
      <c r="O169" s="31">
        <f>284.2</f>
        <v>284.2</v>
      </c>
      <c r="P169" s="32" t="s">
        <v>1076</v>
      </c>
      <c r="Q169" s="31">
        <f>297.1</f>
        <v>297.10000000000002</v>
      </c>
      <c r="R169" s="32" t="s">
        <v>1078</v>
      </c>
      <c r="S169" s="33">
        <f>294.01</f>
        <v>294.01</v>
      </c>
      <c r="T169" s="30">
        <f>993970</f>
        <v>993970</v>
      </c>
      <c r="U169" s="30" t="str">
        <f>"－"</f>
        <v>－</v>
      </c>
      <c r="V169" s="30">
        <f>290904388</f>
        <v>290904388</v>
      </c>
      <c r="W169" s="30" t="str">
        <f>"－"</f>
        <v>－</v>
      </c>
      <c r="X169" s="34">
        <f>18</f>
        <v>18</v>
      </c>
    </row>
    <row r="170" spans="1:24">
      <c r="A170" s="25" t="s">
        <v>1203</v>
      </c>
      <c r="B170" s="25" t="s">
        <v>1107</v>
      </c>
      <c r="C170" s="25" t="s">
        <v>1108</v>
      </c>
      <c r="D170" s="25" t="s">
        <v>1109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518.9</f>
        <v>518.9</v>
      </c>
      <c r="L170" s="32" t="s">
        <v>1204</v>
      </c>
      <c r="M170" s="31">
        <f>518.9</f>
        <v>518.9</v>
      </c>
      <c r="N170" s="32" t="s">
        <v>1204</v>
      </c>
      <c r="O170" s="31">
        <f>494.5</f>
        <v>494.5</v>
      </c>
      <c r="P170" s="32" t="s">
        <v>1075</v>
      </c>
      <c r="Q170" s="31">
        <f>494.5</f>
        <v>494.5</v>
      </c>
      <c r="R170" s="32" t="s">
        <v>1078</v>
      </c>
      <c r="S170" s="33">
        <f>501.82</f>
        <v>501.82</v>
      </c>
      <c r="T170" s="30">
        <f>805450</f>
        <v>805450</v>
      </c>
      <c r="U170" s="30">
        <f>800000</f>
        <v>800000</v>
      </c>
      <c r="V170" s="30">
        <f>398650542</f>
        <v>398650542</v>
      </c>
      <c r="W170" s="30">
        <f>395905920</f>
        <v>395905920</v>
      </c>
      <c r="X170" s="34">
        <f>13</f>
        <v>13</v>
      </c>
    </row>
    <row r="171" spans="1:24">
      <c r="A171" s="25" t="s">
        <v>1203</v>
      </c>
      <c r="B171" s="25" t="s">
        <v>1110</v>
      </c>
      <c r="C171" s="25" t="s">
        <v>1111</v>
      </c>
      <c r="D171" s="25" t="s">
        <v>1112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514.5</f>
        <v>514.5</v>
      </c>
      <c r="L171" s="32" t="s">
        <v>1204</v>
      </c>
      <c r="M171" s="31">
        <f>571.4</f>
        <v>571.4</v>
      </c>
      <c r="N171" s="32" t="s">
        <v>1210</v>
      </c>
      <c r="O171" s="31">
        <f>488.9</f>
        <v>488.9</v>
      </c>
      <c r="P171" s="32" t="s">
        <v>1076</v>
      </c>
      <c r="Q171" s="31">
        <f>505</f>
        <v>505</v>
      </c>
      <c r="R171" s="32" t="s">
        <v>1078</v>
      </c>
      <c r="S171" s="33">
        <f>499.66</f>
        <v>499.66</v>
      </c>
      <c r="T171" s="30">
        <f>34420</f>
        <v>34420</v>
      </c>
      <c r="U171" s="30" t="str">
        <f>"－"</f>
        <v>－</v>
      </c>
      <c r="V171" s="30">
        <f>17597428</f>
        <v>17597428</v>
      </c>
      <c r="W171" s="30" t="str">
        <f>"－"</f>
        <v>－</v>
      </c>
      <c r="X171" s="34">
        <f>18</f>
        <v>18</v>
      </c>
    </row>
    <row r="172" spans="1:24">
      <c r="A172" s="25" t="s">
        <v>1203</v>
      </c>
      <c r="B172" s="25" t="s">
        <v>1113</v>
      </c>
      <c r="C172" s="25" t="s">
        <v>1114</v>
      </c>
      <c r="D172" s="25" t="s">
        <v>1115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489.6</f>
        <v>489.6</v>
      </c>
      <c r="L172" s="32" t="s">
        <v>1204</v>
      </c>
      <c r="M172" s="31">
        <f>534</f>
        <v>534</v>
      </c>
      <c r="N172" s="32" t="s">
        <v>1075</v>
      </c>
      <c r="O172" s="31">
        <f>477</f>
        <v>477</v>
      </c>
      <c r="P172" s="32" t="s">
        <v>1204</v>
      </c>
      <c r="Q172" s="31">
        <f>499.9</f>
        <v>499.9</v>
      </c>
      <c r="R172" s="32" t="s">
        <v>1078</v>
      </c>
      <c r="S172" s="33">
        <f>487.68</f>
        <v>487.68</v>
      </c>
      <c r="T172" s="30">
        <f>39110</f>
        <v>39110</v>
      </c>
      <c r="U172" s="30">
        <f>20</f>
        <v>20</v>
      </c>
      <c r="V172" s="30">
        <f>19554247</f>
        <v>19554247</v>
      </c>
      <c r="W172" s="30">
        <f>9658</f>
        <v>9658</v>
      </c>
      <c r="X172" s="34">
        <f>15</f>
        <v>15</v>
      </c>
    </row>
    <row r="173" spans="1:24">
      <c r="A173" s="25" t="s">
        <v>1203</v>
      </c>
      <c r="B173" s="25" t="s">
        <v>1116</v>
      </c>
      <c r="C173" s="25" t="s">
        <v>1117</v>
      </c>
      <c r="D173" s="25" t="s">
        <v>1118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</v>
      </c>
      <c r="K173" s="31">
        <f>957</f>
        <v>957</v>
      </c>
      <c r="L173" s="32" t="s">
        <v>1204</v>
      </c>
      <c r="M173" s="31">
        <f>966</f>
        <v>966</v>
      </c>
      <c r="N173" s="32" t="s">
        <v>1209</v>
      </c>
      <c r="O173" s="31">
        <f>862</f>
        <v>862</v>
      </c>
      <c r="P173" s="32" t="s">
        <v>1078</v>
      </c>
      <c r="Q173" s="31">
        <f>863</f>
        <v>863</v>
      </c>
      <c r="R173" s="32" t="s">
        <v>1078</v>
      </c>
      <c r="S173" s="33">
        <f>917.89</f>
        <v>917.89</v>
      </c>
      <c r="T173" s="30">
        <f>328370</f>
        <v>328370</v>
      </c>
      <c r="U173" s="30">
        <f>251</f>
        <v>251</v>
      </c>
      <c r="V173" s="30">
        <f>303298543</f>
        <v>303298543</v>
      </c>
      <c r="W173" s="30">
        <f>229880</f>
        <v>229880</v>
      </c>
      <c r="X173" s="34">
        <f>18</f>
        <v>18</v>
      </c>
    </row>
    <row r="174" spans="1:24">
      <c r="A174" s="25" t="s">
        <v>1203</v>
      </c>
      <c r="B174" s="25" t="s">
        <v>1119</v>
      </c>
      <c r="C174" s="25" t="s">
        <v>1120</v>
      </c>
      <c r="D174" s="25" t="s">
        <v>1121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</v>
      </c>
      <c r="K174" s="31">
        <f>1623</f>
        <v>1623</v>
      </c>
      <c r="L174" s="32" t="s">
        <v>1204</v>
      </c>
      <c r="M174" s="31">
        <f>1763</f>
        <v>1763</v>
      </c>
      <c r="N174" s="32" t="s">
        <v>1081</v>
      </c>
      <c r="O174" s="31">
        <f>1556</f>
        <v>1556</v>
      </c>
      <c r="P174" s="32" t="s">
        <v>1078</v>
      </c>
      <c r="Q174" s="31">
        <f>1575</f>
        <v>1575</v>
      </c>
      <c r="R174" s="32" t="s">
        <v>1078</v>
      </c>
      <c r="S174" s="33">
        <f>1678</f>
        <v>1678</v>
      </c>
      <c r="T174" s="30">
        <f>2140994</f>
        <v>2140994</v>
      </c>
      <c r="U174" s="30">
        <f>514821</f>
        <v>514821</v>
      </c>
      <c r="V174" s="30">
        <f>3557920594</f>
        <v>3557920594</v>
      </c>
      <c r="W174" s="30">
        <f>861259835</f>
        <v>861259835</v>
      </c>
      <c r="X174" s="34">
        <f>18</f>
        <v>18</v>
      </c>
    </row>
    <row r="175" spans="1:24">
      <c r="A175" s="25" t="s">
        <v>1203</v>
      </c>
      <c r="B175" s="25" t="s">
        <v>1026</v>
      </c>
      <c r="C175" s="25" t="s">
        <v>1027</v>
      </c>
      <c r="D175" s="25" t="s">
        <v>1028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10</v>
      </c>
      <c r="K175" s="31">
        <f>580</f>
        <v>580</v>
      </c>
      <c r="L175" s="32" t="s">
        <v>1204</v>
      </c>
      <c r="M175" s="31">
        <f>587</f>
        <v>587</v>
      </c>
      <c r="N175" s="32" t="s">
        <v>1207</v>
      </c>
      <c r="O175" s="31">
        <f>569.2</f>
        <v>569.20000000000005</v>
      </c>
      <c r="P175" s="32" t="s">
        <v>1210</v>
      </c>
      <c r="Q175" s="31">
        <f>577</f>
        <v>577</v>
      </c>
      <c r="R175" s="32" t="s">
        <v>1078</v>
      </c>
      <c r="S175" s="33">
        <f>578.04</f>
        <v>578.04</v>
      </c>
      <c r="T175" s="30">
        <f>1795370</f>
        <v>1795370</v>
      </c>
      <c r="U175" s="30" t="str">
        <f>"－"</f>
        <v>－</v>
      </c>
      <c r="V175" s="30">
        <f>1035640465</f>
        <v>1035640465</v>
      </c>
      <c r="W175" s="30" t="str">
        <f>"－"</f>
        <v>－</v>
      </c>
      <c r="X175" s="34">
        <f>18</f>
        <v>18</v>
      </c>
    </row>
    <row r="176" spans="1:24">
      <c r="A176" s="25" t="s">
        <v>1203</v>
      </c>
      <c r="B176" s="25" t="s">
        <v>1051</v>
      </c>
      <c r="C176" s="25" t="s">
        <v>1052</v>
      </c>
      <c r="D176" s="25" t="s">
        <v>1053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10</v>
      </c>
      <c r="K176" s="31">
        <f>222.9</f>
        <v>222.9</v>
      </c>
      <c r="L176" s="32" t="s">
        <v>1204</v>
      </c>
      <c r="M176" s="31">
        <f>223.4</f>
        <v>223.4</v>
      </c>
      <c r="N176" s="32" t="s">
        <v>1204</v>
      </c>
      <c r="O176" s="31">
        <f>213.1</f>
        <v>213.1</v>
      </c>
      <c r="P176" s="32" t="s">
        <v>1212</v>
      </c>
      <c r="Q176" s="31">
        <f>215.6</f>
        <v>215.6</v>
      </c>
      <c r="R176" s="32" t="s">
        <v>1078</v>
      </c>
      <c r="S176" s="33">
        <f>218.17</f>
        <v>218.17</v>
      </c>
      <c r="T176" s="30">
        <f>17914810</f>
        <v>17914810</v>
      </c>
      <c r="U176" s="30">
        <f>14900000</f>
        <v>14900000</v>
      </c>
      <c r="V176" s="30">
        <f>3904205887</f>
        <v>3904205887</v>
      </c>
      <c r="W176" s="30">
        <f>3245580000</f>
        <v>3245580000</v>
      </c>
      <c r="X176" s="34">
        <f>18</f>
        <v>18</v>
      </c>
    </row>
    <row r="177" spans="1:24">
      <c r="A177" s="25" t="s">
        <v>1203</v>
      </c>
      <c r="B177" s="25" t="s">
        <v>1054</v>
      </c>
      <c r="C177" s="25" t="s">
        <v>1055</v>
      </c>
      <c r="D177" s="25" t="s">
        <v>1056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238.2</f>
        <v>238.2</v>
      </c>
      <c r="L177" s="32" t="s">
        <v>1204</v>
      </c>
      <c r="M177" s="31">
        <f>242.4</f>
        <v>242.4</v>
      </c>
      <c r="N177" s="32" t="s">
        <v>1210</v>
      </c>
      <c r="O177" s="31">
        <f>233</f>
        <v>233</v>
      </c>
      <c r="P177" s="32" t="s">
        <v>1079</v>
      </c>
      <c r="Q177" s="31">
        <f>239.7</f>
        <v>239.7</v>
      </c>
      <c r="R177" s="32" t="s">
        <v>1078</v>
      </c>
      <c r="S177" s="33">
        <f>238.33</f>
        <v>238.33</v>
      </c>
      <c r="T177" s="30">
        <f>7279760</f>
        <v>7279760</v>
      </c>
      <c r="U177" s="30">
        <f>511700</f>
        <v>511700</v>
      </c>
      <c r="V177" s="30">
        <f>1737458638</f>
        <v>1737458638</v>
      </c>
      <c r="W177" s="30">
        <f>122456280</f>
        <v>122456280</v>
      </c>
      <c r="X177" s="34">
        <f>18</f>
        <v>18</v>
      </c>
    </row>
    <row r="178" spans="1:24">
      <c r="A178" s="25" t="s">
        <v>1203</v>
      </c>
      <c r="B178" s="25" t="s">
        <v>1057</v>
      </c>
      <c r="C178" s="25" t="s">
        <v>1058</v>
      </c>
      <c r="D178" s="25" t="s">
        <v>1059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249.5</f>
        <v>249.5</v>
      </c>
      <c r="L178" s="32" t="s">
        <v>1204</v>
      </c>
      <c r="M178" s="31">
        <f>252.6</f>
        <v>252.6</v>
      </c>
      <c r="N178" s="32" t="s">
        <v>1208</v>
      </c>
      <c r="O178" s="31">
        <f>240.7</f>
        <v>240.7</v>
      </c>
      <c r="P178" s="32" t="s">
        <v>1078</v>
      </c>
      <c r="Q178" s="31">
        <f>242.6</f>
        <v>242.6</v>
      </c>
      <c r="R178" s="32" t="s">
        <v>1078</v>
      </c>
      <c r="S178" s="33">
        <f>247.14</f>
        <v>247.14</v>
      </c>
      <c r="T178" s="30">
        <f>6466850</f>
        <v>6466850</v>
      </c>
      <c r="U178" s="30" t="str">
        <f>"－"</f>
        <v>－</v>
      </c>
      <c r="V178" s="30">
        <f>1599923361</f>
        <v>1599923361</v>
      </c>
      <c r="W178" s="30" t="str">
        <f>"－"</f>
        <v>－</v>
      </c>
      <c r="X178" s="34">
        <f>18</f>
        <v>18</v>
      </c>
    </row>
    <row r="179" spans="1:24">
      <c r="A179" s="25" t="s">
        <v>1203</v>
      </c>
      <c r="B179" s="25" t="s">
        <v>1060</v>
      </c>
      <c r="C179" s="25" t="s">
        <v>1061</v>
      </c>
      <c r="D179" s="25" t="s">
        <v>1062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</v>
      </c>
      <c r="K179" s="31">
        <f>2079</f>
        <v>2079</v>
      </c>
      <c r="L179" s="32" t="s">
        <v>1204</v>
      </c>
      <c r="M179" s="31">
        <f>2096</f>
        <v>2096</v>
      </c>
      <c r="N179" s="32" t="s">
        <v>1208</v>
      </c>
      <c r="O179" s="31">
        <f>1995</f>
        <v>1995</v>
      </c>
      <c r="P179" s="32" t="s">
        <v>1076</v>
      </c>
      <c r="Q179" s="31">
        <f>2043</f>
        <v>2043</v>
      </c>
      <c r="R179" s="32" t="s">
        <v>1078</v>
      </c>
      <c r="S179" s="33">
        <f>2046.56</f>
        <v>2046.56</v>
      </c>
      <c r="T179" s="30">
        <f>39700</f>
        <v>39700</v>
      </c>
      <c r="U179" s="30">
        <f>2</f>
        <v>2</v>
      </c>
      <c r="V179" s="30">
        <f>81507745</f>
        <v>81507745</v>
      </c>
      <c r="W179" s="30">
        <f>4120</f>
        <v>4120</v>
      </c>
      <c r="X179" s="34">
        <f>18</f>
        <v>18</v>
      </c>
    </row>
    <row r="180" spans="1:24">
      <c r="A180" s="25" t="s">
        <v>1203</v>
      </c>
      <c r="B180" s="25" t="s">
        <v>1063</v>
      </c>
      <c r="C180" s="25" t="s">
        <v>1064</v>
      </c>
      <c r="D180" s="25" t="s">
        <v>1065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</v>
      </c>
      <c r="K180" s="31">
        <f>1828</f>
        <v>1828</v>
      </c>
      <c r="L180" s="32" t="s">
        <v>1204</v>
      </c>
      <c r="M180" s="31">
        <f>1946</f>
        <v>1946</v>
      </c>
      <c r="N180" s="32" t="s">
        <v>1211</v>
      </c>
      <c r="O180" s="31">
        <f>1828</f>
        <v>1828</v>
      </c>
      <c r="P180" s="32" t="s">
        <v>1204</v>
      </c>
      <c r="Q180" s="31">
        <f>1894</f>
        <v>1894</v>
      </c>
      <c r="R180" s="32" t="s">
        <v>1078</v>
      </c>
      <c r="S180" s="33">
        <f>1872.28</f>
        <v>1872.28</v>
      </c>
      <c r="T180" s="30">
        <f>138268</f>
        <v>138268</v>
      </c>
      <c r="U180" s="30">
        <f>2</f>
        <v>2</v>
      </c>
      <c r="V180" s="30">
        <f>258032378</f>
        <v>258032378</v>
      </c>
      <c r="W180" s="30">
        <f>3745</f>
        <v>3745</v>
      </c>
      <c r="X180" s="34">
        <f>18</f>
        <v>18</v>
      </c>
    </row>
    <row r="181" spans="1:24">
      <c r="A181" s="25" t="s">
        <v>1203</v>
      </c>
      <c r="B181" s="25" t="s">
        <v>1066</v>
      </c>
      <c r="C181" s="25" t="s">
        <v>1067</v>
      </c>
      <c r="D181" s="25" t="s">
        <v>1068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1070</f>
        <v>1070</v>
      </c>
      <c r="L181" s="32" t="s">
        <v>1204</v>
      </c>
      <c r="M181" s="31">
        <f>1087</f>
        <v>1087</v>
      </c>
      <c r="N181" s="32" t="s">
        <v>1080</v>
      </c>
      <c r="O181" s="31">
        <f>1030</f>
        <v>1030</v>
      </c>
      <c r="P181" s="32" t="s">
        <v>1078</v>
      </c>
      <c r="Q181" s="31">
        <f>1037</f>
        <v>1037</v>
      </c>
      <c r="R181" s="32" t="s">
        <v>1078</v>
      </c>
      <c r="S181" s="33">
        <f>1066.83</f>
        <v>1066.83</v>
      </c>
      <c r="T181" s="30">
        <f>1596888</f>
        <v>1596888</v>
      </c>
      <c r="U181" s="30">
        <f>692990</f>
        <v>692990</v>
      </c>
      <c r="V181" s="30">
        <f>1697947403</f>
        <v>1697947403</v>
      </c>
      <c r="W181" s="30">
        <f>738364899</f>
        <v>738364899</v>
      </c>
      <c r="X181" s="34">
        <f>18</f>
        <v>18</v>
      </c>
    </row>
    <row r="182" spans="1:24">
      <c r="A182" s="25" t="s">
        <v>1203</v>
      </c>
      <c r="B182" s="25" t="s">
        <v>1069</v>
      </c>
      <c r="C182" s="25" t="s">
        <v>1070</v>
      </c>
      <c r="D182" s="25" t="s">
        <v>1071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1137</f>
        <v>1137</v>
      </c>
      <c r="L182" s="32" t="s">
        <v>1204</v>
      </c>
      <c r="M182" s="31">
        <f>1156</f>
        <v>1156</v>
      </c>
      <c r="N182" s="32" t="s">
        <v>1080</v>
      </c>
      <c r="O182" s="31">
        <f>1117</f>
        <v>1117</v>
      </c>
      <c r="P182" s="32" t="s">
        <v>1209</v>
      </c>
      <c r="Q182" s="31">
        <f>1139</f>
        <v>1139</v>
      </c>
      <c r="R182" s="32" t="s">
        <v>1078</v>
      </c>
      <c r="S182" s="33">
        <f>1132.89</f>
        <v>1132.8900000000001</v>
      </c>
      <c r="T182" s="30">
        <f>112268</f>
        <v>112268</v>
      </c>
      <c r="U182" s="30" t="str">
        <f>"－"</f>
        <v>－</v>
      </c>
      <c r="V182" s="30">
        <f>126837460</f>
        <v>126837460</v>
      </c>
      <c r="W182" s="30" t="str">
        <f>"－"</f>
        <v>－</v>
      </c>
      <c r="X182" s="34">
        <f>18</f>
        <v>18</v>
      </c>
    </row>
    <row r="183" spans="1:24">
      <c r="A183" s="25" t="s">
        <v>1203</v>
      </c>
      <c r="B183" s="25" t="s">
        <v>1072</v>
      </c>
      <c r="C183" s="25" t="s">
        <v>1073</v>
      </c>
      <c r="D183" s="25" t="s">
        <v>1074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1075</f>
        <v>1075</v>
      </c>
      <c r="L183" s="32" t="s">
        <v>1204</v>
      </c>
      <c r="M183" s="31">
        <f>1090</f>
        <v>1090</v>
      </c>
      <c r="N183" s="32" t="s">
        <v>1204</v>
      </c>
      <c r="O183" s="31">
        <f>1021</f>
        <v>1021</v>
      </c>
      <c r="P183" s="32" t="s">
        <v>1212</v>
      </c>
      <c r="Q183" s="31">
        <f>1036</f>
        <v>1036</v>
      </c>
      <c r="R183" s="32" t="s">
        <v>1078</v>
      </c>
      <c r="S183" s="33">
        <f>1042.78</f>
        <v>1042.78</v>
      </c>
      <c r="T183" s="30">
        <f>153970</f>
        <v>153970</v>
      </c>
      <c r="U183" s="30">
        <f>1</f>
        <v>1</v>
      </c>
      <c r="V183" s="30">
        <f>160460963</f>
        <v>160460963</v>
      </c>
      <c r="W183" s="30">
        <f>1070</f>
        <v>1070</v>
      </c>
      <c r="X183" s="34">
        <f>18</f>
        <v>18</v>
      </c>
    </row>
    <row r="184" spans="1:24">
      <c r="A184" s="25" t="s">
        <v>1203</v>
      </c>
      <c r="B184" s="25" t="s">
        <v>1122</v>
      </c>
      <c r="C184" s="25" t="s">
        <v>1123</v>
      </c>
      <c r="D184" s="25" t="s">
        <v>1124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10</v>
      </c>
      <c r="K184" s="31">
        <f>190.7</f>
        <v>190.7</v>
      </c>
      <c r="L184" s="32" t="s">
        <v>1204</v>
      </c>
      <c r="M184" s="31">
        <f>192.1</f>
        <v>192.1</v>
      </c>
      <c r="N184" s="32" t="s">
        <v>1209</v>
      </c>
      <c r="O184" s="31">
        <f>172.1</f>
        <v>172.1</v>
      </c>
      <c r="P184" s="32" t="s">
        <v>1078</v>
      </c>
      <c r="Q184" s="31">
        <f>172.3</f>
        <v>172.3</v>
      </c>
      <c r="R184" s="32" t="s">
        <v>1078</v>
      </c>
      <c r="S184" s="33">
        <f>182.14</f>
        <v>182.14</v>
      </c>
      <c r="T184" s="30">
        <f>6060580</f>
        <v>6060580</v>
      </c>
      <c r="U184" s="30">
        <f>2510</f>
        <v>2510</v>
      </c>
      <c r="V184" s="30">
        <f>1104388245</f>
        <v>1104388245</v>
      </c>
      <c r="W184" s="30">
        <f>444885</f>
        <v>444885</v>
      </c>
      <c r="X184" s="34">
        <f>18</f>
        <v>18</v>
      </c>
    </row>
    <row r="185" spans="1:24">
      <c r="A185" s="25" t="s">
        <v>1203</v>
      </c>
      <c r="B185" s="25" t="s">
        <v>449</v>
      </c>
      <c r="C185" s="25" t="s">
        <v>450</v>
      </c>
      <c r="D185" s="25" t="s">
        <v>451</v>
      </c>
      <c r="E185" s="26" t="s">
        <v>43</v>
      </c>
      <c r="F185" s="27" t="s">
        <v>43</v>
      </c>
      <c r="G185" s="28" t="s">
        <v>43</v>
      </c>
      <c r="H185" s="29"/>
      <c r="I185" s="29" t="s">
        <v>452</v>
      </c>
      <c r="J185" s="30">
        <v>1</v>
      </c>
      <c r="K185" s="31">
        <f>5622</f>
        <v>5622</v>
      </c>
      <c r="L185" s="32" t="s">
        <v>1204</v>
      </c>
      <c r="M185" s="31">
        <f>7760</f>
        <v>7760</v>
      </c>
      <c r="N185" s="32" t="s">
        <v>1075</v>
      </c>
      <c r="O185" s="31">
        <f>5465</f>
        <v>5465</v>
      </c>
      <c r="P185" s="32" t="s">
        <v>1204</v>
      </c>
      <c r="Q185" s="31">
        <f>6990</f>
        <v>6990</v>
      </c>
      <c r="R185" s="32" t="s">
        <v>1078</v>
      </c>
      <c r="S185" s="33">
        <f>6664.61</f>
        <v>6664.61</v>
      </c>
      <c r="T185" s="30">
        <f>128367</f>
        <v>128367</v>
      </c>
      <c r="U185" s="30" t="str">
        <f>"－"</f>
        <v>－</v>
      </c>
      <c r="V185" s="30">
        <f>882151867</f>
        <v>882151867</v>
      </c>
      <c r="W185" s="30" t="str">
        <f>"－"</f>
        <v>－</v>
      </c>
      <c r="X185" s="34">
        <f>18</f>
        <v>18</v>
      </c>
    </row>
    <row r="186" spans="1:24">
      <c r="A186" s="25" t="s">
        <v>1203</v>
      </c>
      <c r="B186" s="25" t="s">
        <v>453</v>
      </c>
      <c r="C186" s="25" t="s">
        <v>454</v>
      </c>
      <c r="D186" s="25" t="s">
        <v>455</v>
      </c>
      <c r="E186" s="26" t="s">
        <v>43</v>
      </c>
      <c r="F186" s="27" t="s">
        <v>43</v>
      </c>
      <c r="G186" s="28" t="s">
        <v>43</v>
      </c>
      <c r="H186" s="29"/>
      <c r="I186" s="29" t="s">
        <v>452</v>
      </c>
      <c r="J186" s="30">
        <v>1</v>
      </c>
      <c r="K186" s="31">
        <f>8428</f>
        <v>8428</v>
      </c>
      <c r="L186" s="32" t="s">
        <v>1204</v>
      </c>
      <c r="M186" s="31">
        <f>8428</f>
        <v>8428</v>
      </c>
      <c r="N186" s="32" t="s">
        <v>1204</v>
      </c>
      <c r="O186" s="31">
        <f>6651</f>
        <v>6651</v>
      </c>
      <c r="P186" s="32" t="s">
        <v>1075</v>
      </c>
      <c r="Q186" s="31">
        <f>6890</f>
        <v>6890</v>
      </c>
      <c r="R186" s="32" t="s">
        <v>1078</v>
      </c>
      <c r="S186" s="33">
        <f>7427.56</f>
        <v>7427.56</v>
      </c>
      <c r="T186" s="30">
        <f>12109</f>
        <v>12109</v>
      </c>
      <c r="U186" s="30" t="str">
        <f>"－"</f>
        <v>－</v>
      </c>
      <c r="V186" s="30">
        <f>88731683</f>
        <v>88731683</v>
      </c>
      <c r="W186" s="30" t="str">
        <f>"－"</f>
        <v>－</v>
      </c>
      <c r="X186" s="34">
        <f>18</f>
        <v>18</v>
      </c>
    </row>
    <row r="187" spans="1:24">
      <c r="A187" s="25" t="s">
        <v>1203</v>
      </c>
      <c r="B187" s="25" t="s">
        <v>456</v>
      </c>
      <c r="C187" s="25" t="s">
        <v>457</v>
      </c>
      <c r="D187" s="25" t="s">
        <v>458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10160</f>
        <v>10160</v>
      </c>
      <c r="L187" s="32" t="s">
        <v>1204</v>
      </c>
      <c r="M187" s="31">
        <f>11595</f>
        <v>11595</v>
      </c>
      <c r="N187" s="32" t="s">
        <v>1207</v>
      </c>
      <c r="O187" s="31">
        <f>9580</f>
        <v>9580</v>
      </c>
      <c r="P187" s="32" t="s">
        <v>1204</v>
      </c>
      <c r="Q187" s="31">
        <f>10000</f>
        <v>10000</v>
      </c>
      <c r="R187" s="32" t="s">
        <v>1078</v>
      </c>
      <c r="S187" s="33">
        <f>10516.72</f>
        <v>10516.72</v>
      </c>
      <c r="T187" s="30">
        <f>5702</f>
        <v>5702</v>
      </c>
      <c r="U187" s="30" t="str">
        <f>"－"</f>
        <v>－</v>
      </c>
      <c r="V187" s="30">
        <f>60317552</f>
        <v>60317552</v>
      </c>
      <c r="W187" s="30" t="str">
        <f>"－"</f>
        <v>－</v>
      </c>
      <c r="X187" s="34">
        <f>18</f>
        <v>18</v>
      </c>
    </row>
    <row r="188" spans="1:24">
      <c r="A188" s="25" t="s">
        <v>1203</v>
      </c>
      <c r="B188" s="25" t="s">
        <v>459</v>
      </c>
      <c r="C188" s="25" t="s">
        <v>460</v>
      </c>
      <c r="D188" s="25" t="s">
        <v>461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7927</f>
        <v>7927</v>
      </c>
      <c r="L188" s="32" t="s">
        <v>1204</v>
      </c>
      <c r="M188" s="31">
        <f>8099</f>
        <v>8099</v>
      </c>
      <c r="N188" s="32" t="s">
        <v>1204</v>
      </c>
      <c r="O188" s="31">
        <f>7350</f>
        <v>7350</v>
      </c>
      <c r="P188" s="32" t="s">
        <v>1075</v>
      </c>
      <c r="Q188" s="31">
        <f>7550</f>
        <v>7550</v>
      </c>
      <c r="R188" s="32" t="s">
        <v>1078</v>
      </c>
      <c r="S188" s="33">
        <f>7655.44</f>
        <v>7655.44</v>
      </c>
      <c r="T188" s="30">
        <f>3701</f>
        <v>3701</v>
      </c>
      <c r="U188" s="30" t="str">
        <f>"－"</f>
        <v>－</v>
      </c>
      <c r="V188" s="30">
        <f>28277318</f>
        <v>28277318</v>
      </c>
      <c r="W188" s="30" t="str">
        <f>"－"</f>
        <v>－</v>
      </c>
      <c r="X188" s="34">
        <f>18</f>
        <v>18</v>
      </c>
    </row>
    <row r="189" spans="1:24">
      <c r="A189" s="25" t="s">
        <v>1203</v>
      </c>
      <c r="B189" s="25" t="s">
        <v>462</v>
      </c>
      <c r="C189" s="25" t="s">
        <v>463</v>
      </c>
      <c r="D189" s="25" t="s">
        <v>464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78000</f>
        <v>78000</v>
      </c>
      <c r="L189" s="32" t="s">
        <v>1204</v>
      </c>
      <c r="M189" s="31">
        <f>84300</f>
        <v>84300</v>
      </c>
      <c r="N189" s="32" t="s">
        <v>1211</v>
      </c>
      <c r="O189" s="31">
        <f>75020</f>
        <v>75020</v>
      </c>
      <c r="P189" s="32" t="s">
        <v>1078</v>
      </c>
      <c r="Q189" s="31">
        <f>75590</f>
        <v>75590</v>
      </c>
      <c r="R189" s="32" t="s">
        <v>1078</v>
      </c>
      <c r="S189" s="33">
        <f>80130</f>
        <v>80130</v>
      </c>
      <c r="T189" s="30">
        <f>115729</f>
        <v>115729</v>
      </c>
      <c r="U189" s="30">
        <f>68</f>
        <v>68</v>
      </c>
      <c r="V189" s="30">
        <f>9281653820</f>
        <v>9281653820</v>
      </c>
      <c r="W189" s="30">
        <f>5446090</f>
        <v>5446090</v>
      </c>
      <c r="X189" s="34">
        <f>18</f>
        <v>18</v>
      </c>
    </row>
    <row r="190" spans="1:24">
      <c r="A190" s="25" t="s">
        <v>1203</v>
      </c>
      <c r="B190" s="25" t="s">
        <v>465</v>
      </c>
      <c r="C190" s="25" t="s">
        <v>466</v>
      </c>
      <c r="D190" s="25" t="s">
        <v>467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2315</f>
        <v>2315</v>
      </c>
      <c r="L190" s="32" t="s">
        <v>1204</v>
      </c>
      <c r="M190" s="31">
        <f>2330</f>
        <v>2330</v>
      </c>
      <c r="N190" s="32" t="s">
        <v>1078</v>
      </c>
      <c r="O190" s="31">
        <f>2223</f>
        <v>2223</v>
      </c>
      <c r="P190" s="32" t="s">
        <v>1211</v>
      </c>
      <c r="Q190" s="31">
        <f>2311</f>
        <v>2311</v>
      </c>
      <c r="R190" s="32" t="s">
        <v>1078</v>
      </c>
      <c r="S190" s="33">
        <f>2283.78</f>
        <v>2283.7800000000002</v>
      </c>
      <c r="T190" s="30">
        <f>14873</f>
        <v>14873</v>
      </c>
      <c r="U190" s="30" t="str">
        <f>"－"</f>
        <v>－</v>
      </c>
      <c r="V190" s="30">
        <f>33777299</f>
        <v>33777299</v>
      </c>
      <c r="W190" s="30" t="str">
        <f>"－"</f>
        <v>－</v>
      </c>
      <c r="X190" s="34">
        <f>18</f>
        <v>18</v>
      </c>
    </row>
    <row r="191" spans="1:24">
      <c r="A191" s="25" t="s">
        <v>1203</v>
      </c>
      <c r="B191" s="25" t="s">
        <v>468</v>
      </c>
      <c r="C191" s="25" t="s">
        <v>469</v>
      </c>
      <c r="D191" s="25" t="s">
        <v>470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2013</f>
        <v>2013</v>
      </c>
      <c r="L191" s="32" t="s">
        <v>1204</v>
      </c>
      <c r="M191" s="31">
        <f>2032</f>
        <v>2032</v>
      </c>
      <c r="N191" s="32" t="s">
        <v>1206</v>
      </c>
      <c r="O191" s="31">
        <f>1757</f>
        <v>1757</v>
      </c>
      <c r="P191" s="32" t="s">
        <v>1075</v>
      </c>
      <c r="Q191" s="31">
        <f>1795</f>
        <v>1795</v>
      </c>
      <c r="R191" s="32" t="s">
        <v>1078</v>
      </c>
      <c r="S191" s="33">
        <f>1920.44</f>
        <v>1920.44</v>
      </c>
      <c r="T191" s="30">
        <f>2730823</f>
        <v>2730823</v>
      </c>
      <c r="U191" s="30">
        <f>71</f>
        <v>71</v>
      </c>
      <c r="V191" s="30">
        <f>5171768420</f>
        <v>5171768420</v>
      </c>
      <c r="W191" s="30">
        <f>128100</f>
        <v>128100</v>
      </c>
      <c r="X191" s="34">
        <f>18</f>
        <v>18</v>
      </c>
    </row>
    <row r="192" spans="1:24">
      <c r="A192" s="25" t="s">
        <v>1203</v>
      </c>
      <c r="B192" s="25" t="s">
        <v>471</v>
      </c>
      <c r="C192" s="25" t="s">
        <v>472</v>
      </c>
      <c r="D192" s="25" t="s">
        <v>473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899</f>
        <v>899</v>
      </c>
      <c r="L192" s="32" t="s">
        <v>1204</v>
      </c>
      <c r="M192" s="31">
        <f>955</f>
        <v>955</v>
      </c>
      <c r="N192" s="32" t="s">
        <v>1075</v>
      </c>
      <c r="O192" s="31">
        <f>891</f>
        <v>891</v>
      </c>
      <c r="P192" s="32" t="s">
        <v>1206</v>
      </c>
      <c r="Q192" s="31">
        <f>939</f>
        <v>939</v>
      </c>
      <c r="R192" s="32" t="s">
        <v>1078</v>
      </c>
      <c r="S192" s="33">
        <f>916.5</f>
        <v>916.5</v>
      </c>
      <c r="T192" s="30">
        <f>1441697</f>
        <v>1441697</v>
      </c>
      <c r="U192" s="30" t="str">
        <f>"－"</f>
        <v>－</v>
      </c>
      <c r="V192" s="30">
        <f>1327834122</f>
        <v>1327834122</v>
      </c>
      <c r="W192" s="30" t="str">
        <f>"－"</f>
        <v>－</v>
      </c>
      <c r="X192" s="34">
        <f>18</f>
        <v>18</v>
      </c>
    </row>
    <row r="193" spans="1:24">
      <c r="A193" s="25" t="s">
        <v>1203</v>
      </c>
      <c r="B193" s="25" t="s">
        <v>474</v>
      </c>
      <c r="C193" s="25" t="s">
        <v>475</v>
      </c>
      <c r="D193" s="25" t="s">
        <v>476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32020</f>
        <v>32020</v>
      </c>
      <c r="L193" s="32" t="s">
        <v>1204</v>
      </c>
      <c r="M193" s="31">
        <f>33420</f>
        <v>33420</v>
      </c>
      <c r="N193" s="32" t="s">
        <v>1085</v>
      </c>
      <c r="O193" s="31">
        <f>30670</f>
        <v>30670</v>
      </c>
      <c r="P193" s="32" t="s">
        <v>1078</v>
      </c>
      <c r="Q193" s="31">
        <f>30890</f>
        <v>30890</v>
      </c>
      <c r="R193" s="32" t="s">
        <v>1078</v>
      </c>
      <c r="S193" s="33">
        <f>32386.11</f>
        <v>32386.11</v>
      </c>
      <c r="T193" s="30">
        <f>22219</f>
        <v>22219</v>
      </c>
      <c r="U193" s="30" t="str">
        <f>"－"</f>
        <v>－</v>
      </c>
      <c r="V193" s="30">
        <f>717507340</f>
        <v>717507340</v>
      </c>
      <c r="W193" s="30" t="str">
        <f>"－"</f>
        <v>－</v>
      </c>
      <c r="X193" s="34">
        <f>18</f>
        <v>18</v>
      </c>
    </row>
    <row r="194" spans="1:24">
      <c r="A194" s="25" t="s">
        <v>1203</v>
      </c>
      <c r="B194" s="25" t="s">
        <v>477</v>
      </c>
      <c r="C194" s="25" t="s">
        <v>478</v>
      </c>
      <c r="D194" s="25" t="s">
        <v>479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2346</f>
        <v>2346</v>
      </c>
      <c r="L194" s="32" t="s">
        <v>1204</v>
      </c>
      <c r="M194" s="31">
        <f>2375</f>
        <v>2375</v>
      </c>
      <c r="N194" s="32" t="s">
        <v>1078</v>
      </c>
      <c r="O194" s="31">
        <f>2277</f>
        <v>2277</v>
      </c>
      <c r="P194" s="32" t="s">
        <v>1085</v>
      </c>
      <c r="Q194" s="31">
        <f>2365</f>
        <v>2365</v>
      </c>
      <c r="R194" s="32" t="s">
        <v>1078</v>
      </c>
      <c r="S194" s="33">
        <f>2317.67</f>
        <v>2317.67</v>
      </c>
      <c r="T194" s="30">
        <f>178593</f>
        <v>178593</v>
      </c>
      <c r="U194" s="30" t="str">
        <f>"－"</f>
        <v>－</v>
      </c>
      <c r="V194" s="30">
        <f>415407858</f>
        <v>415407858</v>
      </c>
      <c r="W194" s="30" t="str">
        <f>"－"</f>
        <v>－</v>
      </c>
      <c r="X194" s="34">
        <f>18</f>
        <v>18</v>
      </c>
    </row>
    <row r="195" spans="1:24">
      <c r="A195" s="25" t="s">
        <v>1203</v>
      </c>
      <c r="B195" s="25" t="s">
        <v>480</v>
      </c>
      <c r="C195" s="25" t="s">
        <v>1029</v>
      </c>
      <c r="D195" s="25" t="s">
        <v>1030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6768</f>
        <v>6768</v>
      </c>
      <c r="L195" s="32" t="s">
        <v>1204</v>
      </c>
      <c r="M195" s="31">
        <f>7297</f>
        <v>7297</v>
      </c>
      <c r="N195" s="32" t="s">
        <v>1206</v>
      </c>
      <c r="O195" s="31">
        <f>6755</f>
        <v>6755</v>
      </c>
      <c r="P195" s="32" t="s">
        <v>1204</v>
      </c>
      <c r="Q195" s="31">
        <f>6898</f>
        <v>6898</v>
      </c>
      <c r="R195" s="32" t="s">
        <v>1078</v>
      </c>
      <c r="S195" s="33">
        <f>7068.78</f>
        <v>7068.78</v>
      </c>
      <c r="T195" s="30">
        <f>23471</f>
        <v>23471</v>
      </c>
      <c r="U195" s="30" t="str">
        <f>"－"</f>
        <v>－</v>
      </c>
      <c r="V195" s="30">
        <f>166994598</f>
        <v>166994598</v>
      </c>
      <c r="W195" s="30" t="str">
        <f>"－"</f>
        <v>－</v>
      </c>
      <c r="X195" s="34">
        <f>18</f>
        <v>18</v>
      </c>
    </row>
    <row r="196" spans="1:24">
      <c r="A196" s="25" t="s">
        <v>1203</v>
      </c>
      <c r="B196" s="25" t="s">
        <v>481</v>
      </c>
      <c r="C196" s="25" t="s">
        <v>482</v>
      </c>
      <c r="D196" s="25" t="s">
        <v>483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21570</f>
        <v>21570</v>
      </c>
      <c r="L196" s="32" t="s">
        <v>1204</v>
      </c>
      <c r="M196" s="31">
        <f>21595</f>
        <v>21595</v>
      </c>
      <c r="N196" s="32" t="s">
        <v>1204</v>
      </c>
      <c r="O196" s="31">
        <f>19880</f>
        <v>19880</v>
      </c>
      <c r="P196" s="32" t="s">
        <v>1075</v>
      </c>
      <c r="Q196" s="31">
        <f>20125</f>
        <v>20125</v>
      </c>
      <c r="R196" s="32" t="s">
        <v>1078</v>
      </c>
      <c r="S196" s="33">
        <f>20596.76</f>
        <v>20596.759999999998</v>
      </c>
      <c r="T196" s="30">
        <f>658</f>
        <v>658</v>
      </c>
      <c r="U196" s="30" t="str">
        <f>"－"</f>
        <v>－</v>
      </c>
      <c r="V196" s="30">
        <f>13598900</f>
        <v>13598900</v>
      </c>
      <c r="W196" s="30" t="str">
        <f>"－"</f>
        <v>－</v>
      </c>
      <c r="X196" s="34">
        <f>17</f>
        <v>17</v>
      </c>
    </row>
    <row r="197" spans="1:24">
      <c r="A197" s="25" t="s">
        <v>1203</v>
      </c>
      <c r="B197" s="25" t="s">
        <v>484</v>
      </c>
      <c r="C197" s="25" t="s">
        <v>485</v>
      </c>
      <c r="D197" s="25" t="s">
        <v>486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30430</f>
        <v>30430</v>
      </c>
      <c r="L197" s="32" t="s">
        <v>1204</v>
      </c>
      <c r="M197" s="31">
        <f>30500</f>
        <v>30500</v>
      </c>
      <c r="N197" s="32" t="s">
        <v>1208</v>
      </c>
      <c r="O197" s="31">
        <f>29175</f>
        <v>29175</v>
      </c>
      <c r="P197" s="32" t="s">
        <v>1076</v>
      </c>
      <c r="Q197" s="31">
        <f>29350</f>
        <v>29350</v>
      </c>
      <c r="R197" s="32" t="s">
        <v>1078</v>
      </c>
      <c r="S197" s="33">
        <f>29758.89</f>
        <v>29758.89</v>
      </c>
      <c r="T197" s="30">
        <f>13658</f>
        <v>13658</v>
      </c>
      <c r="U197" s="30">
        <f>4000</f>
        <v>4000</v>
      </c>
      <c r="V197" s="30">
        <f>404855330</f>
        <v>404855330</v>
      </c>
      <c r="W197" s="30">
        <f>116852000</f>
        <v>116852000</v>
      </c>
      <c r="X197" s="34">
        <f>18</f>
        <v>18</v>
      </c>
    </row>
    <row r="198" spans="1:24">
      <c r="A198" s="25" t="s">
        <v>1203</v>
      </c>
      <c r="B198" s="25" t="s">
        <v>487</v>
      </c>
      <c r="C198" s="25" t="s">
        <v>488</v>
      </c>
      <c r="D198" s="25" t="s">
        <v>489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15910</f>
        <v>15910</v>
      </c>
      <c r="L198" s="32" t="s">
        <v>1204</v>
      </c>
      <c r="M198" s="31">
        <f>16590</f>
        <v>16590</v>
      </c>
      <c r="N198" s="32" t="s">
        <v>662</v>
      </c>
      <c r="O198" s="31">
        <f>15810</f>
        <v>15810</v>
      </c>
      <c r="P198" s="32" t="s">
        <v>1076</v>
      </c>
      <c r="Q198" s="31">
        <f>15860</f>
        <v>15860</v>
      </c>
      <c r="R198" s="32" t="s">
        <v>1078</v>
      </c>
      <c r="S198" s="33">
        <f>16251.92</f>
        <v>16251.92</v>
      </c>
      <c r="T198" s="30">
        <f>101</f>
        <v>101</v>
      </c>
      <c r="U198" s="30" t="str">
        <f>"－"</f>
        <v>－</v>
      </c>
      <c r="V198" s="30">
        <f>1627650</f>
        <v>1627650</v>
      </c>
      <c r="W198" s="30" t="str">
        <f>"－"</f>
        <v>－</v>
      </c>
      <c r="X198" s="34">
        <f>13</f>
        <v>13</v>
      </c>
    </row>
    <row r="199" spans="1:24">
      <c r="A199" s="25" t="s">
        <v>1203</v>
      </c>
      <c r="B199" s="25" t="s">
        <v>490</v>
      </c>
      <c r="C199" s="25" t="s">
        <v>491</v>
      </c>
      <c r="D199" s="25" t="s">
        <v>492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29000</f>
        <v>29000</v>
      </c>
      <c r="L199" s="32" t="s">
        <v>1204</v>
      </c>
      <c r="M199" s="31">
        <f>29600</f>
        <v>29600</v>
      </c>
      <c r="N199" s="32" t="s">
        <v>1209</v>
      </c>
      <c r="O199" s="31">
        <f>24735</f>
        <v>24735</v>
      </c>
      <c r="P199" s="32" t="s">
        <v>1078</v>
      </c>
      <c r="Q199" s="31">
        <f>24785</f>
        <v>24785</v>
      </c>
      <c r="R199" s="32" t="s">
        <v>1078</v>
      </c>
      <c r="S199" s="33">
        <f>27369.17</f>
        <v>27369.17</v>
      </c>
      <c r="T199" s="30">
        <f>51227</f>
        <v>51227</v>
      </c>
      <c r="U199" s="30">
        <f>16</f>
        <v>16</v>
      </c>
      <c r="V199" s="30">
        <f>1378067875</f>
        <v>1378067875</v>
      </c>
      <c r="W199" s="30">
        <f>458800</f>
        <v>458800</v>
      </c>
      <c r="X199" s="34">
        <f>18</f>
        <v>18</v>
      </c>
    </row>
    <row r="200" spans="1:24">
      <c r="A200" s="25" t="s">
        <v>1203</v>
      </c>
      <c r="B200" s="25" t="s">
        <v>493</v>
      </c>
      <c r="C200" s="25" t="s">
        <v>494</v>
      </c>
      <c r="D200" s="25" t="s">
        <v>495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3680</f>
        <v>3680</v>
      </c>
      <c r="L200" s="32" t="s">
        <v>1204</v>
      </c>
      <c r="M200" s="31">
        <f>3820</f>
        <v>3820</v>
      </c>
      <c r="N200" s="32" t="s">
        <v>1210</v>
      </c>
      <c r="O200" s="31">
        <f>3570</f>
        <v>3570</v>
      </c>
      <c r="P200" s="32" t="s">
        <v>1085</v>
      </c>
      <c r="Q200" s="31">
        <f>3740</f>
        <v>3740</v>
      </c>
      <c r="R200" s="32" t="s">
        <v>1078</v>
      </c>
      <c r="S200" s="33">
        <f>3692.94</f>
        <v>3692.94</v>
      </c>
      <c r="T200" s="30">
        <f>10776</f>
        <v>10776</v>
      </c>
      <c r="U200" s="30" t="str">
        <f t="shared" ref="U200:U211" si="4">"－"</f>
        <v>－</v>
      </c>
      <c r="V200" s="30">
        <f>39754395</f>
        <v>39754395</v>
      </c>
      <c r="W200" s="30" t="str">
        <f t="shared" ref="W200:W211" si="5">"－"</f>
        <v>－</v>
      </c>
      <c r="X200" s="34">
        <f>17</f>
        <v>17</v>
      </c>
    </row>
    <row r="201" spans="1:24">
      <c r="A201" s="25" t="s">
        <v>1203</v>
      </c>
      <c r="B201" s="25" t="s">
        <v>496</v>
      </c>
      <c r="C201" s="25" t="s">
        <v>497</v>
      </c>
      <c r="D201" s="25" t="s">
        <v>498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32620</f>
        <v>32620</v>
      </c>
      <c r="L201" s="32" t="s">
        <v>1204</v>
      </c>
      <c r="M201" s="31">
        <f>32620</f>
        <v>32620</v>
      </c>
      <c r="N201" s="32" t="s">
        <v>1204</v>
      </c>
      <c r="O201" s="31">
        <f>30940</f>
        <v>30940</v>
      </c>
      <c r="P201" s="32" t="s">
        <v>1076</v>
      </c>
      <c r="Q201" s="31">
        <f>31630</f>
        <v>31630</v>
      </c>
      <c r="R201" s="32" t="s">
        <v>1078</v>
      </c>
      <c r="S201" s="33">
        <f>31897.33</f>
        <v>31897.33</v>
      </c>
      <c r="T201" s="30">
        <f>4579</f>
        <v>4579</v>
      </c>
      <c r="U201" s="30" t="str">
        <f t="shared" si="4"/>
        <v>－</v>
      </c>
      <c r="V201" s="30">
        <f>145873450</f>
        <v>145873450</v>
      </c>
      <c r="W201" s="30" t="str">
        <f t="shared" si="5"/>
        <v>－</v>
      </c>
      <c r="X201" s="34">
        <f>15</f>
        <v>15</v>
      </c>
    </row>
    <row r="202" spans="1:24">
      <c r="A202" s="25" t="s">
        <v>1203</v>
      </c>
      <c r="B202" s="25" t="s">
        <v>499</v>
      </c>
      <c r="C202" s="25" t="s">
        <v>500</v>
      </c>
      <c r="D202" s="25" t="s">
        <v>501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19700</f>
        <v>19700</v>
      </c>
      <c r="L202" s="32" t="s">
        <v>1208</v>
      </c>
      <c r="M202" s="31">
        <f>20330</f>
        <v>20330</v>
      </c>
      <c r="N202" s="32" t="s">
        <v>738</v>
      </c>
      <c r="O202" s="31">
        <f>19700</f>
        <v>19700</v>
      </c>
      <c r="P202" s="32" t="s">
        <v>1208</v>
      </c>
      <c r="Q202" s="31">
        <f>19760</f>
        <v>19760</v>
      </c>
      <c r="R202" s="32" t="s">
        <v>1212</v>
      </c>
      <c r="S202" s="33">
        <f>19906.88</f>
        <v>19906.88</v>
      </c>
      <c r="T202" s="30">
        <f>73</f>
        <v>73</v>
      </c>
      <c r="U202" s="30" t="str">
        <f t="shared" si="4"/>
        <v>－</v>
      </c>
      <c r="V202" s="30">
        <f>1443770</f>
        <v>1443770</v>
      </c>
      <c r="W202" s="30" t="str">
        <f t="shared" si="5"/>
        <v>－</v>
      </c>
      <c r="X202" s="34">
        <f>8</f>
        <v>8</v>
      </c>
    </row>
    <row r="203" spans="1:24">
      <c r="A203" s="25" t="s">
        <v>1203</v>
      </c>
      <c r="B203" s="25" t="s">
        <v>502</v>
      </c>
      <c r="C203" s="25" t="s">
        <v>503</v>
      </c>
      <c r="D203" s="25" t="s">
        <v>504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37090</f>
        <v>37090</v>
      </c>
      <c r="L203" s="32" t="s">
        <v>1204</v>
      </c>
      <c r="M203" s="31">
        <f>37090</f>
        <v>37090</v>
      </c>
      <c r="N203" s="32" t="s">
        <v>1204</v>
      </c>
      <c r="O203" s="31">
        <f>35070</f>
        <v>35070</v>
      </c>
      <c r="P203" s="32" t="s">
        <v>1212</v>
      </c>
      <c r="Q203" s="31">
        <f>35400</f>
        <v>35400</v>
      </c>
      <c r="R203" s="32" t="s">
        <v>1075</v>
      </c>
      <c r="S203" s="33">
        <f>36008.75</f>
        <v>36008.75</v>
      </c>
      <c r="T203" s="30">
        <f>100</f>
        <v>100</v>
      </c>
      <c r="U203" s="30" t="str">
        <f t="shared" si="4"/>
        <v>－</v>
      </c>
      <c r="V203" s="30">
        <f>3597850</f>
        <v>3597850</v>
      </c>
      <c r="W203" s="30" t="str">
        <f t="shared" si="5"/>
        <v>－</v>
      </c>
      <c r="X203" s="34">
        <f>8</f>
        <v>8</v>
      </c>
    </row>
    <row r="204" spans="1:24">
      <c r="A204" s="25" t="s">
        <v>1203</v>
      </c>
      <c r="B204" s="25" t="s">
        <v>505</v>
      </c>
      <c r="C204" s="25" t="s">
        <v>506</v>
      </c>
      <c r="D204" s="25" t="s">
        <v>507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19645</f>
        <v>19645</v>
      </c>
      <c r="L204" s="32" t="s">
        <v>1085</v>
      </c>
      <c r="M204" s="31">
        <f>19875</f>
        <v>19875</v>
      </c>
      <c r="N204" s="32" t="s">
        <v>1205</v>
      </c>
      <c r="O204" s="31">
        <f>19200</f>
        <v>19200</v>
      </c>
      <c r="P204" s="32" t="s">
        <v>1212</v>
      </c>
      <c r="Q204" s="31">
        <f>19225</f>
        <v>19225</v>
      </c>
      <c r="R204" s="32" t="s">
        <v>1212</v>
      </c>
      <c r="S204" s="33">
        <f>19581.67</f>
        <v>19581.669999999998</v>
      </c>
      <c r="T204" s="30">
        <f>1235</f>
        <v>1235</v>
      </c>
      <c r="U204" s="30" t="str">
        <f t="shared" si="4"/>
        <v>－</v>
      </c>
      <c r="V204" s="30">
        <f>24489375</f>
        <v>24489375</v>
      </c>
      <c r="W204" s="30" t="str">
        <f t="shared" si="5"/>
        <v>－</v>
      </c>
      <c r="X204" s="34">
        <f>3</f>
        <v>3</v>
      </c>
    </row>
    <row r="205" spans="1:24">
      <c r="A205" s="25" t="s">
        <v>1203</v>
      </c>
      <c r="B205" s="25" t="s">
        <v>508</v>
      </c>
      <c r="C205" s="25" t="s">
        <v>509</v>
      </c>
      <c r="D205" s="25" t="s">
        <v>510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19540</f>
        <v>19540</v>
      </c>
      <c r="L205" s="32" t="s">
        <v>1204</v>
      </c>
      <c r="M205" s="31">
        <f>19975</f>
        <v>19975</v>
      </c>
      <c r="N205" s="32" t="s">
        <v>1080</v>
      </c>
      <c r="O205" s="31">
        <f>19375</f>
        <v>19375</v>
      </c>
      <c r="P205" s="32" t="s">
        <v>1212</v>
      </c>
      <c r="Q205" s="31">
        <f>19775</f>
        <v>19775</v>
      </c>
      <c r="R205" s="32" t="s">
        <v>1078</v>
      </c>
      <c r="S205" s="33">
        <f>19708.5</f>
        <v>19708.5</v>
      </c>
      <c r="T205" s="30">
        <f>41</f>
        <v>41</v>
      </c>
      <c r="U205" s="30" t="str">
        <f t="shared" si="4"/>
        <v>－</v>
      </c>
      <c r="V205" s="30">
        <f>806050</f>
        <v>806050</v>
      </c>
      <c r="W205" s="30" t="str">
        <f t="shared" si="5"/>
        <v>－</v>
      </c>
      <c r="X205" s="34">
        <f>10</f>
        <v>10</v>
      </c>
    </row>
    <row r="206" spans="1:24">
      <c r="A206" s="25" t="s">
        <v>1203</v>
      </c>
      <c r="B206" s="25" t="s">
        <v>511</v>
      </c>
      <c r="C206" s="25" t="s">
        <v>512</v>
      </c>
      <c r="D206" s="25" t="s">
        <v>513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23145</f>
        <v>23145</v>
      </c>
      <c r="L206" s="32" t="s">
        <v>1204</v>
      </c>
      <c r="M206" s="31">
        <f>23265</f>
        <v>23265</v>
      </c>
      <c r="N206" s="32" t="s">
        <v>1079</v>
      </c>
      <c r="O206" s="31">
        <f>23145</f>
        <v>23145</v>
      </c>
      <c r="P206" s="32" t="s">
        <v>1204</v>
      </c>
      <c r="Q206" s="31">
        <f>23265</f>
        <v>23265</v>
      </c>
      <c r="R206" s="32" t="s">
        <v>1079</v>
      </c>
      <c r="S206" s="33">
        <f>23211.67</f>
        <v>23211.67</v>
      </c>
      <c r="T206" s="30">
        <f>90</f>
        <v>90</v>
      </c>
      <c r="U206" s="30" t="str">
        <f t="shared" si="4"/>
        <v>－</v>
      </c>
      <c r="V206" s="30">
        <f>2093140</f>
        <v>2093140</v>
      </c>
      <c r="W206" s="30" t="str">
        <f t="shared" si="5"/>
        <v>－</v>
      </c>
      <c r="X206" s="34">
        <f>3</f>
        <v>3</v>
      </c>
    </row>
    <row r="207" spans="1:24">
      <c r="A207" s="25" t="s">
        <v>1203</v>
      </c>
      <c r="B207" s="25" t="s">
        <v>514</v>
      </c>
      <c r="C207" s="25" t="s">
        <v>515</v>
      </c>
      <c r="D207" s="25" t="s">
        <v>516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 t="str">
        <f>"－"</f>
        <v>－</v>
      </c>
      <c r="L207" s="32"/>
      <c r="M207" s="31" t="str">
        <f>"－"</f>
        <v>－</v>
      </c>
      <c r="N207" s="32"/>
      <c r="O207" s="31" t="str">
        <f>"－"</f>
        <v>－</v>
      </c>
      <c r="P207" s="32"/>
      <c r="Q207" s="31" t="str">
        <f>"－"</f>
        <v>－</v>
      </c>
      <c r="R207" s="32"/>
      <c r="S207" s="33" t="str">
        <f>"－"</f>
        <v>－</v>
      </c>
      <c r="T207" s="30" t="str">
        <f>"－"</f>
        <v>－</v>
      </c>
      <c r="U207" s="30" t="str">
        <f t="shared" si="4"/>
        <v>－</v>
      </c>
      <c r="V207" s="30" t="str">
        <f>"－"</f>
        <v>－</v>
      </c>
      <c r="W207" s="30" t="str">
        <f t="shared" si="5"/>
        <v>－</v>
      </c>
      <c r="X207" s="34" t="str">
        <f>"－"</f>
        <v>－</v>
      </c>
    </row>
    <row r="208" spans="1:24">
      <c r="A208" s="25" t="s">
        <v>1203</v>
      </c>
      <c r="B208" s="25" t="s">
        <v>517</v>
      </c>
      <c r="C208" s="25" t="s">
        <v>518</v>
      </c>
      <c r="D208" s="25" t="s">
        <v>519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11950</f>
        <v>11950</v>
      </c>
      <c r="L208" s="32" t="s">
        <v>1204</v>
      </c>
      <c r="M208" s="31">
        <f>12035</f>
        <v>12035</v>
      </c>
      <c r="N208" s="32" t="s">
        <v>1208</v>
      </c>
      <c r="O208" s="31">
        <f>11950</f>
        <v>11950</v>
      </c>
      <c r="P208" s="32" t="s">
        <v>1204</v>
      </c>
      <c r="Q208" s="31">
        <f>11960</f>
        <v>11960</v>
      </c>
      <c r="R208" s="32" t="s">
        <v>1075</v>
      </c>
      <c r="S208" s="33">
        <f>11975</f>
        <v>11975</v>
      </c>
      <c r="T208" s="30">
        <f>34</f>
        <v>34</v>
      </c>
      <c r="U208" s="30" t="str">
        <f t="shared" si="4"/>
        <v>－</v>
      </c>
      <c r="V208" s="30">
        <f>408510</f>
        <v>408510</v>
      </c>
      <c r="W208" s="30" t="str">
        <f t="shared" si="5"/>
        <v>－</v>
      </c>
      <c r="X208" s="34">
        <f>6</f>
        <v>6</v>
      </c>
    </row>
    <row r="209" spans="1:24">
      <c r="A209" s="25" t="s">
        <v>1203</v>
      </c>
      <c r="B209" s="25" t="s">
        <v>520</v>
      </c>
      <c r="C209" s="25" t="s">
        <v>521</v>
      </c>
      <c r="D209" s="25" t="s">
        <v>522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14560</f>
        <v>14560</v>
      </c>
      <c r="L209" s="32" t="s">
        <v>1204</v>
      </c>
      <c r="M209" s="31">
        <f>15045</f>
        <v>15045</v>
      </c>
      <c r="N209" s="32" t="s">
        <v>1211</v>
      </c>
      <c r="O209" s="31">
        <f>14065</f>
        <v>14065</v>
      </c>
      <c r="P209" s="32" t="s">
        <v>1078</v>
      </c>
      <c r="Q209" s="31">
        <f>14065</f>
        <v>14065</v>
      </c>
      <c r="R209" s="32" t="s">
        <v>1078</v>
      </c>
      <c r="S209" s="33">
        <f>14680</f>
        <v>14680</v>
      </c>
      <c r="T209" s="30">
        <f>7981</f>
        <v>7981</v>
      </c>
      <c r="U209" s="30" t="str">
        <f t="shared" si="4"/>
        <v>－</v>
      </c>
      <c r="V209" s="30">
        <f>117949680</f>
        <v>117949680</v>
      </c>
      <c r="W209" s="30" t="str">
        <f t="shared" si="5"/>
        <v>－</v>
      </c>
      <c r="X209" s="34">
        <f>12</f>
        <v>12</v>
      </c>
    </row>
    <row r="210" spans="1:24">
      <c r="A210" s="25" t="s">
        <v>1203</v>
      </c>
      <c r="B210" s="25" t="s">
        <v>523</v>
      </c>
      <c r="C210" s="25" t="s">
        <v>524</v>
      </c>
      <c r="D210" s="25" t="s">
        <v>525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12700</f>
        <v>12700</v>
      </c>
      <c r="L210" s="32" t="s">
        <v>1211</v>
      </c>
      <c r="M210" s="31">
        <f>12770</f>
        <v>12770</v>
      </c>
      <c r="N210" s="32" t="s">
        <v>1205</v>
      </c>
      <c r="O210" s="31">
        <f>12450</f>
        <v>12450</v>
      </c>
      <c r="P210" s="32" t="s">
        <v>1078</v>
      </c>
      <c r="Q210" s="31">
        <f>12450</f>
        <v>12450</v>
      </c>
      <c r="R210" s="32" t="s">
        <v>1078</v>
      </c>
      <c r="S210" s="33">
        <f>12601</f>
        <v>12601</v>
      </c>
      <c r="T210" s="30">
        <f>537</f>
        <v>537</v>
      </c>
      <c r="U210" s="30" t="str">
        <f t="shared" si="4"/>
        <v>－</v>
      </c>
      <c r="V210" s="30">
        <f>6756070</f>
        <v>6756070</v>
      </c>
      <c r="W210" s="30" t="str">
        <f t="shared" si="5"/>
        <v>－</v>
      </c>
      <c r="X210" s="34">
        <f>5</f>
        <v>5</v>
      </c>
    </row>
    <row r="211" spans="1:24">
      <c r="A211" s="25" t="s">
        <v>1203</v>
      </c>
      <c r="B211" s="25" t="s">
        <v>761</v>
      </c>
      <c r="C211" s="25" t="s">
        <v>762</v>
      </c>
      <c r="D211" s="25" t="s">
        <v>763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 t="str">
        <f>"－"</f>
        <v>－</v>
      </c>
      <c r="L211" s="32"/>
      <c r="M211" s="31" t="str">
        <f>"－"</f>
        <v>－</v>
      </c>
      <c r="N211" s="32"/>
      <c r="O211" s="31" t="str">
        <f>"－"</f>
        <v>－</v>
      </c>
      <c r="P211" s="32"/>
      <c r="Q211" s="31" t="str">
        <f>"－"</f>
        <v>－</v>
      </c>
      <c r="R211" s="32"/>
      <c r="S211" s="33" t="str">
        <f>"－"</f>
        <v>－</v>
      </c>
      <c r="T211" s="30" t="str">
        <f>"－"</f>
        <v>－</v>
      </c>
      <c r="U211" s="30" t="str">
        <f t="shared" si="4"/>
        <v>－</v>
      </c>
      <c r="V211" s="30" t="str">
        <f>"－"</f>
        <v>－</v>
      </c>
      <c r="W211" s="30" t="str">
        <f t="shared" si="5"/>
        <v>－</v>
      </c>
      <c r="X211" s="34" t="str">
        <f>"－"</f>
        <v>－</v>
      </c>
    </row>
    <row r="212" spans="1:24">
      <c r="A212" s="25" t="s">
        <v>1203</v>
      </c>
      <c r="B212" s="25" t="s">
        <v>963</v>
      </c>
      <c r="C212" s="25" t="s">
        <v>964</v>
      </c>
      <c r="D212" s="25" t="s">
        <v>965</v>
      </c>
      <c r="E212" s="26" t="s">
        <v>43</v>
      </c>
      <c r="F212" s="27" t="s">
        <v>43</v>
      </c>
      <c r="G212" s="28" t="s">
        <v>43</v>
      </c>
      <c r="H212" s="29"/>
      <c r="I212" s="29" t="s">
        <v>44</v>
      </c>
      <c r="J212" s="30">
        <v>1</v>
      </c>
      <c r="K212" s="31">
        <f>1206</f>
        <v>1206</v>
      </c>
      <c r="L212" s="32" t="s">
        <v>1204</v>
      </c>
      <c r="M212" s="31">
        <f>1239</f>
        <v>1239</v>
      </c>
      <c r="N212" s="32" t="s">
        <v>1207</v>
      </c>
      <c r="O212" s="31">
        <f>1195</f>
        <v>1195</v>
      </c>
      <c r="P212" s="32" t="s">
        <v>1204</v>
      </c>
      <c r="Q212" s="31">
        <f>1203</f>
        <v>1203</v>
      </c>
      <c r="R212" s="32" t="s">
        <v>1078</v>
      </c>
      <c r="S212" s="33">
        <f>1213.61</f>
        <v>1213.6099999999999</v>
      </c>
      <c r="T212" s="30">
        <f>621672</f>
        <v>621672</v>
      </c>
      <c r="U212" s="30">
        <f>41302</f>
        <v>41302</v>
      </c>
      <c r="V212" s="30">
        <f>754197320</f>
        <v>754197320</v>
      </c>
      <c r="W212" s="30">
        <f>49954766</f>
        <v>49954766</v>
      </c>
      <c r="X212" s="34">
        <f>18</f>
        <v>18</v>
      </c>
    </row>
    <row r="213" spans="1:24">
      <c r="A213" s="25" t="s">
        <v>1203</v>
      </c>
      <c r="B213" s="25" t="s">
        <v>966</v>
      </c>
      <c r="C213" s="25" t="s">
        <v>967</v>
      </c>
      <c r="D213" s="25" t="s">
        <v>968</v>
      </c>
      <c r="E213" s="26" t="s">
        <v>43</v>
      </c>
      <c r="F213" s="27" t="s">
        <v>43</v>
      </c>
      <c r="G213" s="28" t="s">
        <v>43</v>
      </c>
      <c r="H213" s="29"/>
      <c r="I213" s="29" t="s">
        <v>44</v>
      </c>
      <c r="J213" s="30">
        <v>1</v>
      </c>
      <c r="K213" s="31">
        <f>1262</f>
        <v>1262</v>
      </c>
      <c r="L213" s="32" t="s">
        <v>1204</v>
      </c>
      <c r="M213" s="31">
        <f>1276</f>
        <v>1276</v>
      </c>
      <c r="N213" s="32" t="s">
        <v>1209</v>
      </c>
      <c r="O213" s="31">
        <f>1225</f>
        <v>1225</v>
      </c>
      <c r="P213" s="32" t="s">
        <v>1212</v>
      </c>
      <c r="Q213" s="31">
        <f>1233</f>
        <v>1233</v>
      </c>
      <c r="R213" s="32" t="s">
        <v>1078</v>
      </c>
      <c r="S213" s="33">
        <f>1249.44</f>
        <v>1249.44</v>
      </c>
      <c r="T213" s="30">
        <f>13818</f>
        <v>13818</v>
      </c>
      <c r="U213" s="30" t="str">
        <f>"－"</f>
        <v>－</v>
      </c>
      <c r="V213" s="30">
        <f>17237044</f>
        <v>17237044</v>
      </c>
      <c r="W213" s="30" t="str">
        <f>"－"</f>
        <v>－</v>
      </c>
      <c r="X213" s="34">
        <f>18</f>
        <v>18</v>
      </c>
    </row>
    <row r="214" spans="1:24">
      <c r="A214" s="25" t="s">
        <v>1203</v>
      </c>
      <c r="B214" s="25" t="s">
        <v>969</v>
      </c>
      <c r="C214" s="25" t="s">
        <v>970</v>
      </c>
      <c r="D214" s="25" t="s">
        <v>971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1068</f>
        <v>1068</v>
      </c>
      <c r="L214" s="32" t="s">
        <v>1204</v>
      </c>
      <c r="M214" s="31">
        <f>1073</f>
        <v>1073</v>
      </c>
      <c r="N214" s="32" t="s">
        <v>1205</v>
      </c>
      <c r="O214" s="31">
        <f>1021</f>
        <v>1021</v>
      </c>
      <c r="P214" s="32" t="s">
        <v>1078</v>
      </c>
      <c r="Q214" s="31">
        <f>1024</f>
        <v>1024</v>
      </c>
      <c r="R214" s="32" t="s">
        <v>1078</v>
      </c>
      <c r="S214" s="33">
        <f>1054.44</f>
        <v>1054.44</v>
      </c>
      <c r="T214" s="30">
        <f>5716</f>
        <v>5716</v>
      </c>
      <c r="U214" s="30" t="str">
        <f>"－"</f>
        <v>－</v>
      </c>
      <c r="V214" s="30">
        <f>5989997</f>
        <v>5989997</v>
      </c>
      <c r="W214" s="30" t="str">
        <f>"－"</f>
        <v>－</v>
      </c>
      <c r="X214" s="34">
        <f>18</f>
        <v>18</v>
      </c>
    </row>
    <row r="215" spans="1:24">
      <c r="A215" s="25" t="s">
        <v>1203</v>
      </c>
      <c r="B215" s="25" t="s">
        <v>972</v>
      </c>
      <c r="C215" s="25" t="s">
        <v>973</v>
      </c>
      <c r="D215" s="25" t="s">
        <v>974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2198</f>
        <v>2198</v>
      </c>
      <c r="L215" s="32" t="s">
        <v>1204</v>
      </c>
      <c r="M215" s="31">
        <f>2273</f>
        <v>2273</v>
      </c>
      <c r="N215" s="32" t="s">
        <v>1205</v>
      </c>
      <c r="O215" s="31">
        <f>2144</f>
        <v>2144</v>
      </c>
      <c r="P215" s="32" t="s">
        <v>1078</v>
      </c>
      <c r="Q215" s="31">
        <f>2196</f>
        <v>2196</v>
      </c>
      <c r="R215" s="32" t="s">
        <v>1078</v>
      </c>
      <c r="S215" s="33">
        <f>2228</f>
        <v>2228</v>
      </c>
      <c r="T215" s="30">
        <f>87952</f>
        <v>87952</v>
      </c>
      <c r="U215" s="30" t="str">
        <f>"－"</f>
        <v>－</v>
      </c>
      <c r="V215" s="30">
        <f>194512316</f>
        <v>194512316</v>
      </c>
      <c r="W215" s="30" t="str">
        <f>"－"</f>
        <v>－</v>
      </c>
      <c r="X215" s="34">
        <f>18</f>
        <v>18</v>
      </c>
    </row>
    <row r="216" spans="1:24">
      <c r="A216" s="25" t="s">
        <v>1203</v>
      </c>
      <c r="B216" s="25" t="s">
        <v>975</v>
      </c>
      <c r="C216" s="25" t="s">
        <v>976</v>
      </c>
      <c r="D216" s="25" t="s">
        <v>977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2315</f>
        <v>2315</v>
      </c>
      <c r="L216" s="32" t="s">
        <v>1204</v>
      </c>
      <c r="M216" s="31">
        <f>2340</f>
        <v>2340</v>
      </c>
      <c r="N216" s="32" t="s">
        <v>1207</v>
      </c>
      <c r="O216" s="31">
        <f>2252</f>
        <v>2252</v>
      </c>
      <c r="P216" s="32" t="s">
        <v>1078</v>
      </c>
      <c r="Q216" s="31">
        <f>2258</f>
        <v>2258</v>
      </c>
      <c r="R216" s="32" t="s">
        <v>1078</v>
      </c>
      <c r="S216" s="33">
        <f>2303.83</f>
        <v>2303.83</v>
      </c>
      <c r="T216" s="30">
        <f>337277</f>
        <v>337277</v>
      </c>
      <c r="U216" s="30">
        <f>30000</f>
        <v>30000</v>
      </c>
      <c r="V216" s="30">
        <f>775814258</f>
        <v>775814258</v>
      </c>
      <c r="W216" s="30">
        <f>68327000</f>
        <v>68327000</v>
      </c>
      <c r="X216" s="34">
        <f>18</f>
        <v>18</v>
      </c>
    </row>
    <row r="217" spans="1:24">
      <c r="A217" s="25" t="s">
        <v>1203</v>
      </c>
      <c r="B217" s="25" t="s">
        <v>978</v>
      </c>
      <c r="C217" s="25" t="s">
        <v>979</v>
      </c>
      <c r="D217" s="25" t="s">
        <v>980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10</v>
      </c>
      <c r="K217" s="31">
        <f>544.9</f>
        <v>544.9</v>
      </c>
      <c r="L217" s="32" t="s">
        <v>1204</v>
      </c>
      <c r="M217" s="31">
        <f>561</f>
        <v>561</v>
      </c>
      <c r="N217" s="32" t="s">
        <v>1078</v>
      </c>
      <c r="O217" s="31">
        <f>537</f>
        <v>537</v>
      </c>
      <c r="P217" s="32" t="s">
        <v>1204</v>
      </c>
      <c r="Q217" s="31">
        <f>561</f>
        <v>561</v>
      </c>
      <c r="R217" s="32" t="s">
        <v>1078</v>
      </c>
      <c r="S217" s="33">
        <f>552.07</f>
        <v>552.07000000000005</v>
      </c>
      <c r="T217" s="30">
        <f>756750</f>
        <v>756750</v>
      </c>
      <c r="U217" s="30" t="str">
        <f>"－"</f>
        <v>－</v>
      </c>
      <c r="V217" s="30">
        <f>415266225</f>
        <v>415266225</v>
      </c>
      <c r="W217" s="30" t="str">
        <f>"－"</f>
        <v>－</v>
      </c>
      <c r="X217" s="34">
        <f>18</f>
        <v>18</v>
      </c>
    </row>
    <row r="218" spans="1:24">
      <c r="A218" s="25" t="s">
        <v>1203</v>
      </c>
      <c r="B218" s="25" t="s">
        <v>981</v>
      </c>
      <c r="C218" s="25" t="s">
        <v>982</v>
      </c>
      <c r="D218" s="25" t="s">
        <v>983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10</v>
      </c>
      <c r="K218" s="31">
        <f>2540</f>
        <v>2540</v>
      </c>
      <c r="L218" s="32" t="s">
        <v>1204</v>
      </c>
      <c r="M218" s="31">
        <f>2614.5</f>
        <v>2614.5</v>
      </c>
      <c r="N218" s="32" t="s">
        <v>1207</v>
      </c>
      <c r="O218" s="31">
        <f>2471</f>
        <v>2471</v>
      </c>
      <c r="P218" s="32" t="s">
        <v>1078</v>
      </c>
      <c r="Q218" s="31">
        <f>2471</f>
        <v>2471</v>
      </c>
      <c r="R218" s="32" t="s">
        <v>1078</v>
      </c>
      <c r="S218" s="33">
        <f>2544.75</f>
        <v>2544.75</v>
      </c>
      <c r="T218" s="30">
        <f>273660</f>
        <v>273660</v>
      </c>
      <c r="U218" s="30">
        <f>199200</f>
        <v>199200</v>
      </c>
      <c r="V218" s="30">
        <f>688162164</f>
        <v>688162164</v>
      </c>
      <c r="W218" s="30">
        <f>500304744</f>
        <v>500304744</v>
      </c>
      <c r="X218" s="34">
        <f>12</f>
        <v>12</v>
      </c>
    </row>
    <row r="219" spans="1:24">
      <c r="A219" s="25" t="s">
        <v>1203</v>
      </c>
      <c r="B219" s="25" t="s">
        <v>984</v>
      </c>
      <c r="C219" s="25" t="s">
        <v>985</v>
      </c>
      <c r="D219" s="25" t="s">
        <v>986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2600</f>
        <v>2600</v>
      </c>
      <c r="L219" s="32" t="s">
        <v>1204</v>
      </c>
      <c r="M219" s="31">
        <f>2732.5</f>
        <v>2732.5</v>
      </c>
      <c r="N219" s="32" t="s">
        <v>662</v>
      </c>
      <c r="O219" s="31">
        <f>2548.5</f>
        <v>2548.5</v>
      </c>
      <c r="P219" s="32" t="s">
        <v>1078</v>
      </c>
      <c r="Q219" s="31">
        <f>2548.5</f>
        <v>2548.5</v>
      </c>
      <c r="R219" s="32" t="s">
        <v>1078</v>
      </c>
      <c r="S219" s="33">
        <f>2645.04</f>
        <v>2645.04</v>
      </c>
      <c r="T219" s="30">
        <f>274410</f>
        <v>274410</v>
      </c>
      <c r="U219" s="30">
        <f>189500</f>
        <v>189500</v>
      </c>
      <c r="V219" s="30">
        <f>739476855</f>
        <v>739476855</v>
      </c>
      <c r="W219" s="30">
        <f>515665505</f>
        <v>515665505</v>
      </c>
      <c r="X219" s="34">
        <f>12</f>
        <v>12</v>
      </c>
    </row>
    <row r="220" spans="1:24">
      <c r="A220" s="25" t="s">
        <v>1203</v>
      </c>
      <c r="B220" s="25" t="s">
        <v>987</v>
      </c>
      <c r="C220" s="25" t="s">
        <v>988</v>
      </c>
      <c r="D220" s="25" t="s">
        <v>989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2336.5</f>
        <v>2336.5</v>
      </c>
      <c r="L220" s="32" t="s">
        <v>1204</v>
      </c>
      <c r="M220" s="31">
        <f>2370</f>
        <v>2370</v>
      </c>
      <c r="N220" s="32" t="s">
        <v>1209</v>
      </c>
      <c r="O220" s="31">
        <f>2298.5</f>
        <v>2298.5</v>
      </c>
      <c r="P220" s="32" t="s">
        <v>1078</v>
      </c>
      <c r="Q220" s="31">
        <f>2300.5</f>
        <v>2300.5</v>
      </c>
      <c r="R220" s="32" t="s">
        <v>1078</v>
      </c>
      <c r="S220" s="33">
        <f>2339.67</f>
        <v>2339.67</v>
      </c>
      <c r="T220" s="30">
        <f>53340</f>
        <v>53340</v>
      </c>
      <c r="U220" s="30" t="str">
        <f>"－"</f>
        <v>－</v>
      </c>
      <c r="V220" s="30">
        <f>125042700</f>
        <v>125042700</v>
      </c>
      <c r="W220" s="30" t="str">
        <f>"－"</f>
        <v>－</v>
      </c>
      <c r="X220" s="34">
        <f>6</f>
        <v>6</v>
      </c>
    </row>
    <row r="221" spans="1:24">
      <c r="A221" s="25" t="s">
        <v>1203</v>
      </c>
      <c r="B221" s="25" t="s">
        <v>990</v>
      </c>
      <c r="C221" s="25" t="s">
        <v>991</v>
      </c>
      <c r="D221" s="25" t="s">
        <v>992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2578</f>
        <v>2578</v>
      </c>
      <c r="L221" s="32" t="s">
        <v>1206</v>
      </c>
      <c r="M221" s="31">
        <f>2702</f>
        <v>2702</v>
      </c>
      <c r="N221" s="32" t="s">
        <v>1207</v>
      </c>
      <c r="O221" s="31">
        <f>2578</f>
        <v>2578</v>
      </c>
      <c r="P221" s="32" t="s">
        <v>1206</v>
      </c>
      <c r="Q221" s="31">
        <f>2609</f>
        <v>2609</v>
      </c>
      <c r="R221" s="32" t="s">
        <v>1210</v>
      </c>
      <c r="S221" s="33">
        <f>2620.64</f>
        <v>2620.64</v>
      </c>
      <c r="T221" s="30">
        <f>940</f>
        <v>940</v>
      </c>
      <c r="U221" s="30" t="str">
        <f>"－"</f>
        <v>－</v>
      </c>
      <c r="V221" s="30">
        <f>2461005</f>
        <v>2461005</v>
      </c>
      <c r="W221" s="30" t="str">
        <f>"－"</f>
        <v>－</v>
      </c>
      <c r="X221" s="34">
        <f>7</f>
        <v>7</v>
      </c>
    </row>
    <row r="222" spans="1:24">
      <c r="A222" s="25" t="s">
        <v>1203</v>
      </c>
      <c r="B222" s="25" t="s">
        <v>993</v>
      </c>
      <c r="C222" s="25" t="s">
        <v>994</v>
      </c>
      <c r="D222" s="25" t="s">
        <v>995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 t="str">
        <f>"－"</f>
        <v>－</v>
      </c>
      <c r="L222" s="32"/>
      <c r="M222" s="31" t="str">
        <f>"－"</f>
        <v>－</v>
      </c>
      <c r="N222" s="32"/>
      <c r="O222" s="31" t="str">
        <f>"－"</f>
        <v>－</v>
      </c>
      <c r="P222" s="32"/>
      <c r="Q222" s="31" t="str">
        <f>"－"</f>
        <v>－</v>
      </c>
      <c r="R222" s="32"/>
      <c r="S222" s="33" t="str">
        <f>"－"</f>
        <v>－</v>
      </c>
      <c r="T222" s="30" t="str">
        <f>"－"</f>
        <v>－</v>
      </c>
      <c r="U222" s="30" t="str">
        <f>"－"</f>
        <v>－</v>
      </c>
      <c r="V222" s="30" t="str">
        <f>"－"</f>
        <v>－</v>
      </c>
      <c r="W222" s="30" t="str">
        <f>"－"</f>
        <v>－</v>
      </c>
      <c r="X222" s="34" t="str">
        <f>"－"</f>
        <v>－</v>
      </c>
    </row>
    <row r="223" spans="1:24">
      <c r="A223" s="25" t="s">
        <v>1203</v>
      </c>
      <c r="B223" s="25" t="s">
        <v>996</v>
      </c>
      <c r="C223" s="25" t="s">
        <v>997</v>
      </c>
      <c r="D223" s="25" t="s">
        <v>998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>
        <f>4856</f>
        <v>4856</v>
      </c>
      <c r="L223" s="32" t="s">
        <v>1075</v>
      </c>
      <c r="M223" s="31">
        <f>4856</f>
        <v>4856</v>
      </c>
      <c r="N223" s="32" t="s">
        <v>1075</v>
      </c>
      <c r="O223" s="31">
        <f>4856</f>
        <v>4856</v>
      </c>
      <c r="P223" s="32" t="s">
        <v>1075</v>
      </c>
      <c r="Q223" s="31">
        <f>4856</f>
        <v>4856</v>
      </c>
      <c r="R223" s="32" t="s">
        <v>1075</v>
      </c>
      <c r="S223" s="33">
        <f>4856</f>
        <v>4856</v>
      </c>
      <c r="T223" s="30">
        <f>10</f>
        <v>10</v>
      </c>
      <c r="U223" s="30" t="str">
        <f>"－"</f>
        <v>－</v>
      </c>
      <c r="V223" s="30">
        <f>48560</f>
        <v>48560</v>
      </c>
      <c r="W223" s="30" t="str">
        <f>"－"</f>
        <v>－</v>
      </c>
      <c r="X223" s="34">
        <f>1</f>
        <v>1</v>
      </c>
    </row>
    <row r="224" spans="1:24">
      <c r="A224" s="25" t="s">
        <v>1203</v>
      </c>
      <c r="B224" s="25" t="s">
        <v>999</v>
      </c>
      <c r="C224" s="25" t="s">
        <v>1000</v>
      </c>
      <c r="D224" s="25" t="s">
        <v>1001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 t="str">
        <f>"－"</f>
        <v>－</v>
      </c>
      <c r="L224" s="32"/>
      <c r="M224" s="31" t="str">
        <f>"－"</f>
        <v>－</v>
      </c>
      <c r="N224" s="32"/>
      <c r="O224" s="31" t="str">
        <f>"－"</f>
        <v>－</v>
      </c>
      <c r="P224" s="32"/>
      <c r="Q224" s="31" t="str">
        <f>"－"</f>
        <v>－</v>
      </c>
      <c r="R224" s="32"/>
      <c r="S224" s="33" t="str">
        <f>"－"</f>
        <v>－</v>
      </c>
      <c r="T224" s="30" t="str">
        <f>"－"</f>
        <v>－</v>
      </c>
      <c r="U224" s="30" t="str">
        <f>"－"</f>
        <v>－</v>
      </c>
      <c r="V224" s="30" t="str">
        <f>"－"</f>
        <v>－</v>
      </c>
      <c r="W224" s="30" t="str">
        <f>"－"</f>
        <v>－</v>
      </c>
      <c r="X224" s="34" t="str">
        <f>"－"</f>
        <v>－</v>
      </c>
    </row>
    <row r="225" spans="1:24">
      <c r="A225" s="25" t="s">
        <v>1203</v>
      </c>
      <c r="B225" s="25" t="s">
        <v>1025</v>
      </c>
      <c r="C225" s="25" t="s">
        <v>1024</v>
      </c>
      <c r="D225" s="25" t="s">
        <v>1023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5297</f>
        <v>5297</v>
      </c>
      <c r="L225" s="32" t="s">
        <v>1204</v>
      </c>
      <c r="M225" s="31">
        <f>5324</f>
        <v>5324</v>
      </c>
      <c r="N225" s="32" t="s">
        <v>1209</v>
      </c>
      <c r="O225" s="31">
        <f>4965</f>
        <v>4965</v>
      </c>
      <c r="P225" s="32" t="s">
        <v>1212</v>
      </c>
      <c r="Q225" s="31">
        <f>4995</f>
        <v>4995</v>
      </c>
      <c r="R225" s="32" t="s">
        <v>1078</v>
      </c>
      <c r="S225" s="33">
        <f>5073.28</f>
        <v>5073.28</v>
      </c>
      <c r="T225" s="30">
        <f>105990</f>
        <v>105990</v>
      </c>
      <c r="U225" s="30">
        <f>65000</f>
        <v>65000</v>
      </c>
      <c r="V225" s="30">
        <f>532607412</f>
        <v>532607412</v>
      </c>
      <c r="W225" s="30">
        <f>327060382</f>
        <v>327060382</v>
      </c>
      <c r="X225" s="34">
        <f>18</f>
        <v>18</v>
      </c>
    </row>
    <row r="226" spans="1:24">
      <c r="A226" s="25" t="s">
        <v>1203</v>
      </c>
      <c r="B226" s="25" t="s">
        <v>1022</v>
      </c>
      <c r="C226" s="25" t="s">
        <v>1021</v>
      </c>
      <c r="D226" s="25" t="s">
        <v>1020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</v>
      </c>
      <c r="K226" s="31">
        <f>951</f>
        <v>951</v>
      </c>
      <c r="L226" s="32" t="s">
        <v>1204</v>
      </c>
      <c r="M226" s="31">
        <f>980</f>
        <v>980</v>
      </c>
      <c r="N226" s="32" t="s">
        <v>1211</v>
      </c>
      <c r="O226" s="31">
        <f>944</f>
        <v>944</v>
      </c>
      <c r="P226" s="32" t="s">
        <v>1078</v>
      </c>
      <c r="Q226" s="31">
        <f>950</f>
        <v>950</v>
      </c>
      <c r="R226" s="32" t="s">
        <v>1078</v>
      </c>
      <c r="S226" s="33">
        <f>962.78</f>
        <v>962.78</v>
      </c>
      <c r="T226" s="30">
        <f>839417</f>
        <v>839417</v>
      </c>
      <c r="U226" s="30">
        <f>701100</f>
        <v>701100</v>
      </c>
      <c r="V226" s="30">
        <f>806971109</f>
        <v>806971109</v>
      </c>
      <c r="W226" s="30">
        <f>673136142</f>
        <v>673136142</v>
      </c>
      <c r="X226" s="34">
        <f>18</f>
        <v>18</v>
      </c>
    </row>
    <row r="227" spans="1:24">
      <c r="A227" s="25" t="s">
        <v>1203</v>
      </c>
      <c r="B227" s="25" t="s">
        <v>1019</v>
      </c>
      <c r="C227" s="25" t="s">
        <v>1018</v>
      </c>
      <c r="D227" s="25" t="s">
        <v>1017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</v>
      </c>
      <c r="K227" s="31">
        <f>1110</f>
        <v>1110</v>
      </c>
      <c r="L227" s="32" t="s">
        <v>1204</v>
      </c>
      <c r="M227" s="31">
        <f>1136</f>
        <v>1136</v>
      </c>
      <c r="N227" s="32" t="s">
        <v>1075</v>
      </c>
      <c r="O227" s="31">
        <f>1107</f>
        <v>1107</v>
      </c>
      <c r="P227" s="32" t="s">
        <v>1204</v>
      </c>
      <c r="Q227" s="31">
        <f>1121</f>
        <v>1121</v>
      </c>
      <c r="R227" s="32" t="s">
        <v>1078</v>
      </c>
      <c r="S227" s="33">
        <f>1116.11</f>
        <v>1116.1099999999999</v>
      </c>
      <c r="T227" s="30">
        <f>82494</f>
        <v>82494</v>
      </c>
      <c r="U227" s="30" t="str">
        <f>"－"</f>
        <v>－</v>
      </c>
      <c r="V227" s="30">
        <f>91859318</f>
        <v>91859318</v>
      </c>
      <c r="W227" s="30" t="str">
        <f>"－"</f>
        <v>－</v>
      </c>
      <c r="X227" s="34">
        <f>18</f>
        <v>18</v>
      </c>
    </row>
    <row r="228" spans="1:24">
      <c r="A228" s="25" t="s">
        <v>1203</v>
      </c>
      <c r="B228" s="25" t="s">
        <v>1016</v>
      </c>
      <c r="C228" s="25" t="s">
        <v>1015</v>
      </c>
      <c r="D228" s="25" t="s">
        <v>1014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968</f>
        <v>968</v>
      </c>
      <c r="L228" s="32" t="s">
        <v>1204</v>
      </c>
      <c r="M228" s="31">
        <f>980</f>
        <v>980</v>
      </c>
      <c r="N228" s="32" t="s">
        <v>1075</v>
      </c>
      <c r="O228" s="31">
        <f>951</f>
        <v>951</v>
      </c>
      <c r="P228" s="32" t="s">
        <v>738</v>
      </c>
      <c r="Q228" s="31">
        <f>968</f>
        <v>968</v>
      </c>
      <c r="R228" s="32" t="s">
        <v>1078</v>
      </c>
      <c r="S228" s="33">
        <f>964.78</f>
        <v>964.78</v>
      </c>
      <c r="T228" s="30">
        <f>58869</f>
        <v>58869</v>
      </c>
      <c r="U228" s="30" t="str">
        <f>"－"</f>
        <v>－</v>
      </c>
      <c r="V228" s="30">
        <f>56920974</f>
        <v>56920974</v>
      </c>
      <c r="W228" s="30" t="str">
        <f>"－"</f>
        <v>－</v>
      </c>
      <c r="X228" s="34">
        <f>18</f>
        <v>18</v>
      </c>
    </row>
    <row r="229" spans="1:24">
      <c r="A229" s="25" t="s">
        <v>1203</v>
      </c>
      <c r="B229" s="25" t="s">
        <v>1013</v>
      </c>
      <c r="C229" s="25" t="s">
        <v>1012</v>
      </c>
      <c r="D229" s="25" t="s">
        <v>1011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922</f>
        <v>922</v>
      </c>
      <c r="L229" s="32" t="s">
        <v>1204</v>
      </c>
      <c r="M229" s="31">
        <f>922</f>
        <v>922</v>
      </c>
      <c r="N229" s="32" t="s">
        <v>1204</v>
      </c>
      <c r="O229" s="31">
        <f>888</f>
        <v>888</v>
      </c>
      <c r="P229" s="32" t="s">
        <v>738</v>
      </c>
      <c r="Q229" s="31">
        <f>909</f>
        <v>909</v>
      </c>
      <c r="R229" s="32" t="s">
        <v>1078</v>
      </c>
      <c r="S229" s="33">
        <f>901.17</f>
        <v>901.17</v>
      </c>
      <c r="T229" s="30">
        <f>77877</f>
        <v>77877</v>
      </c>
      <c r="U229" s="30" t="str">
        <f>"－"</f>
        <v>－</v>
      </c>
      <c r="V229" s="30">
        <f>70442509</f>
        <v>70442509</v>
      </c>
      <c r="W229" s="30" t="str">
        <f>"－"</f>
        <v>－</v>
      </c>
      <c r="X229" s="34">
        <f>18</f>
        <v>18</v>
      </c>
    </row>
    <row r="230" spans="1:24">
      <c r="A230" s="25" t="s">
        <v>1203</v>
      </c>
      <c r="B230" s="25" t="s">
        <v>1010</v>
      </c>
      <c r="C230" s="25" t="s">
        <v>1009</v>
      </c>
      <c r="D230" s="25" t="s">
        <v>1008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992</f>
        <v>992</v>
      </c>
      <c r="L230" s="32" t="s">
        <v>1204</v>
      </c>
      <c r="M230" s="31">
        <f>997</f>
        <v>997</v>
      </c>
      <c r="N230" s="32" t="s">
        <v>1204</v>
      </c>
      <c r="O230" s="31">
        <f>949</f>
        <v>949</v>
      </c>
      <c r="P230" s="32" t="s">
        <v>1076</v>
      </c>
      <c r="Q230" s="31">
        <f>960</f>
        <v>960</v>
      </c>
      <c r="R230" s="32" t="s">
        <v>1078</v>
      </c>
      <c r="S230" s="33">
        <f>968.83</f>
        <v>968.83</v>
      </c>
      <c r="T230" s="30">
        <f>36304</f>
        <v>36304</v>
      </c>
      <c r="U230" s="30">
        <f>3</f>
        <v>3</v>
      </c>
      <c r="V230" s="30">
        <f>34893709</f>
        <v>34893709</v>
      </c>
      <c r="W230" s="30">
        <f>2904</f>
        <v>2904</v>
      </c>
      <c r="X230" s="34">
        <f>18</f>
        <v>18</v>
      </c>
    </row>
    <row r="231" spans="1:24">
      <c r="A231" s="25" t="s">
        <v>1203</v>
      </c>
      <c r="B231" s="25" t="s">
        <v>1125</v>
      </c>
      <c r="C231" s="25" t="s">
        <v>1126</v>
      </c>
      <c r="D231" s="25" t="s">
        <v>1127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1482</f>
        <v>1482</v>
      </c>
      <c r="L231" s="32" t="s">
        <v>1204</v>
      </c>
      <c r="M231" s="31">
        <f>1527</f>
        <v>1527</v>
      </c>
      <c r="N231" s="32" t="s">
        <v>1078</v>
      </c>
      <c r="O231" s="31">
        <f>1474</f>
        <v>1474</v>
      </c>
      <c r="P231" s="32" t="s">
        <v>738</v>
      </c>
      <c r="Q231" s="31">
        <f>1508</f>
        <v>1508</v>
      </c>
      <c r="R231" s="32" t="s">
        <v>1078</v>
      </c>
      <c r="S231" s="33">
        <f>1499.11</f>
        <v>1499.11</v>
      </c>
      <c r="T231" s="30">
        <f>130749</f>
        <v>130749</v>
      </c>
      <c r="U231" s="30">
        <f>6700</f>
        <v>6700</v>
      </c>
      <c r="V231" s="30">
        <f>195735191</f>
        <v>195735191</v>
      </c>
      <c r="W231" s="30">
        <f>10050000</f>
        <v>10050000</v>
      </c>
      <c r="X231" s="34">
        <f>18</f>
        <v>18</v>
      </c>
    </row>
    <row r="232" spans="1:24">
      <c r="A232" s="25" t="s">
        <v>1203</v>
      </c>
      <c r="B232" s="25" t="s">
        <v>1139</v>
      </c>
      <c r="C232" s="25" t="s">
        <v>1138</v>
      </c>
      <c r="D232" s="25" t="s">
        <v>1137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10</v>
      </c>
      <c r="K232" s="31">
        <f>148.2</f>
        <v>148.19999999999999</v>
      </c>
      <c r="L232" s="32" t="s">
        <v>1204</v>
      </c>
      <c r="M232" s="31">
        <f>161.4</f>
        <v>161.4</v>
      </c>
      <c r="N232" s="32" t="s">
        <v>1081</v>
      </c>
      <c r="O232" s="31">
        <f>142.7</f>
        <v>142.69999999999999</v>
      </c>
      <c r="P232" s="32" t="s">
        <v>1078</v>
      </c>
      <c r="Q232" s="31">
        <f>144.1</f>
        <v>144.1</v>
      </c>
      <c r="R232" s="32" t="s">
        <v>1078</v>
      </c>
      <c r="S232" s="33">
        <f>153.49</f>
        <v>153.49</v>
      </c>
      <c r="T232" s="30">
        <f>3435010</f>
        <v>3435010</v>
      </c>
      <c r="U232" s="30" t="str">
        <f>"－"</f>
        <v>－</v>
      </c>
      <c r="V232" s="30">
        <f>518324705</f>
        <v>518324705</v>
      </c>
      <c r="W232" s="30" t="str">
        <f>"－"</f>
        <v>－</v>
      </c>
      <c r="X232" s="34">
        <f>18</f>
        <v>18</v>
      </c>
    </row>
    <row r="233" spans="1:24">
      <c r="A233" s="25" t="s">
        <v>1203</v>
      </c>
      <c r="B233" s="25" t="s">
        <v>1136</v>
      </c>
      <c r="C233" s="25" t="s">
        <v>1135</v>
      </c>
      <c r="D233" s="25" t="s">
        <v>1134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10</v>
      </c>
      <c r="K233" s="31">
        <f>425.4</f>
        <v>425.4</v>
      </c>
      <c r="L233" s="32" t="s">
        <v>1204</v>
      </c>
      <c r="M233" s="31">
        <f>458.6</f>
        <v>458.6</v>
      </c>
      <c r="N233" s="32" t="s">
        <v>1081</v>
      </c>
      <c r="O233" s="31">
        <f>403.6</f>
        <v>403.6</v>
      </c>
      <c r="P233" s="32" t="s">
        <v>1078</v>
      </c>
      <c r="Q233" s="31">
        <f>424.7</f>
        <v>424.7</v>
      </c>
      <c r="R233" s="32" t="s">
        <v>1078</v>
      </c>
      <c r="S233" s="33">
        <f>437.05</f>
        <v>437.05</v>
      </c>
      <c r="T233" s="30">
        <f>1270230</f>
        <v>1270230</v>
      </c>
      <c r="U233" s="30">
        <f>730000</f>
        <v>730000</v>
      </c>
      <c r="V233" s="30">
        <f>529875406</f>
        <v>529875406</v>
      </c>
      <c r="W233" s="30">
        <f>299061290</f>
        <v>299061290</v>
      </c>
      <c r="X233" s="34">
        <f>18</f>
        <v>18</v>
      </c>
    </row>
    <row r="234" spans="1:24">
      <c r="A234" s="25" t="s">
        <v>1203</v>
      </c>
      <c r="B234" s="25" t="s">
        <v>844</v>
      </c>
      <c r="C234" s="25" t="s">
        <v>845</v>
      </c>
      <c r="D234" s="25" t="s">
        <v>846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10</v>
      </c>
      <c r="K234" s="31">
        <f>2985</f>
        <v>2985</v>
      </c>
      <c r="L234" s="32" t="s">
        <v>1204</v>
      </c>
      <c r="M234" s="31">
        <f>3017</f>
        <v>3017</v>
      </c>
      <c r="N234" s="32" t="s">
        <v>1208</v>
      </c>
      <c r="O234" s="31">
        <f>2814</f>
        <v>2814</v>
      </c>
      <c r="P234" s="32" t="s">
        <v>1078</v>
      </c>
      <c r="Q234" s="31">
        <f>2829</f>
        <v>2829</v>
      </c>
      <c r="R234" s="32" t="s">
        <v>1078</v>
      </c>
      <c r="S234" s="33">
        <f>2934.89</f>
        <v>2934.89</v>
      </c>
      <c r="T234" s="30">
        <f>860580</f>
        <v>860580</v>
      </c>
      <c r="U234" s="30">
        <f>840010</f>
        <v>840010</v>
      </c>
      <c r="V234" s="30">
        <f>2543686655</f>
        <v>2543686655</v>
      </c>
      <c r="W234" s="30">
        <f>2483195775</f>
        <v>2483195775</v>
      </c>
      <c r="X234" s="34">
        <f>18</f>
        <v>18</v>
      </c>
    </row>
    <row r="235" spans="1:24">
      <c r="A235" s="25" t="s">
        <v>1203</v>
      </c>
      <c r="B235" s="25" t="s">
        <v>847</v>
      </c>
      <c r="C235" s="25" t="s">
        <v>848</v>
      </c>
      <c r="D235" s="25" t="s">
        <v>849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</v>
      </c>
      <c r="K235" s="31">
        <f>1298</f>
        <v>1298</v>
      </c>
      <c r="L235" s="32" t="s">
        <v>1204</v>
      </c>
      <c r="M235" s="31">
        <f>1298</f>
        <v>1298</v>
      </c>
      <c r="N235" s="32" t="s">
        <v>1204</v>
      </c>
      <c r="O235" s="31">
        <f>1244</f>
        <v>1244</v>
      </c>
      <c r="P235" s="32" t="s">
        <v>1075</v>
      </c>
      <c r="Q235" s="31">
        <f>1254</f>
        <v>1254</v>
      </c>
      <c r="R235" s="32" t="s">
        <v>1078</v>
      </c>
      <c r="S235" s="33">
        <f>1264.44</f>
        <v>1264.44</v>
      </c>
      <c r="T235" s="30">
        <f>1398402</f>
        <v>1398402</v>
      </c>
      <c r="U235" s="30">
        <f>492122</f>
        <v>492122</v>
      </c>
      <c r="V235" s="30">
        <f>1766251656</f>
        <v>1766251656</v>
      </c>
      <c r="W235" s="30">
        <f>618433584</f>
        <v>618433584</v>
      </c>
      <c r="X235" s="34">
        <f>18</f>
        <v>18</v>
      </c>
    </row>
    <row r="236" spans="1:24">
      <c r="A236" s="25" t="s">
        <v>1203</v>
      </c>
      <c r="B236" s="25" t="s">
        <v>853</v>
      </c>
      <c r="C236" s="25" t="s">
        <v>854</v>
      </c>
      <c r="D236" s="25" t="s">
        <v>855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86470</f>
        <v>86470</v>
      </c>
      <c r="L236" s="32" t="s">
        <v>1204</v>
      </c>
      <c r="M236" s="31">
        <f>91980</f>
        <v>91980</v>
      </c>
      <c r="N236" s="32" t="s">
        <v>1081</v>
      </c>
      <c r="O236" s="31">
        <f>83190</f>
        <v>83190</v>
      </c>
      <c r="P236" s="32" t="s">
        <v>1078</v>
      </c>
      <c r="Q236" s="31">
        <f>86870</f>
        <v>86870</v>
      </c>
      <c r="R236" s="32" t="s">
        <v>1078</v>
      </c>
      <c r="S236" s="33">
        <f>89475</f>
        <v>89475</v>
      </c>
      <c r="T236" s="30">
        <f>26089</f>
        <v>26089</v>
      </c>
      <c r="U236" s="30">
        <f>2</f>
        <v>2</v>
      </c>
      <c r="V236" s="30">
        <f>2314426480</f>
        <v>2314426480</v>
      </c>
      <c r="W236" s="30">
        <f>178210</f>
        <v>178210</v>
      </c>
      <c r="X236" s="34">
        <f>18</f>
        <v>18</v>
      </c>
    </row>
    <row r="237" spans="1:24">
      <c r="A237" s="25" t="s">
        <v>1203</v>
      </c>
      <c r="B237" s="25" t="s">
        <v>856</v>
      </c>
      <c r="C237" s="25" t="s">
        <v>857</v>
      </c>
      <c r="D237" s="25" t="s">
        <v>858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6801</f>
        <v>6801</v>
      </c>
      <c r="L237" s="32" t="s">
        <v>1204</v>
      </c>
      <c r="M237" s="31">
        <f>6913</f>
        <v>6913</v>
      </c>
      <c r="N237" s="32" t="s">
        <v>1078</v>
      </c>
      <c r="O237" s="31">
        <f>6585</f>
        <v>6585</v>
      </c>
      <c r="P237" s="32" t="s">
        <v>1081</v>
      </c>
      <c r="Q237" s="31">
        <f>6900</f>
        <v>6900</v>
      </c>
      <c r="R237" s="32" t="s">
        <v>1078</v>
      </c>
      <c r="S237" s="33">
        <f>6699.17</f>
        <v>6699.17</v>
      </c>
      <c r="T237" s="30">
        <f>37177</f>
        <v>37177</v>
      </c>
      <c r="U237" s="30">
        <f>30</f>
        <v>30</v>
      </c>
      <c r="V237" s="30">
        <f>250956462</f>
        <v>250956462</v>
      </c>
      <c r="W237" s="30">
        <f>198210</f>
        <v>198210</v>
      </c>
      <c r="X237" s="34">
        <f>18</f>
        <v>18</v>
      </c>
    </row>
    <row r="238" spans="1:24">
      <c r="A238" s="25" t="s">
        <v>1203</v>
      </c>
      <c r="B238" s="25" t="s">
        <v>860</v>
      </c>
      <c r="C238" s="25" t="s">
        <v>861</v>
      </c>
      <c r="D238" s="25" t="s">
        <v>862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10</v>
      </c>
      <c r="K238" s="31">
        <f>18735</f>
        <v>18735</v>
      </c>
      <c r="L238" s="32" t="s">
        <v>1204</v>
      </c>
      <c r="M238" s="31">
        <f>19900</f>
        <v>19900</v>
      </c>
      <c r="N238" s="32" t="s">
        <v>1081</v>
      </c>
      <c r="O238" s="31">
        <f>18005</f>
        <v>18005</v>
      </c>
      <c r="P238" s="32" t="s">
        <v>1078</v>
      </c>
      <c r="Q238" s="31">
        <f>18160</f>
        <v>18160</v>
      </c>
      <c r="R238" s="32" t="s">
        <v>1078</v>
      </c>
      <c r="S238" s="33">
        <f>19298.89</f>
        <v>19298.89</v>
      </c>
      <c r="T238" s="30">
        <f>69280</f>
        <v>69280</v>
      </c>
      <c r="U238" s="30" t="str">
        <f>"－"</f>
        <v>－</v>
      </c>
      <c r="V238" s="30">
        <f>1326774900</f>
        <v>1326774900</v>
      </c>
      <c r="W238" s="30" t="str">
        <f>"－"</f>
        <v>－</v>
      </c>
      <c r="X238" s="34">
        <f>18</f>
        <v>18</v>
      </c>
    </row>
    <row r="239" spans="1:24">
      <c r="A239" s="25" t="s">
        <v>1203</v>
      </c>
      <c r="B239" s="25" t="s">
        <v>1133</v>
      </c>
      <c r="C239" s="25" t="s">
        <v>1132</v>
      </c>
      <c r="D239" s="25" t="s">
        <v>1131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1100</f>
        <v>1100</v>
      </c>
      <c r="L239" s="32" t="s">
        <v>1204</v>
      </c>
      <c r="M239" s="31">
        <f>1173</f>
        <v>1173</v>
      </c>
      <c r="N239" s="32" t="s">
        <v>1207</v>
      </c>
      <c r="O239" s="31">
        <f>1039</f>
        <v>1039</v>
      </c>
      <c r="P239" s="32" t="s">
        <v>1078</v>
      </c>
      <c r="Q239" s="31">
        <f>1049</f>
        <v>1049</v>
      </c>
      <c r="R239" s="32" t="s">
        <v>1078</v>
      </c>
      <c r="S239" s="33">
        <f>1126.22</f>
        <v>1126.22</v>
      </c>
      <c r="T239" s="30">
        <f>686002</f>
        <v>686002</v>
      </c>
      <c r="U239" s="30" t="str">
        <f>"－"</f>
        <v>－</v>
      </c>
      <c r="V239" s="30">
        <f>768437749</f>
        <v>768437749</v>
      </c>
      <c r="W239" s="30" t="str">
        <f>"－"</f>
        <v>－</v>
      </c>
      <c r="X239" s="34">
        <f>18</f>
        <v>18</v>
      </c>
    </row>
    <row r="240" spans="1:24">
      <c r="A240" s="25" t="s">
        <v>1203</v>
      </c>
      <c r="B240" s="25" t="s">
        <v>863</v>
      </c>
      <c r="C240" s="25" t="s">
        <v>864</v>
      </c>
      <c r="D240" s="25" t="s">
        <v>865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10</v>
      </c>
      <c r="K240" s="31">
        <f>6840</f>
        <v>6840</v>
      </c>
      <c r="L240" s="32" t="s">
        <v>1204</v>
      </c>
      <c r="M240" s="31">
        <f>6956</f>
        <v>6956</v>
      </c>
      <c r="N240" s="32" t="s">
        <v>1078</v>
      </c>
      <c r="O240" s="31">
        <f>6624</f>
        <v>6624</v>
      </c>
      <c r="P240" s="32" t="s">
        <v>1081</v>
      </c>
      <c r="Q240" s="31">
        <f>6932</f>
        <v>6932</v>
      </c>
      <c r="R240" s="32" t="s">
        <v>1078</v>
      </c>
      <c r="S240" s="33">
        <f>6727.11</f>
        <v>6727.11</v>
      </c>
      <c r="T240" s="30">
        <f>15780</f>
        <v>15780</v>
      </c>
      <c r="U240" s="30" t="str">
        <f>"－"</f>
        <v>－</v>
      </c>
      <c r="V240" s="30">
        <f>106262620</f>
        <v>106262620</v>
      </c>
      <c r="W240" s="30" t="str">
        <f>"－"</f>
        <v>－</v>
      </c>
      <c r="X240" s="34">
        <f>18</f>
        <v>18</v>
      </c>
    </row>
    <row r="241" spans="1:24">
      <c r="A241" s="25" t="s">
        <v>1203</v>
      </c>
      <c r="B241" s="25" t="s">
        <v>866</v>
      </c>
      <c r="C241" s="25" t="s">
        <v>867</v>
      </c>
      <c r="D241" s="25" t="s">
        <v>868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10</v>
      </c>
      <c r="K241" s="31">
        <f>773</f>
        <v>773</v>
      </c>
      <c r="L241" s="32" t="s">
        <v>1204</v>
      </c>
      <c r="M241" s="31">
        <f>773</f>
        <v>773</v>
      </c>
      <c r="N241" s="32" t="s">
        <v>1204</v>
      </c>
      <c r="O241" s="31">
        <f>719.5</f>
        <v>719.5</v>
      </c>
      <c r="P241" s="32" t="s">
        <v>1078</v>
      </c>
      <c r="Q241" s="31">
        <f>725.1</f>
        <v>725.1</v>
      </c>
      <c r="R241" s="32" t="s">
        <v>1078</v>
      </c>
      <c r="S241" s="33">
        <f>750.94</f>
        <v>750.94</v>
      </c>
      <c r="T241" s="30">
        <f>201860</f>
        <v>201860</v>
      </c>
      <c r="U241" s="30" t="str">
        <f>"－"</f>
        <v>－</v>
      </c>
      <c r="V241" s="30">
        <f>152692279</f>
        <v>152692279</v>
      </c>
      <c r="W241" s="30" t="str">
        <f>"－"</f>
        <v>－</v>
      </c>
      <c r="X241" s="34">
        <f>18</f>
        <v>18</v>
      </c>
    </row>
    <row r="242" spans="1:24">
      <c r="A242" s="25" t="s">
        <v>1203</v>
      </c>
      <c r="B242" s="25" t="s">
        <v>869</v>
      </c>
      <c r="C242" s="25" t="s">
        <v>870</v>
      </c>
      <c r="D242" s="25" t="s">
        <v>871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10</v>
      </c>
      <c r="K242" s="31">
        <f>596.8</f>
        <v>596.79999999999995</v>
      </c>
      <c r="L242" s="32" t="s">
        <v>1204</v>
      </c>
      <c r="M242" s="31">
        <f>610.2</f>
        <v>610.20000000000005</v>
      </c>
      <c r="N242" s="32" t="s">
        <v>1209</v>
      </c>
      <c r="O242" s="31">
        <f>583.1</f>
        <v>583.1</v>
      </c>
      <c r="P242" s="32" t="s">
        <v>1075</v>
      </c>
      <c r="Q242" s="31">
        <f>586</f>
        <v>586</v>
      </c>
      <c r="R242" s="32" t="s">
        <v>1078</v>
      </c>
      <c r="S242" s="33">
        <f>599.54</f>
        <v>599.54</v>
      </c>
      <c r="T242" s="30">
        <f>1071880</f>
        <v>1071880</v>
      </c>
      <c r="U242" s="30">
        <f>942880</f>
        <v>942880</v>
      </c>
      <c r="V242" s="30">
        <f>638916989</f>
        <v>638916989</v>
      </c>
      <c r="W242" s="30">
        <f>561905797</f>
        <v>561905797</v>
      </c>
      <c r="X242" s="34">
        <f>18</f>
        <v>18</v>
      </c>
    </row>
    <row r="243" spans="1:24">
      <c r="A243" s="25" t="s">
        <v>1203</v>
      </c>
      <c r="B243" s="25" t="s">
        <v>906</v>
      </c>
      <c r="C243" s="25" t="s">
        <v>907</v>
      </c>
      <c r="D243" s="25" t="s">
        <v>908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</v>
      </c>
      <c r="K243" s="31">
        <f>1800</f>
        <v>1800</v>
      </c>
      <c r="L243" s="32" t="s">
        <v>1204</v>
      </c>
      <c r="M243" s="31">
        <f>1919</f>
        <v>1919</v>
      </c>
      <c r="N243" s="32" t="s">
        <v>1081</v>
      </c>
      <c r="O243" s="31">
        <f>1673</f>
        <v>1673</v>
      </c>
      <c r="P243" s="32" t="s">
        <v>1078</v>
      </c>
      <c r="Q243" s="31">
        <f>1687</f>
        <v>1687</v>
      </c>
      <c r="R243" s="32" t="s">
        <v>1078</v>
      </c>
      <c r="S243" s="33">
        <f>1840.89</f>
        <v>1840.89</v>
      </c>
      <c r="T243" s="30">
        <f>4328174</f>
        <v>4328174</v>
      </c>
      <c r="U243" s="30">
        <f>35113</f>
        <v>35113</v>
      </c>
      <c r="V243" s="30">
        <f>7859152202</f>
        <v>7859152202</v>
      </c>
      <c r="W243" s="30">
        <f>63846430</f>
        <v>63846430</v>
      </c>
      <c r="X243" s="34">
        <f>18</f>
        <v>18</v>
      </c>
    </row>
    <row r="244" spans="1:24">
      <c r="A244" s="25" t="s">
        <v>1203</v>
      </c>
      <c r="B244" s="25" t="s">
        <v>909</v>
      </c>
      <c r="C244" s="25" t="s">
        <v>910</v>
      </c>
      <c r="D244" s="25" t="s">
        <v>911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</v>
      </c>
      <c r="K244" s="31">
        <f>2472</f>
        <v>2472</v>
      </c>
      <c r="L244" s="32" t="s">
        <v>1204</v>
      </c>
      <c r="M244" s="31">
        <f>2538</f>
        <v>2538</v>
      </c>
      <c r="N244" s="32" t="s">
        <v>1205</v>
      </c>
      <c r="O244" s="31">
        <f>2262</f>
        <v>2262</v>
      </c>
      <c r="P244" s="32" t="s">
        <v>1078</v>
      </c>
      <c r="Q244" s="31">
        <f>2285</f>
        <v>2285</v>
      </c>
      <c r="R244" s="32" t="s">
        <v>1078</v>
      </c>
      <c r="S244" s="33">
        <f>2467.67</f>
        <v>2467.67</v>
      </c>
      <c r="T244" s="30">
        <f>7139481</f>
        <v>7139481</v>
      </c>
      <c r="U244" s="30">
        <f>2059</f>
        <v>2059</v>
      </c>
      <c r="V244" s="30">
        <f>17469263030</f>
        <v>17469263030</v>
      </c>
      <c r="W244" s="30">
        <f>5015104</f>
        <v>5015104</v>
      </c>
      <c r="X244" s="34">
        <f>18</f>
        <v>18</v>
      </c>
    </row>
    <row r="245" spans="1:24">
      <c r="A245" s="25" t="s">
        <v>1203</v>
      </c>
      <c r="B245" s="25" t="s">
        <v>912</v>
      </c>
      <c r="C245" s="25" t="s">
        <v>913</v>
      </c>
      <c r="D245" s="25" t="s">
        <v>914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10</v>
      </c>
      <c r="K245" s="31">
        <f>778</f>
        <v>778</v>
      </c>
      <c r="L245" s="32" t="s">
        <v>1204</v>
      </c>
      <c r="M245" s="31">
        <f>778</f>
        <v>778</v>
      </c>
      <c r="N245" s="32" t="s">
        <v>1204</v>
      </c>
      <c r="O245" s="31">
        <f>748.2</f>
        <v>748.2</v>
      </c>
      <c r="P245" s="32" t="s">
        <v>1208</v>
      </c>
      <c r="Q245" s="31">
        <f>760.2</f>
        <v>760.2</v>
      </c>
      <c r="R245" s="32" t="s">
        <v>1078</v>
      </c>
      <c r="S245" s="33">
        <f>758.36</f>
        <v>758.36</v>
      </c>
      <c r="T245" s="30">
        <f>530</f>
        <v>530</v>
      </c>
      <c r="U245" s="30" t="str">
        <f>"－"</f>
        <v>－</v>
      </c>
      <c r="V245" s="30">
        <f>400419</f>
        <v>400419</v>
      </c>
      <c r="W245" s="30" t="str">
        <f>"－"</f>
        <v>－</v>
      </c>
      <c r="X245" s="34">
        <f>12</f>
        <v>12</v>
      </c>
    </row>
    <row r="246" spans="1:24">
      <c r="A246" s="25" t="s">
        <v>1203</v>
      </c>
      <c r="B246" s="25" t="s">
        <v>915</v>
      </c>
      <c r="C246" s="25" t="s">
        <v>916</v>
      </c>
      <c r="D246" s="25" t="s">
        <v>917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10</v>
      </c>
      <c r="K246" s="31">
        <f>751</f>
        <v>751</v>
      </c>
      <c r="L246" s="32" t="s">
        <v>1204</v>
      </c>
      <c r="M246" s="31">
        <f>760</f>
        <v>760</v>
      </c>
      <c r="N246" s="32" t="s">
        <v>738</v>
      </c>
      <c r="O246" s="31">
        <f>748.8</f>
        <v>748.8</v>
      </c>
      <c r="P246" s="32" t="s">
        <v>662</v>
      </c>
      <c r="Q246" s="31">
        <f>757.9</f>
        <v>757.9</v>
      </c>
      <c r="R246" s="32" t="s">
        <v>1075</v>
      </c>
      <c r="S246" s="33">
        <f>755.5</f>
        <v>755.5</v>
      </c>
      <c r="T246" s="30">
        <f>20800</f>
        <v>20800</v>
      </c>
      <c r="U246" s="30" t="str">
        <f>"－"</f>
        <v>－</v>
      </c>
      <c r="V246" s="30">
        <f>15640100</f>
        <v>15640100</v>
      </c>
      <c r="W246" s="30" t="str">
        <f>"－"</f>
        <v>－</v>
      </c>
      <c r="X246" s="34">
        <f>8</f>
        <v>8</v>
      </c>
    </row>
    <row r="247" spans="1:24">
      <c r="A247" s="25" t="s">
        <v>1203</v>
      </c>
      <c r="B247" s="25" t="s">
        <v>924</v>
      </c>
      <c r="C247" s="25" t="s">
        <v>925</v>
      </c>
      <c r="D247" s="25" t="s">
        <v>926</v>
      </c>
      <c r="E247" s="26" t="s">
        <v>43</v>
      </c>
      <c r="F247" s="27" t="s">
        <v>43</v>
      </c>
      <c r="G247" s="28" t="s">
        <v>43</v>
      </c>
      <c r="H247" s="29"/>
      <c r="I247" s="29" t="s">
        <v>44</v>
      </c>
      <c r="J247" s="30">
        <v>1</v>
      </c>
      <c r="K247" s="31">
        <f>17500</f>
        <v>17500</v>
      </c>
      <c r="L247" s="32" t="s">
        <v>1204</v>
      </c>
      <c r="M247" s="31">
        <f>17695</f>
        <v>17695</v>
      </c>
      <c r="N247" s="32" t="s">
        <v>1208</v>
      </c>
      <c r="O247" s="31">
        <f>16460</f>
        <v>16460</v>
      </c>
      <c r="P247" s="32" t="s">
        <v>1078</v>
      </c>
      <c r="Q247" s="31">
        <f>16580</f>
        <v>16580</v>
      </c>
      <c r="R247" s="32" t="s">
        <v>1078</v>
      </c>
      <c r="S247" s="33">
        <f>17285.28</f>
        <v>17285.28</v>
      </c>
      <c r="T247" s="30">
        <f>136891</f>
        <v>136891</v>
      </c>
      <c r="U247" s="30">
        <f>3</f>
        <v>3</v>
      </c>
      <c r="V247" s="30">
        <f>2349085520</f>
        <v>2349085520</v>
      </c>
      <c r="W247" s="30">
        <f>52490</f>
        <v>52490</v>
      </c>
      <c r="X247" s="34">
        <f>18</f>
        <v>18</v>
      </c>
    </row>
    <row r="248" spans="1:24">
      <c r="A248" s="25" t="s">
        <v>1203</v>
      </c>
      <c r="B248" s="25" t="s">
        <v>927</v>
      </c>
      <c r="C248" s="25" t="s">
        <v>928</v>
      </c>
      <c r="D248" s="25" t="s">
        <v>929</v>
      </c>
      <c r="E248" s="26" t="s">
        <v>43</v>
      </c>
      <c r="F248" s="27" t="s">
        <v>43</v>
      </c>
      <c r="G248" s="28" t="s">
        <v>43</v>
      </c>
      <c r="H248" s="29"/>
      <c r="I248" s="29" t="s">
        <v>44</v>
      </c>
      <c r="J248" s="30">
        <v>1</v>
      </c>
      <c r="K248" s="31">
        <f>45210</f>
        <v>45210</v>
      </c>
      <c r="L248" s="32" t="s">
        <v>1204</v>
      </c>
      <c r="M248" s="31">
        <f>47530</f>
        <v>47530</v>
      </c>
      <c r="N248" s="32" t="s">
        <v>1211</v>
      </c>
      <c r="O248" s="31">
        <f>44500</f>
        <v>44500</v>
      </c>
      <c r="P248" s="32" t="s">
        <v>1078</v>
      </c>
      <c r="Q248" s="31">
        <f>44640</f>
        <v>44640</v>
      </c>
      <c r="R248" s="32" t="s">
        <v>1078</v>
      </c>
      <c r="S248" s="33">
        <f>46056.11</f>
        <v>46056.11</v>
      </c>
      <c r="T248" s="30">
        <f>58337</f>
        <v>58337</v>
      </c>
      <c r="U248" s="30">
        <f>801</f>
        <v>801</v>
      </c>
      <c r="V248" s="30">
        <f>2662951630</f>
        <v>2662951630</v>
      </c>
      <c r="W248" s="30">
        <f>36417860</f>
        <v>36417860</v>
      </c>
      <c r="X248" s="34">
        <f>18</f>
        <v>18</v>
      </c>
    </row>
    <row r="249" spans="1:24">
      <c r="A249" s="25" t="s">
        <v>1203</v>
      </c>
      <c r="B249" s="25" t="s">
        <v>930</v>
      </c>
      <c r="C249" s="25" t="s">
        <v>931</v>
      </c>
      <c r="D249" s="25" t="s">
        <v>932</v>
      </c>
      <c r="E249" s="26" t="s">
        <v>43</v>
      </c>
      <c r="F249" s="27" t="s">
        <v>43</v>
      </c>
      <c r="G249" s="28" t="s">
        <v>43</v>
      </c>
      <c r="H249" s="29"/>
      <c r="I249" s="29" t="s">
        <v>44</v>
      </c>
      <c r="J249" s="30">
        <v>1</v>
      </c>
      <c r="K249" s="31">
        <f>16730</f>
        <v>16730</v>
      </c>
      <c r="L249" s="32" t="s">
        <v>1204</v>
      </c>
      <c r="M249" s="31">
        <f>17300</f>
        <v>17300</v>
      </c>
      <c r="N249" s="32" t="s">
        <v>1078</v>
      </c>
      <c r="O249" s="31">
        <f>15710</f>
        <v>15710</v>
      </c>
      <c r="P249" s="32" t="s">
        <v>1081</v>
      </c>
      <c r="Q249" s="31">
        <f>17180</f>
        <v>17180</v>
      </c>
      <c r="R249" s="32" t="s">
        <v>1078</v>
      </c>
      <c r="S249" s="33">
        <f>16202.5</f>
        <v>16202.5</v>
      </c>
      <c r="T249" s="30">
        <f>73669</f>
        <v>73669</v>
      </c>
      <c r="U249" s="30" t="str">
        <f>"－"</f>
        <v>－</v>
      </c>
      <c r="V249" s="30">
        <f>1192630930</f>
        <v>1192630930</v>
      </c>
      <c r="W249" s="30" t="str">
        <f>"－"</f>
        <v>－</v>
      </c>
      <c r="X249" s="34">
        <f>18</f>
        <v>18</v>
      </c>
    </row>
    <row r="250" spans="1:24">
      <c r="A250" s="25" t="s">
        <v>1203</v>
      </c>
      <c r="B250" s="25" t="s">
        <v>1130</v>
      </c>
      <c r="C250" s="25" t="s">
        <v>1129</v>
      </c>
      <c r="D250" s="25" t="s">
        <v>1128</v>
      </c>
      <c r="E250" s="26" t="s">
        <v>43</v>
      </c>
      <c r="F250" s="27" t="s">
        <v>43</v>
      </c>
      <c r="G250" s="28" t="s">
        <v>43</v>
      </c>
      <c r="H250" s="29"/>
      <c r="I250" s="29" t="s">
        <v>44</v>
      </c>
      <c r="J250" s="30">
        <v>1</v>
      </c>
      <c r="K250" s="31">
        <f>987</f>
        <v>987</v>
      </c>
      <c r="L250" s="32" t="s">
        <v>1204</v>
      </c>
      <c r="M250" s="31">
        <f>1020</f>
        <v>1020</v>
      </c>
      <c r="N250" s="32" t="s">
        <v>1209</v>
      </c>
      <c r="O250" s="31">
        <f>834</f>
        <v>834</v>
      </c>
      <c r="P250" s="32" t="s">
        <v>1078</v>
      </c>
      <c r="Q250" s="31">
        <f>836</f>
        <v>836</v>
      </c>
      <c r="R250" s="32" t="s">
        <v>1078</v>
      </c>
      <c r="S250" s="33">
        <f>957.22</f>
        <v>957.22</v>
      </c>
      <c r="T250" s="30">
        <f>257270</f>
        <v>257270</v>
      </c>
      <c r="U250" s="30" t="str">
        <f>"－"</f>
        <v>－</v>
      </c>
      <c r="V250" s="30">
        <f>241480932</f>
        <v>241480932</v>
      </c>
      <c r="W250" s="30" t="str">
        <f>"－"</f>
        <v>－</v>
      </c>
      <c r="X250" s="34">
        <f>18</f>
        <v>18</v>
      </c>
    </row>
    <row r="251" spans="1:24">
      <c r="A251" s="25" t="s">
        <v>1203</v>
      </c>
      <c r="B251" s="25" t="s">
        <v>933</v>
      </c>
      <c r="C251" s="25" t="s">
        <v>934</v>
      </c>
      <c r="D251" s="25" t="s">
        <v>935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10</v>
      </c>
      <c r="K251" s="31">
        <f>246.8</f>
        <v>246.8</v>
      </c>
      <c r="L251" s="32" t="s">
        <v>1204</v>
      </c>
      <c r="M251" s="31">
        <f>257.7</f>
        <v>257.7</v>
      </c>
      <c r="N251" s="32" t="s">
        <v>1207</v>
      </c>
      <c r="O251" s="31">
        <f>240</f>
        <v>240</v>
      </c>
      <c r="P251" s="32" t="s">
        <v>1078</v>
      </c>
      <c r="Q251" s="31">
        <f>240.7</f>
        <v>240.7</v>
      </c>
      <c r="R251" s="32" t="s">
        <v>1078</v>
      </c>
      <c r="S251" s="33">
        <f>246.24</f>
        <v>246.24</v>
      </c>
      <c r="T251" s="30">
        <f>830630</f>
        <v>830630</v>
      </c>
      <c r="U251" s="30">
        <f>800000</f>
        <v>800000</v>
      </c>
      <c r="V251" s="30">
        <f>203987053</f>
        <v>203987053</v>
      </c>
      <c r="W251" s="30">
        <f>196480000</f>
        <v>196480000</v>
      </c>
      <c r="X251" s="34">
        <f>18</f>
        <v>18</v>
      </c>
    </row>
    <row r="252" spans="1:24">
      <c r="A252" s="25" t="s">
        <v>1203</v>
      </c>
      <c r="B252" s="25" t="s">
        <v>936</v>
      </c>
      <c r="C252" s="25" t="s">
        <v>937</v>
      </c>
      <c r="D252" s="25" t="s">
        <v>938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10</v>
      </c>
      <c r="K252" s="31">
        <f>786</f>
        <v>786</v>
      </c>
      <c r="L252" s="32" t="s">
        <v>1204</v>
      </c>
      <c r="M252" s="31">
        <f>809.9</f>
        <v>809.9</v>
      </c>
      <c r="N252" s="32" t="s">
        <v>1205</v>
      </c>
      <c r="O252" s="31">
        <f>778.5</f>
        <v>778.5</v>
      </c>
      <c r="P252" s="32" t="s">
        <v>1204</v>
      </c>
      <c r="Q252" s="31">
        <f>792.8</f>
        <v>792.8</v>
      </c>
      <c r="R252" s="32" t="s">
        <v>1078</v>
      </c>
      <c r="S252" s="33">
        <f>792.78</f>
        <v>792.78</v>
      </c>
      <c r="T252" s="30">
        <f>1125560</f>
        <v>1125560</v>
      </c>
      <c r="U252" s="30">
        <f>124670</f>
        <v>124670</v>
      </c>
      <c r="V252" s="30">
        <f>895002613</f>
        <v>895002613</v>
      </c>
      <c r="W252" s="30">
        <f>99997807</f>
        <v>99997807</v>
      </c>
      <c r="X252" s="34">
        <f>18</f>
        <v>18</v>
      </c>
    </row>
    <row r="253" spans="1:24">
      <c r="A253" s="25" t="s">
        <v>1203</v>
      </c>
      <c r="B253" s="25" t="s">
        <v>954</v>
      </c>
      <c r="C253" s="25" t="s">
        <v>955</v>
      </c>
      <c r="D253" s="25" t="s">
        <v>956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</v>
      </c>
      <c r="K253" s="31">
        <f>1288</f>
        <v>1288</v>
      </c>
      <c r="L253" s="32" t="s">
        <v>1204</v>
      </c>
      <c r="M253" s="31">
        <f>1299</f>
        <v>1299</v>
      </c>
      <c r="N253" s="32" t="s">
        <v>1208</v>
      </c>
      <c r="O253" s="31">
        <f>1192</f>
        <v>1192</v>
      </c>
      <c r="P253" s="32" t="s">
        <v>1078</v>
      </c>
      <c r="Q253" s="31">
        <f>1209</f>
        <v>1209</v>
      </c>
      <c r="R253" s="32" t="s">
        <v>1078</v>
      </c>
      <c r="S253" s="33">
        <f>1254.5</f>
        <v>1254.5</v>
      </c>
      <c r="T253" s="30">
        <f>344447</f>
        <v>344447</v>
      </c>
      <c r="U253" s="30">
        <f>3</f>
        <v>3</v>
      </c>
      <c r="V253" s="30">
        <f>430448102</f>
        <v>430448102</v>
      </c>
      <c r="W253" s="30">
        <f>3647</f>
        <v>3647</v>
      </c>
      <c r="X253" s="34">
        <f>18</f>
        <v>18</v>
      </c>
    </row>
    <row r="254" spans="1:24">
      <c r="A254" s="25" t="s">
        <v>1203</v>
      </c>
      <c r="B254" s="25" t="s">
        <v>957</v>
      </c>
      <c r="C254" s="25" t="s">
        <v>958</v>
      </c>
      <c r="D254" s="25" t="s">
        <v>959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</v>
      </c>
      <c r="K254" s="31">
        <f>1239</f>
        <v>1239</v>
      </c>
      <c r="L254" s="32" t="s">
        <v>1204</v>
      </c>
      <c r="M254" s="31">
        <f>1250</f>
        <v>1250</v>
      </c>
      <c r="N254" s="32" t="s">
        <v>1208</v>
      </c>
      <c r="O254" s="31">
        <f>1211</f>
        <v>1211</v>
      </c>
      <c r="P254" s="32" t="s">
        <v>1078</v>
      </c>
      <c r="Q254" s="31">
        <f>1218</f>
        <v>1218</v>
      </c>
      <c r="R254" s="32" t="s">
        <v>1078</v>
      </c>
      <c r="S254" s="33">
        <f>1229.56</f>
        <v>1229.56</v>
      </c>
      <c r="T254" s="30">
        <f>168762</f>
        <v>168762</v>
      </c>
      <c r="U254" s="30">
        <f>14</f>
        <v>14</v>
      </c>
      <c r="V254" s="30">
        <f>207423595</f>
        <v>207423595</v>
      </c>
      <c r="W254" s="30">
        <f>16994</f>
        <v>16994</v>
      </c>
      <c r="X254" s="34">
        <f>18</f>
        <v>18</v>
      </c>
    </row>
    <row r="255" spans="1:24">
      <c r="A255" s="25" t="s">
        <v>1203</v>
      </c>
      <c r="B255" s="25" t="s">
        <v>960</v>
      </c>
      <c r="C255" s="25" t="s">
        <v>961</v>
      </c>
      <c r="D255" s="25" t="s">
        <v>962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898</f>
        <v>898</v>
      </c>
      <c r="L255" s="32" t="s">
        <v>1204</v>
      </c>
      <c r="M255" s="31">
        <f>1030</f>
        <v>1030</v>
      </c>
      <c r="N255" s="32" t="s">
        <v>1078</v>
      </c>
      <c r="O255" s="31">
        <f>869</f>
        <v>869</v>
      </c>
      <c r="P255" s="32" t="s">
        <v>1204</v>
      </c>
      <c r="Q255" s="31">
        <f>976</f>
        <v>976</v>
      </c>
      <c r="R255" s="32" t="s">
        <v>1078</v>
      </c>
      <c r="S255" s="33">
        <f>963.94</f>
        <v>963.94</v>
      </c>
      <c r="T255" s="30">
        <f>838417</f>
        <v>838417</v>
      </c>
      <c r="U255" s="30" t="str">
        <f>"－"</f>
        <v>－</v>
      </c>
      <c r="V255" s="30">
        <f>827197024</f>
        <v>827197024</v>
      </c>
      <c r="W255" s="30" t="str">
        <f>"－"</f>
        <v>－</v>
      </c>
      <c r="X255" s="34">
        <f>18</f>
        <v>18</v>
      </c>
    </row>
    <row r="256" spans="1:24">
      <c r="A256" s="25" t="s">
        <v>1203</v>
      </c>
      <c r="B256" s="25" t="s">
        <v>1031</v>
      </c>
      <c r="C256" s="25" t="s">
        <v>1032</v>
      </c>
      <c r="D256" s="25" t="s">
        <v>1033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10</v>
      </c>
      <c r="K256" s="31">
        <f>207</f>
        <v>207</v>
      </c>
      <c r="L256" s="32" t="s">
        <v>1204</v>
      </c>
      <c r="M256" s="31">
        <f>209.5</f>
        <v>209.5</v>
      </c>
      <c r="N256" s="32" t="s">
        <v>1078</v>
      </c>
      <c r="O256" s="31">
        <f>201.1</f>
        <v>201.1</v>
      </c>
      <c r="P256" s="32" t="s">
        <v>1076</v>
      </c>
      <c r="Q256" s="31">
        <f>209.5</f>
        <v>209.5</v>
      </c>
      <c r="R256" s="32" t="s">
        <v>1078</v>
      </c>
      <c r="S256" s="33">
        <f>206.01</f>
        <v>206.01</v>
      </c>
      <c r="T256" s="30">
        <f>8186710</f>
        <v>8186710</v>
      </c>
      <c r="U256" s="30">
        <f>3450</f>
        <v>3450</v>
      </c>
      <c r="V256" s="30">
        <f>1682848518</f>
        <v>1682848518</v>
      </c>
      <c r="W256" s="30">
        <f>708320</f>
        <v>708320</v>
      </c>
      <c r="X256" s="34">
        <f>18</f>
        <v>18</v>
      </c>
    </row>
    <row r="257" spans="1:24">
      <c r="A257" s="25" t="s">
        <v>1203</v>
      </c>
      <c r="B257" s="25" t="s">
        <v>1034</v>
      </c>
      <c r="C257" s="25" t="s">
        <v>1035</v>
      </c>
      <c r="D257" s="25" t="s">
        <v>1036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10</v>
      </c>
      <c r="K257" s="31">
        <f>214.9</f>
        <v>214.9</v>
      </c>
      <c r="L257" s="32" t="s">
        <v>1204</v>
      </c>
      <c r="M257" s="31">
        <f>214.9</f>
        <v>214.9</v>
      </c>
      <c r="N257" s="32" t="s">
        <v>1204</v>
      </c>
      <c r="O257" s="31">
        <f>207.2</f>
        <v>207.2</v>
      </c>
      <c r="P257" s="32" t="s">
        <v>1076</v>
      </c>
      <c r="Q257" s="31">
        <f>211.3</f>
        <v>211.3</v>
      </c>
      <c r="R257" s="32" t="s">
        <v>1078</v>
      </c>
      <c r="S257" s="33">
        <f>210.93</f>
        <v>210.93</v>
      </c>
      <c r="T257" s="30">
        <f>714490</f>
        <v>714490</v>
      </c>
      <c r="U257" s="30">
        <f>750</f>
        <v>750</v>
      </c>
      <c r="V257" s="30">
        <f>150620533</f>
        <v>150620533</v>
      </c>
      <c r="W257" s="30">
        <f>156750</f>
        <v>156750</v>
      </c>
      <c r="X257" s="34">
        <f>18</f>
        <v>18</v>
      </c>
    </row>
    <row r="258" spans="1:24">
      <c r="A258" s="25" t="s">
        <v>1203</v>
      </c>
      <c r="B258" s="25" t="s">
        <v>1037</v>
      </c>
      <c r="C258" s="25" t="s">
        <v>1038</v>
      </c>
      <c r="D258" s="25" t="s">
        <v>1039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217.5</f>
        <v>217.5</v>
      </c>
      <c r="L258" s="32" t="s">
        <v>1204</v>
      </c>
      <c r="M258" s="31">
        <f>217.5</f>
        <v>217.5</v>
      </c>
      <c r="N258" s="32" t="s">
        <v>1204</v>
      </c>
      <c r="O258" s="31">
        <f>209.1</f>
        <v>209.1</v>
      </c>
      <c r="P258" s="32" t="s">
        <v>1076</v>
      </c>
      <c r="Q258" s="31">
        <f>212.5</f>
        <v>212.5</v>
      </c>
      <c r="R258" s="32" t="s">
        <v>1078</v>
      </c>
      <c r="S258" s="33">
        <f>212.58</f>
        <v>212.58</v>
      </c>
      <c r="T258" s="30">
        <f>436740</f>
        <v>436740</v>
      </c>
      <c r="U258" s="30">
        <f>1590</f>
        <v>1590</v>
      </c>
      <c r="V258" s="30">
        <f>93118747</f>
        <v>93118747</v>
      </c>
      <c r="W258" s="30">
        <f>316815</f>
        <v>316815</v>
      </c>
      <c r="X258" s="34">
        <f>18</f>
        <v>18</v>
      </c>
    </row>
    <row r="259" spans="1:24">
      <c r="A259" s="25" t="s">
        <v>1203</v>
      </c>
      <c r="B259" s="25" t="s">
        <v>1040</v>
      </c>
      <c r="C259" s="25" t="s">
        <v>1041</v>
      </c>
      <c r="D259" s="25" t="s">
        <v>1042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222.5</f>
        <v>222.5</v>
      </c>
      <c r="L259" s="32" t="s">
        <v>1204</v>
      </c>
      <c r="M259" s="31">
        <f>226</f>
        <v>226</v>
      </c>
      <c r="N259" s="32" t="s">
        <v>1208</v>
      </c>
      <c r="O259" s="31">
        <f>213.6</f>
        <v>213.6</v>
      </c>
      <c r="P259" s="32" t="s">
        <v>1212</v>
      </c>
      <c r="Q259" s="31">
        <f>215.5</f>
        <v>215.5</v>
      </c>
      <c r="R259" s="32" t="s">
        <v>1078</v>
      </c>
      <c r="S259" s="33">
        <f>217.53</f>
        <v>217.53</v>
      </c>
      <c r="T259" s="30">
        <f>722030</f>
        <v>722030</v>
      </c>
      <c r="U259" s="30">
        <f>210</f>
        <v>210</v>
      </c>
      <c r="V259" s="30">
        <f>156793778</f>
        <v>156793778</v>
      </c>
      <c r="W259" s="30">
        <f>42822</f>
        <v>42822</v>
      </c>
      <c r="X259" s="34">
        <f>18</f>
        <v>18</v>
      </c>
    </row>
    <row r="260" spans="1:24">
      <c r="A260" s="25" t="s">
        <v>1203</v>
      </c>
      <c r="B260" s="25" t="s">
        <v>1043</v>
      </c>
      <c r="C260" s="25" t="s">
        <v>1044</v>
      </c>
      <c r="D260" s="25" t="s">
        <v>1045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191.5</f>
        <v>191.5</v>
      </c>
      <c r="L260" s="32" t="s">
        <v>1204</v>
      </c>
      <c r="M260" s="31">
        <f>197.1</f>
        <v>197.1</v>
      </c>
      <c r="N260" s="32" t="s">
        <v>1079</v>
      </c>
      <c r="O260" s="31">
        <f>191.5</f>
        <v>191.5</v>
      </c>
      <c r="P260" s="32" t="s">
        <v>1204</v>
      </c>
      <c r="Q260" s="31">
        <f>195.9</f>
        <v>195.9</v>
      </c>
      <c r="R260" s="32" t="s">
        <v>1078</v>
      </c>
      <c r="S260" s="33">
        <f>194.8</f>
        <v>194.8</v>
      </c>
      <c r="T260" s="30">
        <f>1562680</f>
        <v>1562680</v>
      </c>
      <c r="U260" s="30">
        <f>70140</f>
        <v>70140</v>
      </c>
      <c r="V260" s="30">
        <f>303239200</f>
        <v>303239200</v>
      </c>
      <c r="W260" s="30">
        <f>13656258</f>
        <v>13656258</v>
      </c>
      <c r="X260" s="34">
        <f>16</f>
        <v>16</v>
      </c>
    </row>
    <row r="261" spans="1:24">
      <c r="A261" s="25" t="s">
        <v>1203</v>
      </c>
      <c r="B261" s="25" t="s">
        <v>1140</v>
      </c>
      <c r="C261" s="25" t="s">
        <v>1141</v>
      </c>
      <c r="D261" s="25" t="s">
        <v>1142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</v>
      </c>
      <c r="K261" s="31">
        <f>1964</f>
        <v>1964</v>
      </c>
      <c r="L261" s="32" t="s">
        <v>1204</v>
      </c>
      <c r="M261" s="31">
        <f>1978</f>
        <v>1978</v>
      </c>
      <c r="N261" s="32" t="s">
        <v>1209</v>
      </c>
      <c r="O261" s="31">
        <f>1787</f>
        <v>1787</v>
      </c>
      <c r="P261" s="32" t="s">
        <v>1078</v>
      </c>
      <c r="Q261" s="31">
        <f>1789</f>
        <v>1789</v>
      </c>
      <c r="R261" s="32" t="s">
        <v>1078</v>
      </c>
      <c r="S261" s="33">
        <f>1887.83</f>
        <v>1887.83</v>
      </c>
      <c r="T261" s="30">
        <f>1077081</f>
        <v>1077081</v>
      </c>
      <c r="U261" s="30">
        <f>150</f>
        <v>150</v>
      </c>
      <c r="V261" s="30">
        <f>2035405450</f>
        <v>2035405450</v>
      </c>
      <c r="W261" s="30">
        <f>279525</f>
        <v>279525</v>
      </c>
      <c r="X261" s="34">
        <f>18</f>
        <v>18</v>
      </c>
    </row>
    <row r="262" spans="1:24">
      <c r="A262" s="25" t="s">
        <v>1203</v>
      </c>
      <c r="B262" s="25" t="s">
        <v>1143</v>
      </c>
      <c r="C262" s="25" t="s">
        <v>1144</v>
      </c>
      <c r="D262" s="25" t="s">
        <v>1145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</v>
      </c>
      <c r="K262" s="31">
        <f>1018</f>
        <v>1018</v>
      </c>
      <c r="L262" s="32" t="s">
        <v>1204</v>
      </c>
      <c r="M262" s="31">
        <f>1050</f>
        <v>1050</v>
      </c>
      <c r="N262" s="32" t="s">
        <v>1080</v>
      </c>
      <c r="O262" s="31">
        <f>1008</f>
        <v>1008</v>
      </c>
      <c r="P262" s="32" t="s">
        <v>1212</v>
      </c>
      <c r="Q262" s="31">
        <f>1012</f>
        <v>1012</v>
      </c>
      <c r="R262" s="32" t="s">
        <v>1078</v>
      </c>
      <c r="S262" s="33">
        <f>1021.94</f>
        <v>1021.94</v>
      </c>
      <c r="T262" s="30">
        <f>90925</f>
        <v>90925</v>
      </c>
      <c r="U262" s="30">
        <f>104</f>
        <v>104</v>
      </c>
      <c r="V262" s="30">
        <f>92472599</f>
        <v>92472599</v>
      </c>
      <c r="W262" s="30">
        <f>105493</f>
        <v>105493</v>
      </c>
      <c r="X262" s="34">
        <f>18</f>
        <v>18</v>
      </c>
    </row>
    <row r="263" spans="1:24">
      <c r="A263" s="25" t="s">
        <v>1203</v>
      </c>
      <c r="B263" s="25" t="s">
        <v>1146</v>
      </c>
      <c r="C263" s="25" t="s">
        <v>1147</v>
      </c>
      <c r="D263" s="25" t="s">
        <v>1148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1009</f>
        <v>1009</v>
      </c>
      <c r="L263" s="32" t="s">
        <v>1204</v>
      </c>
      <c r="M263" s="31">
        <f>1029</f>
        <v>1029</v>
      </c>
      <c r="N263" s="32" t="s">
        <v>1080</v>
      </c>
      <c r="O263" s="31">
        <f>985</f>
        <v>985</v>
      </c>
      <c r="P263" s="32" t="s">
        <v>1204</v>
      </c>
      <c r="Q263" s="31">
        <f>1009</f>
        <v>1009</v>
      </c>
      <c r="R263" s="32" t="s">
        <v>1078</v>
      </c>
      <c r="S263" s="33">
        <f>1008.5</f>
        <v>1008.5</v>
      </c>
      <c r="T263" s="30">
        <f>694795</f>
        <v>694795</v>
      </c>
      <c r="U263" s="30">
        <f>204020</f>
        <v>204020</v>
      </c>
      <c r="V263" s="30">
        <f>698797997</f>
        <v>698797997</v>
      </c>
      <c r="W263" s="30">
        <f>205623996</f>
        <v>205623996</v>
      </c>
      <c r="X263" s="34">
        <f>18</f>
        <v>18</v>
      </c>
    </row>
    <row r="264" spans="1:24">
      <c r="A264" s="25" t="s">
        <v>1203</v>
      </c>
      <c r="B264" s="25" t="s">
        <v>1149</v>
      </c>
      <c r="C264" s="25" t="s">
        <v>1150</v>
      </c>
      <c r="D264" s="25" t="s">
        <v>1151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10</v>
      </c>
      <c r="K264" s="31">
        <f>488.5</f>
        <v>488.5</v>
      </c>
      <c r="L264" s="32" t="s">
        <v>1204</v>
      </c>
      <c r="M264" s="31">
        <f>488.5</f>
        <v>488.5</v>
      </c>
      <c r="N264" s="32" t="s">
        <v>1204</v>
      </c>
      <c r="O264" s="31">
        <f>479.5</f>
        <v>479.5</v>
      </c>
      <c r="P264" s="32" t="s">
        <v>1207</v>
      </c>
      <c r="Q264" s="31">
        <f>482.6</f>
        <v>482.6</v>
      </c>
      <c r="R264" s="32" t="s">
        <v>1078</v>
      </c>
      <c r="S264" s="33">
        <f>483.79</f>
        <v>483.79</v>
      </c>
      <c r="T264" s="30">
        <f>906190</f>
        <v>906190</v>
      </c>
      <c r="U264" s="30">
        <f>485910</f>
        <v>485910</v>
      </c>
      <c r="V264" s="30">
        <f>437637895</f>
        <v>437637895</v>
      </c>
      <c r="W264" s="30">
        <f>234286271</f>
        <v>234286271</v>
      </c>
      <c r="X264" s="34">
        <f>18</f>
        <v>18</v>
      </c>
    </row>
    <row r="265" spans="1:24">
      <c r="A265" s="25" t="s">
        <v>1203</v>
      </c>
      <c r="B265" s="25" t="s">
        <v>1152</v>
      </c>
      <c r="C265" s="25" t="s">
        <v>1153</v>
      </c>
      <c r="D265" s="25" t="s">
        <v>1154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10</v>
      </c>
      <c r="K265" s="31">
        <f>177.1</f>
        <v>177.1</v>
      </c>
      <c r="L265" s="32" t="s">
        <v>1204</v>
      </c>
      <c r="M265" s="31">
        <f>183.4</f>
        <v>183.4</v>
      </c>
      <c r="N265" s="32" t="s">
        <v>1078</v>
      </c>
      <c r="O265" s="31">
        <f>173.2</f>
        <v>173.2</v>
      </c>
      <c r="P265" s="32" t="s">
        <v>1076</v>
      </c>
      <c r="Q265" s="31">
        <f>182.8</f>
        <v>182.8</v>
      </c>
      <c r="R265" s="32" t="s">
        <v>1078</v>
      </c>
      <c r="S265" s="33">
        <f>177.82</f>
        <v>177.82</v>
      </c>
      <c r="T265" s="30">
        <f>1380190</f>
        <v>1380190</v>
      </c>
      <c r="U265" s="30" t="str">
        <f>"－"</f>
        <v>－</v>
      </c>
      <c r="V265" s="30">
        <f>244799905</f>
        <v>244799905</v>
      </c>
      <c r="W265" s="30" t="str">
        <f>"－"</f>
        <v>－</v>
      </c>
      <c r="X265" s="34">
        <f>18</f>
        <v>18</v>
      </c>
    </row>
    <row r="266" spans="1:24">
      <c r="A266" s="25" t="s">
        <v>1203</v>
      </c>
      <c r="B266" s="25" t="s">
        <v>1155</v>
      </c>
      <c r="C266" s="25" t="s">
        <v>1156</v>
      </c>
      <c r="D266" s="25" t="s">
        <v>1157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158.2</f>
        <v>158.19999999999999</v>
      </c>
      <c r="L266" s="32" t="s">
        <v>1204</v>
      </c>
      <c r="M266" s="31">
        <f>169.7</f>
        <v>169.7</v>
      </c>
      <c r="N266" s="32" t="s">
        <v>1078</v>
      </c>
      <c r="O266" s="31">
        <f>157.4</f>
        <v>157.4</v>
      </c>
      <c r="P266" s="32" t="s">
        <v>1211</v>
      </c>
      <c r="Q266" s="31">
        <f>169.1</f>
        <v>169.1</v>
      </c>
      <c r="R266" s="32" t="s">
        <v>1078</v>
      </c>
      <c r="S266" s="33">
        <f>162.45</f>
        <v>162.44999999999999</v>
      </c>
      <c r="T266" s="30">
        <f>1384750</f>
        <v>1384750</v>
      </c>
      <c r="U266" s="30">
        <f>20</f>
        <v>20</v>
      </c>
      <c r="V266" s="30">
        <f>224921600</f>
        <v>224921600</v>
      </c>
      <c r="W266" s="30">
        <f>2966</f>
        <v>2966</v>
      </c>
      <c r="X266" s="34">
        <f>18</f>
        <v>18</v>
      </c>
    </row>
    <row r="267" spans="1:24">
      <c r="A267" s="25" t="s">
        <v>1203</v>
      </c>
      <c r="B267" s="25" t="s">
        <v>526</v>
      </c>
      <c r="C267" s="25" t="s">
        <v>527</v>
      </c>
      <c r="D267" s="25" t="s">
        <v>528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894.6</f>
        <v>894.6</v>
      </c>
      <c r="L267" s="32" t="s">
        <v>1204</v>
      </c>
      <c r="M267" s="31">
        <f>899.2</f>
        <v>899.2</v>
      </c>
      <c r="N267" s="32" t="s">
        <v>1085</v>
      </c>
      <c r="O267" s="31">
        <f>879.7</f>
        <v>879.7</v>
      </c>
      <c r="P267" s="32" t="s">
        <v>1081</v>
      </c>
      <c r="Q267" s="31">
        <f>880</f>
        <v>880</v>
      </c>
      <c r="R267" s="32" t="s">
        <v>1078</v>
      </c>
      <c r="S267" s="33">
        <f>888.09</f>
        <v>888.09</v>
      </c>
      <c r="T267" s="30">
        <f>63838850</f>
        <v>63838850</v>
      </c>
      <c r="U267" s="30">
        <f>62074600</f>
        <v>62074600</v>
      </c>
      <c r="V267" s="30">
        <f>56617217751</f>
        <v>56617217751</v>
      </c>
      <c r="W267" s="30">
        <f>55047162431</f>
        <v>55047162431</v>
      </c>
      <c r="X267" s="34">
        <f>18</f>
        <v>18</v>
      </c>
    </row>
    <row r="268" spans="1:24">
      <c r="A268" s="25" t="s">
        <v>1203</v>
      </c>
      <c r="B268" s="25" t="s">
        <v>529</v>
      </c>
      <c r="C268" s="25" t="s">
        <v>530</v>
      </c>
      <c r="D268" s="25" t="s">
        <v>531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1100.5</f>
        <v>1100.5</v>
      </c>
      <c r="L268" s="32" t="s">
        <v>1204</v>
      </c>
      <c r="M268" s="31">
        <f>1110</f>
        <v>1110</v>
      </c>
      <c r="N268" s="32" t="s">
        <v>1209</v>
      </c>
      <c r="O268" s="31">
        <f>1071.5</f>
        <v>1071.5</v>
      </c>
      <c r="P268" s="32" t="s">
        <v>1076</v>
      </c>
      <c r="Q268" s="31">
        <f>1081</f>
        <v>1081</v>
      </c>
      <c r="R268" s="32" t="s">
        <v>1078</v>
      </c>
      <c r="S268" s="33">
        <f>1091.22</f>
        <v>1091.22</v>
      </c>
      <c r="T268" s="30">
        <f>3208350</f>
        <v>3208350</v>
      </c>
      <c r="U268" s="30">
        <f>1915080</f>
        <v>1915080</v>
      </c>
      <c r="V268" s="30">
        <f>3474136542</f>
        <v>3474136542</v>
      </c>
      <c r="W268" s="30">
        <f>2069042097</f>
        <v>2069042097</v>
      </c>
      <c r="X268" s="34">
        <f>18</f>
        <v>18</v>
      </c>
    </row>
    <row r="269" spans="1:24">
      <c r="A269" s="25" t="s">
        <v>1203</v>
      </c>
      <c r="B269" s="25" t="s">
        <v>532</v>
      </c>
      <c r="C269" s="25" t="s">
        <v>533</v>
      </c>
      <c r="D269" s="25" t="s">
        <v>534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766.7</f>
        <v>766.7</v>
      </c>
      <c r="L269" s="32" t="s">
        <v>1204</v>
      </c>
      <c r="M269" s="31">
        <f>773.7</f>
        <v>773.7</v>
      </c>
      <c r="N269" s="32" t="s">
        <v>1078</v>
      </c>
      <c r="O269" s="31">
        <f>764.3</f>
        <v>764.3</v>
      </c>
      <c r="P269" s="32" t="s">
        <v>1081</v>
      </c>
      <c r="Q269" s="31">
        <f>773.7</f>
        <v>773.7</v>
      </c>
      <c r="R269" s="32" t="s">
        <v>1078</v>
      </c>
      <c r="S269" s="33">
        <f>769.33</f>
        <v>769.33</v>
      </c>
      <c r="T269" s="30">
        <f>38620500</f>
        <v>38620500</v>
      </c>
      <c r="U269" s="30">
        <f>38468670</f>
        <v>38468670</v>
      </c>
      <c r="V269" s="30">
        <f>29656073768</f>
        <v>29656073768</v>
      </c>
      <c r="W269" s="30">
        <f>29539400975</f>
        <v>29539400975</v>
      </c>
      <c r="X269" s="34">
        <f>18</f>
        <v>18</v>
      </c>
    </row>
    <row r="270" spans="1:24">
      <c r="A270" s="25" t="s">
        <v>1203</v>
      </c>
      <c r="B270" s="25" t="s">
        <v>535</v>
      </c>
      <c r="C270" s="25" t="s">
        <v>536</v>
      </c>
      <c r="D270" s="25" t="s">
        <v>537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2709.5</f>
        <v>2709.5</v>
      </c>
      <c r="L270" s="32" t="s">
        <v>1204</v>
      </c>
      <c r="M270" s="31">
        <f>2780</f>
        <v>2780</v>
      </c>
      <c r="N270" s="32" t="s">
        <v>1080</v>
      </c>
      <c r="O270" s="31">
        <f>2577.5</f>
        <v>2577.5</v>
      </c>
      <c r="P270" s="32" t="s">
        <v>1078</v>
      </c>
      <c r="Q270" s="31">
        <f>2597</f>
        <v>2597</v>
      </c>
      <c r="R270" s="32" t="s">
        <v>1078</v>
      </c>
      <c r="S270" s="33">
        <f>2697.5</f>
        <v>2697.5</v>
      </c>
      <c r="T270" s="30">
        <f>1018090</f>
        <v>1018090</v>
      </c>
      <c r="U270" s="30">
        <f>432480</f>
        <v>432480</v>
      </c>
      <c r="V270" s="30">
        <f>2691148533</f>
        <v>2691148533</v>
      </c>
      <c r="W270" s="30">
        <f>1123419878</f>
        <v>1123419878</v>
      </c>
      <c r="X270" s="34">
        <f>18</f>
        <v>18</v>
      </c>
    </row>
    <row r="271" spans="1:24">
      <c r="A271" s="25" t="s">
        <v>1203</v>
      </c>
      <c r="B271" s="25" t="s">
        <v>538</v>
      </c>
      <c r="C271" s="25" t="s">
        <v>539</v>
      </c>
      <c r="D271" s="25" t="s">
        <v>540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1671</f>
        <v>1671</v>
      </c>
      <c r="L271" s="32" t="s">
        <v>1204</v>
      </c>
      <c r="M271" s="31">
        <f>1733</f>
        <v>1733</v>
      </c>
      <c r="N271" s="32" t="s">
        <v>1080</v>
      </c>
      <c r="O271" s="31">
        <f>1658.5</f>
        <v>1658.5</v>
      </c>
      <c r="P271" s="32" t="s">
        <v>1078</v>
      </c>
      <c r="Q271" s="31">
        <f>1665</f>
        <v>1665</v>
      </c>
      <c r="R271" s="32" t="s">
        <v>1078</v>
      </c>
      <c r="S271" s="33">
        <f>1703.86</f>
        <v>1703.86</v>
      </c>
      <c r="T271" s="30">
        <f>292330</f>
        <v>292330</v>
      </c>
      <c r="U271" s="30" t="str">
        <f>"－"</f>
        <v>－</v>
      </c>
      <c r="V271" s="30">
        <f>495190245</f>
        <v>495190245</v>
      </c>
      <c r="W271" s="30" t="str">
        <f>"－"</f>
        <v>－</v>
      </c>
      <c r="X271" s="34">
        <f>18</f>
        <v>18</v>
      </c>
    </row>
    <row r="272" spans="1:24">
      <c r="A272" s="25" t="s">
        <v>1203</v>
      </c>
      <c r="B272" s="25" t="s">
        <v>541</v>
      </c>
      <c r="C272" s="25" t="s">
        <v>542</v>
      </c>
      <c r="D272" s="25" t="s">
        <v>543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1428.5</f>
        <v>1428.5</v>
      </c>
      <c r="L272" s="32" t="s">
        <v>1204</v>
      </c>
      <c r="M272" s="31">
        <f>1456</f>
        <v>1456</v>
      </c>
      <c r="N272" s="32" t="s">
        <v>1211</v>
      </c>
      <c r="O272" s="31">
        <f>1414.5</f>
        <v>1414.5</v>
      </c>
      <c r="P272" s="32" t="s">
        <v>1078</v>
      </c>
      <c r="Q272" s="31">
        <f>1419.5</f>
        <v>1419.5</v>
      </c>
      <c r="R272" s="32" t="s">
        <v>1078</v>
      </c>
      <c r="S272" s="33">
        <f>1437.61</f>
        <v>1437.61</v>
      </c>
      <c r="T272" s="30">
        <f>549800</f>
        <v>549800</v>
      </c>
      <c r="U272" s="30">
        <f>25870</f>
        <v>25870</v>
      </c>
      <c r="V272" s="30">
        <f>788194550</f>
        <v>788194550</v>
      </c>
      <c r="W272" s="30">
        <f>36683660</f>
        <v>36683660</v>
      </c>
      <c r="X272" s="34">
        <f>18</f>
        <v>18</v>
      </c>
    </row>
    <row r="273" spans="1:24">
      <c r="A273" s="25" t="s">
        <v>1203</v>
      </c>
      <c r="B273" s="25" t="s">
        <v>544</v>
      </c>
      <c r="C273" s="25" t="s">
        <v>1046</v>
      </c>
      <c r="D273" s="25" t="s">
        <v>1047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507.4</f>
        <v>507.4</v>
      </c>
      <c r="L273" s="32" t="s">
        <v>1204</v>
      </c>
      <c r="M273" s="31">
        <f>543.8</f>
        <v>543.79999999999995</v>
      </c>
      <c r="N273" s="32" t="s">
        <v>1211</v>
      </c>
      <c r="O273" s="31">
        <f>496.9</f>
        <v>496.9</v>
      </c>
      <c r="P273" s="32" t="s">
        <v>1204</v>
      </c>
      <c r="Q273" s="31">
        <f>510.7</f>
        <v>510.7</v>
      </c>
      <c r="R273" s="32" t="s">
        <v>1078</v>
      </c>
      <c r="S273" s="33">
        <f>526.23</f>
        <v>526.23</v>
      </c>
      <c r="T273" s="30">
        <f>14138840</f>
        <v>14138840</v>
      </c>
      <c r="U273" s="30">
        <f>428450</f>
        <v>428450</v>
      </c>
      <c r="V273" s="30">
        <f>7477738405</f>
        <v>7477738405</v>
      </c>
      <c r="W273" s="30">
        <f>241225181</f>
        <v>241225181</v>
      </c>
      <c r="X273" s="34">
        <f>18</f>
        <v>18</v>
      </c>
    </row>
    <row r="274" spans="1:24">
      <c r="A274" s="25" t="s">
        <v>1203</v>
      </c>
      <c r="B274" s="25" t="s">
        <v>545</v>
      </c>
      <c r="C274" s="25" t="s">
        <v>546</v>
      </c>
      <c r="D274" s="25" t="s">
        <v>547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1040</f>
        <v>1040</v>
      </c>
      <c r="L274" s="32" t="s">
        <v>1204</v>
      </c>
      <c r="M274" s="31">
        <f>1040</f>
        <v>1040</v>
      </c>
      <c r="N274" s="32" t="s">
        <v>1204</v>
      </c>
      <c r="O274" s="31">
        <f>997.4</f>
        <v>997.4</v>
      </c>
      <c r="P274" s="32" t="s">
        <v>738</v>
      </c>
      <c r="Q274" s="31">
        <f>1020</f>
        <v>1020</v>
      </c>
      <c r="R274" s="32" t="s">
        <v>1078</v>
      </c>
      <c r="S274" s="33">
        <f>1016.3</f>
        <v>1016.3</v>
      </c>
      <c r="T274" s="30">
        <f>7105030</f>
        <v>7105030</v>
      </c>
      <c r="U274" s="30">
        <f>6499110</f>
        <v>6499110</v>
      </c>
      <c r="V274" s="30">
        <f>7200896001</f>
        <v>7200896001</v>
      </c>
      <c r="W274" s="30">
        <f>6586737019</f>
        <v>6586737019</v>
      </c>
      <c r="X274" s="34">
        <f>18</f>
        <v>18</v>
      </c>
    </row>
    <row r="275" spans="1:24">
      <c r="A275" s="25" t="s">
        <v>1203</v>
      </c>
      <c r="B275" s="25" t="s">
        <v>548</v>
      </c>
      <c r="C275" s="25" t="s">
        <v>549</v>
      </c>
      <c r="D275" s="25" t="s">
        <v>550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</v>
      </c>
      <c r="K275" s="31">
        <f>1600</f>
        <v>1600</v>
      </c>
      <c r="L275" s="32" t="s">
        <v>1204</v>
      </c>
      <c r="M275" s="31">
        <f>1621</f>
        <v>1621</v>
      </c>
      <c r="N275" s="32" t="s">
        <v>1205</v>
      </c>
      <c r="O275" s="31">
        <f>1554</f>
        <v>1554</v>
      </c>
      <c r="P275" s="32" t="s">
        <v>1078</v>
      </c>
      <c r="Q275" s="31">
        <f>1560</f>
        <v>1560</v>
      </c>
      <c r="R275" s="32" t="s">
        <v>1078</v>
      </c>
      <c r="S275" s="33">
        <f>1593.67</f>
        <v>1593.67</v>
      </c>
      <c r="T275" s="30">
        <f>28631</f>
        <v>28631</v>
      </c>
      <c r="U275" s="30" t="str">
        <f>"－"</f>
        <v>－</v>
      </c>
      <c r="V275" s="30">
        <f>45072112</f>
        <v>45072112</v>
      </c>
      <c r="W275" s="30" t="str">
        <f>"－"</f>
        <v>－</v>
      </c>
      <c r="X275" s="34">
        <f>18</f>
        <v>18</v>
      </c>
    </row>
    <row r="276" spans="1:24">
      <c r="A276" s="25" t="s">
        <v>1203</v>
      </c>
      <c r="B276" s="25" t="s">
        <v>551</v>
      </c>
      <c r="C276" s="25" t="s">
        <v>552</v>
      </c>
      <c r="D276" s="25" t="s">
        <v>553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1117</f>
        <v>1117</v>
      </c>
      <c r="L276" s="32" t="s">
        <v>1204</v>
      </c>
      <c r="M276" s="31">
        <f>1144</f>
        <v>1144</v>
      </c>
      <c r="N276" s="32" t="s">
        <v>1211</v>
      </c>
      <c r="O276" s="31">
        <f>1080.5</f>
        <v>1080.5</v>
      </c>
      <c r="P276" s="32" t="s">
        <v>1076</v>
      </c>
      <c r="Q276" s="31">
        <f>1092</f>
        <v>1092</v>
      </c>
      <c r="R276" s="32" t="s">
        <v>1078</v>
      </c>
      <c r="S276" s="33">
        <f>1108.03</f>
        <v>1108.03</v>
      </c>
      <c r="T276" s="30">
        <f>110060</f>
        <v>110060</v>
      </c>
      <c r="U276" s="30">
        <f>58840</f>
        <v>58840</v>
      </c>
      <c r="V276" s="30">
        <f>121593712</f>
        <v>121593712</v>
      </c>
      <c r="W276" s="30">
        <f>64926477</f>
        <v>64926477</v>
      </c>
      <c r="X276" s="34">
        <f>18</f>
        <v>18</v>
      </c>
    </row>
    <row r="277" spans="1:24">
      <c r="A277" s="25" t="s">
        <v>1203</v>
      </c>
      <c r="B277" s="25" t="s">
        <v>554</v>
      </c>
      <c r="C277" s="25" t="s">
        <v>555</v>
      </c>
      <c r="D277" s="25" t="s">
        <v>556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10</v>
      </c>
      <c r="K277" s="31">
        <f>1444.5</f>
        <v>1444.5</v>
      </c>
      <c r="L277" s="32" t="s">
        <v>1204</v>
      </c>
      <c r="M277" s="31">
        <f>1515.5</f>
        <v>1515.5</v>
      </c>
      <c r="N277" s="32" t="s">
        <v>1211</v>
      </c>
      <c r="O277" s="31">
        <f>1431.5</f>
        <v>1431.5</v>
      </c>
      <c r="P277" s="32" t="s">
        <v>1078</v>
      </c>
      <c r="Q277" s="31">
        <f>1439</f>
        <v>1439</v>
      </c>
      <c r="R277" s="32" t="s">
        <v>1078</v>
      </c>
      <c r="S277" s="33">
        <f>1476.58</f>
        <v>1476.58</v>
      </c>
      <c r="T277" s="30">
        <f>67140</f>
        <v>67140</v>
      </c>
      <c r="U277" s="30" t="str">
        <f>"－"</f>
        <v>－</v>
      </c>
      <c r="V277" s="30">
        <f>98565295</f>
        <v>98565295</v>
      </c>
      <c r="W277" s="30" t="str">
        <f>"－"</f>
        <v>－</v>
      </c>
      <c r="X277" s="34">
        <f>18</f>
        <v>18</v>
      </c>
    </row>
    <row r="278" spans="1:24">
      <c r="A278" s="25" t="s">
        <v>1203</v>
      </c>
      <c r="B278" s="25" t="s">
        <v>557</v>
      </c>
      <c r="C278" s="25" t="s">
        <v>558</v>
      </c>
      <c r="D278" s="25" t="s">
        <v>559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10</v>
      </c>
      <c r="K278" s="31">
        <f>1766.5</f>
        <v>1766.5</v>
      </c>
      <c r="L278" s="32" t="s">
        <v>1204</v>
      </c>
      <c r="M278" s="31">
        <f>1823</f>
        <v>1823</v>
      </c>
      <c r="N278" s="32" t="s">
        <v>1207</v>
      </c>
      <c r="O278" s="31">
        <f>1738.5</f>
        <v>1738.5</v>
      </c>
      <c r="P278" s="32" t="s">
        <v>1078</v>
      </c>
      <c r="Q278" s="31">
        <f>1750</f>
        <v>1750</v>
      </c>
      <c r="R278" s="32" t="s">
        <v>1078</v>
      </c>
      <c r="S278" s="33">
        <f>1797.08</f>
        <v>1797.08</v>
      </c>
      <c r="T278" s="30">
        <f>10354500</f>
        <v>10354500</v>
      </c>
      <c r="U278" s="30">
        <f>9388280</f>
        <v>9388280</v>
      </c>
      <c r="V278" s="30">
        <f>18361821537</f>
        <v>18361821537</v>
      </c>
      <c r="W278" s="30">
        <f>16649411527</f>
        <v>16649411527</v>
      </c>
      <c r="X278" s="34">
        <f>18</f>
        <v>18</v>
      </c>
    </row>
    <row r="279" spans="1:24">
      <c r="A279" s="25" t="s">
        <v>1203</v>
      </c>
      <c r="B279" s="25" t="s">
        <v>560</v>
      </c>
      <c r="C279" s="25" t="s">
        <v>561</v>
      </c>
      <c r="D279" s="25" t="s">
        <v>562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</v>
      </c>
      <c r="K279" s="31">
        <f>5840</f>
        <v>5840</v>
      </c>
      <c r="L279" s="32" t="s">
        <v>1204</v>
      </c>
      <c r="M279" s="31">
        <f>6020</f>
        <v>6020</v>
      </c>
      <c r="N279" s="32" t="s">
        <v>1207</v>
      </c>
      <c r="O279" s="31">
        <f>5430</f>
        <v>5430</v>
      </c>
      <c r="P279" s="32" t="s">
        <v>1078</v>
      </c>
      <c r="Q279" s="31">
        <f>5500</f>
        <v>5500</v>
      </c>
      <c r="R279" s="32" t="s">
        <v>1078</v>
      </c>
      <c r="S279" s="33">
        <f>5836.67</f>
        <v>5836.67</v>
      </c>
      <c r="T279" s="30">
        <f>69805</f>
        <v>69805</v>
      </c>
      <c r="U279" s="30" t="str">
        <f>"－"</f>
        <v>－</v>
      </c>
      <c r="V279" s="30">
        <f>404767710</f>
        <v>404767710</v>
      </c>
      <c r="W279" s="30" t="str">
        <f>"－"</f>
        <v>－</v>
      </c>
      <c r="X279" s="34">
        <f>18</f>
        <v>18</v>
      </c>
    </row>
    <row r="280" spans="1:24">
      <c r="A280" s="25" t="s">
        <v>1203</v>
      </c>
      <c r="B280" s="25" t="s">
        <v>563</v>
      </c>
      <c r="C280" s="25" t="s">
        <v>564</v>
      </c>
      <c r="D280" s="25" t="s">
        <v>565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10</v>
      </c>
      <c r="K280" s="31">
        <f>2247</f>
        <v>2247</v>
      </c>
      <c r="L280" s="32" t="s">
        <v>1078</v>
      </c>
      <c r="M280" s="31">
        <f>2247</f>
        <v>2247</v>
      </c>
      <c r="N280" s="32" t="s">
        <v>1078</v>
      </c>
      <c r="O280" s="31">
        <f>2242</f>
        <v>2242</v>
      </c>
      <c r="P280" s="32" t="s">
        <v>1078</v>
      </c>
      <c r="Q280" s="31">
        <f>2242</f>
        <v>2242</v>
      </c>
      <c r="R280" s="32" t="s">
        <v>1078</v>
      </c>
      <c r="S280" s="33">
        <f>2242</f>
        <v>2242</v>
      </c>
      <c r="T280" s="30">
        <f>20</f>
        <v>20</v>
      </c>
      <c r="U280" s="30" t="str">
        <f>"－"</f>
        <v>－</v>
      </c>
      <c r="V280" s="30">
        <f>44890</f>
        <v>44890</v>
      </c>
      <c r="W280" s="30" t="str">
        <f>"－"</f>
        <v>－</v>
      </c>
      <c r="X280" s="34">
        <f>1</f>
        <v>1</v>
      </c>
    </row>
    <row r="281" spans="1:24">
      <c r="A281" s="25" t="s">
        <v>1203</v>
      </c>
      <c r="B281" s="25" t="s">
        <v>566</v>
      </c>
      <c r="C281" s="25" t="s">
        <v>567</v>
      </c>
      <c r="D281" s="25" t="s">
        <v>568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10</v>
      </c>
      <c r="K281" s="31">
        <f>2795</f>
        <v>2795</v>
      </c>
      <c r="L281" s="32" t="s">
        <v>1204</v>
      </c>
      <c r="M281" s="31">
        <f>2840</f>
        <v>2840</v>
      </c>
      <c r="N281" s="32" t="s">
        <v>1208</v>
      </c>
      <c r="O281" s="31">
        <f>2732</f>
        <v>2732</v>
      </c>
      <c r="P281" s="32" t="s">
        <v>1078</v>
      </c>
      <c r="Q281" s="31">
        <f>2736</f>
        <v>2736</v>
      </c>
      <c r="R281" s="32" t="s">
        <v>1078</v>
      </c>
      <c r="S281" s="33">
        <f>2796.91</f>
        <v>2796.91</v>
      </c>
      <c r="T281" s="30">
        <f>756470</f>
        <v>756470</v>
      </c>
      <c r="U281" s="30">
        <f>444810</f>
        <v>444810</v>
      </c>
      <c r="V281" s="30">
        <f>2112468763</f>
        <v>2112468763</v>
      </c>
      <c r="W281" s="30">
        <f>1242907883</f>
        <v>1242907883</v>
      </c>
      <c r="X281" s="34">
        <f>17</f>
        <v>17</v>
      </c>
    </row>
    <row r="282" spans="1:24">
      <c r="A282" s="25" t="s">
        <v>1203</v>
      </c>
      <c r="B282" s="25" t="s">
        <v>569</v>
      </c>
      <c r="C282" s="25" t="s">
        <v>570</v>
      </c>
      <c r="D282" s="25" t="s">
        <v>571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</v>
      </c>
      <c r="K282" s="31">
        <f>38880</f>
        <v>38880</v>
      </c>
      <c r="L282" s="32" t="s">
        <v>1204</v>
      </c>
      <c r="M282" s="31">
        <f>39600</f>
        <v>39600</v>
      </c>
      <c r="N282" s="32" t="s">
        <v>1080</v>
      </c>
      <c r="O282" s="31">
        <f>36980</f>
        <v>36980</v>
      </c>
      <c r="P282" s="32" t="s">
        <v>1078</v>
      </c>
      <c r="Q282" s="31">
        <f>37210</f>
        <v>37210</v>
      </c>
      <c r="R282" s="32" t="s">
        <v>1078</v>
      </c>
      <c r="S282" s="33">
        <f>38878.82</f>
        <v>38878.82</v>
      </c>
      <c r="T282" s="30">
        <f>103981</f>
        <v>103981</v>
      </c>
      <c r="U282" s="30">
        <f>24931</f>
        <v>24931</v>
      </c>
      <c r="V282" s="30">
        <f>4040905439</f>
        <v>4040905439</v>
      </c>
      <c r="W282" s="30">
        <f>956907899</f>
        <v>956907899</v>
      </c>
      <c r="X282" s="34">
        <f>17</f>
        <v>17</v>
      </c>
    </row>
    <row r="283" spans="1:24">
      <c r="A283" s="25" t="s">
        <v>1203</v>
      </c>
      <c r="B283" s="25" t="s">
        <v>572</v>
      </c>
      <c r="C283" s="25" t="s">
        <v>573</v>
      </c>
      <c r="D283" s="25" t="s">
        <v>574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</v>
      </c>
      <c r="K283" s="31">
        <f>25595</f>
        <v>25595</v>
      </c>
      <c r="L283" s="32" t="s">
        <v>1085</v>
      </c>
      <c r="M283" s="31">
        <f>25595</f>
        <v>25595</v>
      </c>
      <c r="N283" s="32" t="s">
        <v>1085</v>
      </c>
      <c r="O283" s="31">
        <f>24450</f>
        <v>24450</v>
      </c>
      <c r="P283" s="32" t="s">
        <v>1078</v>
      </c>
      <c r="Q283" s="31">
        <f>24450</f>
        <v>24450</v>
      </c>
      <c r="R283" s="32" t="s">
        <v>1078</v>
      </c>
      <c r="S283" s="33">
        <f>25155</f>
        <v>25155</v>
      </c>
      <c r="T283" s="30">
        <f>18073</f>
        <v>18073</v>
      </c>
      <c r="U283" s="30">
        <f>2740</f>
        <v>2740</v>
      </c>
      <c r="V283" s="30">
        <f>456467670</f>
        <v>456467670</v>
      </c>
      <c r="W283" s="30">
        <f>69048000</f>
        <v>69048000</v>
      </c>
      <c r="X283" s="34">
        <f>7</f>
        <v>7</v>
      </c>
    </row>
    <row r="284" spans="1:24">
      <c r="A284" s="25" t="s">
        <v>1203</v>
      </c>
      <c r="B284" s="25" t="s">
        <v>575</v>
      </c>
      <c r="C284" s="25" t="s">
        <v>576</v>
      </c>
      <c r="D284" s="25" t="s">
        <v>577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10</v>
      </c>
      <c r="K284" s="31">
        <f>1037</f>
        <v>1037</v>
      </c>
      <c r="L284" s="32" t="s">
        <v>1204</v>
      </c>
      <c r="M284" s="31">
        <f>1040</f>
        <v>1040</v>
      </c>
      <c r="N284" s="32" t="s">
        <v>1075</v>
      </c>
      <c r="O284" s="31">
        <f>1010</f>
        <v>1010</v>
      </c>
      <c r="P284" s="32" t="s">
        <v>1206</v>
      </c>
      <c r="Q284" s="31">
        <f>1036</f>
        <v>1036</v>
      </c>
      <c r="R284" s="32" t="s">
        <v>1078</v>
      </c>
      <c r="S284" s="33">
        <f>1025.8</f>
        <v>1025.8</v>
      </c>
      <c r="T284" s="30">
        <f>5450</f>
        <v>5450</v>
      </c>
      <c r="U284" s="30" t="str">
        <f>"－"</f>
        <v>－</v>
      </c>
      <c r="V284" s="30">
        <f>5582575</f>
        <v>5582575</v>
      </c>
      <c r="W284" s="30" t="str">
        <f>"－"</f>
        <v>－</v>
      </c>
      <c r="X284" s="34">
        <f>10</f>
        <v>10</v>
      </c>
    </row>
    <row r="285" spans="1:24">
      <c r="A285" s="25" t="s">
        <v>1203</v>
      </c>
      <c r="B285" s="25" t="s">
        <v>578</v>
      </c>
      <c r="C285" s="25" t="s">
        <v>918</v>
      </c>
      <c r="D285" s="25" t="s">
        <v>919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1035</f>
        <v>1035</v>
      </c>
      <c r="L285" s="32" t="s">
        <v>1204</v>
      </c>
      <c r="M285" s="31">
        <f>1045</f>
        <v>1045</v>
      </c>
      <c r="N285" s="32" t="s">
        <v>1078</v>
      </c>
      <c r="O285" s="31">
        <f>1007</f>
        <v>1007</v>
      </c>
      <c r="P285" s="32" t="s">
        <v>738</v>
      </c>
      <c r="Q285" s="31">
        <f>1043</f>
        <v>1043</v>
      </c>
      <c r="R285" s="32" t="s">
        <v>1078</v>
      </c>
      <c r="S285" s="33">
        <f>1024.17</f>
        <v>1024.17</v>
      </c>
      <c r="T285" s="30">
        <f>59889</f>
        <v>59889</v>
      </c>
      <c r="U285" s="30">
        <f>2</f>
        <v>2</v>
      </c>
      <c r="V285" s="30">
        <f>61126380</f>
        <v>61126380</v>
      </c>
      <c r="W285" s="30">
        <f>2086</f>
        <v>2086</v>
      </c>
      <c r="X285" s="34">
        <f>18</f>
        <v>18</v>
      </c>
    </row>
    <row r="286" spans="1:24">
      <c r="A286" s="25" t="s">
        <v>1203</v>
      </c>
      <c r="B286" s="25" t="s">
        <v>579</v>
      </c>
      <c r="C286" s="25" t="s">
        <v>580</v>
      </c>
      <c r="D286" s="25" t="s">
        <v>581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</v>
      </c>
      <c r="K286" s="31">
        <f>1650</f>
        <v>1650</v>
      </c>
      <c r="L286" s="32" t="s">
        <v>1204</v>
      </c>
      <c r="M286" s="31">
        <f>1664</f>
        <v>1664</v>
      </c>
      <c r="N286" s="32" t="s">
        <v>1080</v>
      </c>
      <c r="O286" s="31">
        <f>1612</f>
        <v>1612</v>
      </c>
      <c r="P286" s="32" t="s">
        <v>1204</v>
      </c>
      <c r="Q286" s="31">
        <f>1636</f>
        <v>1636</v>
      </c>
      <c r="R286" s="32" t="s">
        <v>1078</v>
      </c>
      <c r="S286" s="33">
        <f>1641.11</f>
        <v>1641.11</v>
      </c>
      <c r="T286" s="30">
        <f>174341</f>
        <v>174341</v>
      </c>
      <c r="U286" s="30">
        <f>45280</f>
        <v>45280</v>
      </c>
      <c r="V286" s="30">
        <f>286010605</f>
        <v>286010605</v>
      </c>
      <c r="W286" s="30">
        <f>74466907</f>
        <v>74466907</v>
      </c>
      <c r="X286" s="34">
        <f>18</f>
        <v>18</v>
      </c>
    </row>
    <row r="287" spans="1:24">
      <c r="A287" s="25" t="s">
        <v>1203</v>
      </c>
      <c r="B287" s="25" t="s">
        <v>582</v>
      </c>
      <c r="C287" s="25" t="s">
        <v>583</v>
      </c>
      <c r="D287" s="25" t="s">
        <v>584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14085</f>
        <v>14085</v>
      </c>
      <c r="L287" s="32" t="s">
        <v>1204</v>
      </c>
      <c r="M287" s="31">
        <f>14695</f>
        <v>14695</v>
      </c>
      <c r="N287" s="32" t="s">
        <v>1211</v>
      </c>
      <c r="O287" s="31">
        <f>13915</f>
        <v>13915</v>
      </c>
      <c r="P287" s="32" t="s">
        <v>1079</v>
      </c>
      <c r="Q287" s="31">
        <f>14050</f>
        <v>14050</v>
      </c>
      <c r="R287" s="32" t="s">
        <v>1078</v>
      </c>
      <c r="S287" s="33">
        <f>14290</f>
        <v>14290</v>
      </c>
      <c r="T287" s="30">
        <f>11923</f>
        <v>11923</v>
      </c>
      <c r="U287" s="30" t="str">
        <f>"－"</f>
        <v>－</v>
      </c>
      <c r="V287" s="30">
        <f>170338760</f>
        <v>170338760</v>
      </c>
      <c r="W287" s="30" t="str">
        <f>"－"</f>
        <v>－</v>
      </c>
      <c r="X287" s="34">
        <f>18</f>
        <v>18</v>
      </c>
    </row>
    <row r="288" spans="1:24">
      <c r="A288" s="25" t="s">
        <v>1203</v>
      </c>
      <c r="B288" s="25" t="s">
        <v>585</v>
      </c>
      <c r="C288" s="25" t="s">
        <v>586</v>
      </c>
      <c r="D288" s="25" t="s">
        <v>587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1849</f>
        <v>1849</v>
      </c>
      <c r="L288" s="32" t="s">
        <v>1204</v>
      </c>
      <c r="M288" s="31">
        <f>1850</f>
        <v>1850</v>
      </c>
      <c r="N288" s="32" t="s">
        <v>1204</v>
      </c>
      <c r="O288" s="31">
        <f>1779</f>
        <v>1779</v>
      </c>
      <c r="P288" s="32" t="s">
        <v>738</v>
      </c>
      <c r="Q288" s="31">
        <f>1811</f>
        <v>1811</v>
      </c>
      <c r="R288" s="32" t="s">
        <v>1078</v>
      </c>
      <c r="S288" s="33">
        <f>1810.61</f>
        <v>1810.61</v>
      </c>
      <c r="T288" s="30">
        <f>28458</f>
        <v>28458</v>
      </c>
      <c r="U288" s="30" t="str">
        <f>"－"</f>
        <v>－</v>
      </c>
      <c r="V288" s="30">
        <f>51727349</f>
        <v>51727349</v>
      </c>
      <c r="W288" s="30" t="str">
        <f>"－"</f>
        <v>－</v>
      </c>
      <c r="X288" s="34">
        <f>18</f>
        <v>18</v>
      </c>
    </row>
    <row r="289" spans="1:24">
      <c r="A289" s="25" t="s">
        <v>1203</v>
      </c>
      <c r="B289" s="25" t="s">
        <v>588</v>
      </c>
      <c r="C289" s="25" t="s">
        <v>589</v>
      </c>
      <c r="D289" s="25" t="s">
        <v>590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10</v>
      </c>
      <c r="K289" s="31">
        <f>1645</f>
        <v>1645</v>
      </c>
      <c r="L289" s="32" t="s">
        <v>1204</v>
      </c>
      <c r="M289" s="31">
        <f>1742</f>
        <v>1742</v>
      </c>
      <c r="N289" s="32" t="s">
        <v>1076</v>
      </c>
      <c r="O289" s="31">
        <f>1600</f>
        <v>1600</v>
      </c>
      <c r="P289" s="32" t="s">
        <v>1085</v>
      </c>
      <c r="Q289" s="31">
        <f>1664.5</f>
        <v>1664.5</v>
      </c>
      <c r="R289" s="32" t="s">
        <v>1078</v>
      </c>
      <c r="S289" s="33">
        <f>1679.47</f>
        <v>1679.47</v>
      </c>
      <c r="T289" s="30">
        <f>836700</f>
        <v>836700</v>
      </c>
      <c r="U289" s="30">
        <f>5000</f>
        <v>5000</v>
      </c>
      <c r="V289" s="30">
        <f>1392632875</f>
        <v>1392632875</v>
      </c>
      <c r="W289" s="30">
        <f>7532500</f>
        <v>7532500</v>
      </c>
      <c r="X289" s="34">
        <f>18</f>
        <v>18</v>
      </c>
    </row>
    <row r="290" spans="1:24">
      <c r="A290" s="25" t="s">
        <v>1203</v>
      </c>
      <c r="B290" s="25" t="s">
        <v>591</v>
      </c>
      <c r="C290" s="25" t="s">
        <v>664</v>
      </c>
      <c r="D290" s="25" t="s">
        <v>665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10</v>
      </c>
      <c r="K290" s="31">
        <f>786</f>
        <v>786</v>
      </c>
      <c r="L290" s="32" t="s">
        <v>1204</v>
      </c>
      <c r="M290" s="31">
        <f>790.4</f>
        <v>790.4</v>
      </c>
      <c r="N290" s="32" t="s">
        <v>1075</v>
      </c>
      <c r="O290" s="31">
        <f>781</f>
        <v>781</v>
      </c>
      <c r="P290" s="32" t="s">
        <v>1211</v>
      </c>
      <c r="Q290" s="31">
        <f>790.1</f>
        <v>790.1</v>
      </c>
      <c r="R290" s="32" t="s">
        <v>1078</v>
      </c>
      <c r="S290" s="33">
        <f>784.72</f>
        <v>784.72</v>
      </c>
      <c r="T290" s="30">
        <f>380720</f>
        <v>380720</v>
      </c>
      <c r="U290" s="30">
        <f>335920</f>
        <v>335920</v>
      </c>
      <c r="V290" s="30">
        <f>300222017</f>
        <v>300222017</v>
      </c>
      <c r="W290" s="30">
        <f>265074407</f>
        <v>265074407</v>
      </c>
      <c r="X290" s="34">
        <f>18</f>
        <v>18</v>
      </c>
    </row>
    <row r="291" spans="1:24">
      <c r="A291" s="25" t="s">
        <v>1203</v>
      </c>
      <c r="B291" s="25" t="s">
        <v>592</v>
      </c>
      <c r="C291" s="25" t="s">
        <v>593</v>
      </c>
      <c r="D291" s="25" t="s">
        <v>594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1758.5</f>
        <v>1758.5</v>
      </c>
      <c r="L291" s="32" t="s">
        <v>1204</v>
      </c>
      <c r="M291" s="31">
        <f>1768</f>
        <v>1768</v>
      </c>
      <c r="N291" s="32" t="s">
        <v>1078</v>
      </c>
      <c r="O291" s="31">
        <f>1706.5</f>
        <v>1706.5</v>
      </c>
      <c r="P291" s="32" t="s">
        <v>738</v>
      </c>
      <c r="Q291" s="31">
        <f>1739</f>
        <v>1739</v>
      </c>
      <c r="R291" s="32" t="s">
        <v>1078</v>
      </c>
      <c r="S291" s="33">
        <f>1734.64</f>
        <v>1734.64</v>
      </c>
      <c r="T291" s="30">
        <f>265610</f>
        <v>265610</v>
      </c>
      <c r="U291" s="30">
        <f>58610</f>
        <v>58610</v>
      </c>
      <c r="V291" s="30">
        <f>459241885</f>
        <v>459241885</v>
      </c>
      <c r="W291" s="30">
        <f>100403020</f>
        <v>100403020</v>
      </c>
      <c r="X291" s="34">
        <f>18</f>
        <v>18</v>
      </c>
    </row>
    <row r="292" spans="1:24">
      <c r="A292" s="25" t="s">
        <v>1203</v>
      </c>
      <c r="B292" s="25" t="s">
        <v>595</v>
      </c>
      <c r="C292" s="25" t="s">
        <v>596</v>
      </c>
      <c r="D292" s="25" t="s">
        <v>597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1749</f>
        <v>1749</v>
      </c>
      <c r="L292" s="32" t="s">
        <v>1204</v>
      </c>
      <c r="M292" s="31">
        <f>1765.5</f>
        <v>1765.5</v>
      </c>
      <c r="N292" s="32" t="s">
        <v>1078</v>
      </c>
      <c r="O292" s="31">
        <f>1702</f>
        <v>1702</v>
      </c>
      <c r="P292" s="32" t="s">
        <v>1206</v>
      </c>
      <c r="Q292" s="31">
        <f>1743</f>
        <v>1743</v>
      </c>
      <c r="R292" s="32" t="s">
        <v>1078</v>
      </c>
      <c r="S292" s="33">
        <f>1730.64</f>
        <v>1730.64</v>
      </c>
      <c r="T292" s="30">
        <f>327200</f>
        <v>327200</v>
      </c>
      <c r="U292" s="30">
        <f>128940</f>
        <v>128940</v>
      </c>
      <c r="V292" s="30">
        <f>565710393</f>
        <v>565710393</v>
      </c>
      <c r="W292" s="30">
        <f>223149363</f>
        <v>223149363</v>
      </c>
      <c r="X292" s="34">
        <f>18</f>
        <v>18</v>
      </c>
    </row>
    <row r="293" spans="1:24">
      <c r="A293" s="25" t="s">
        <v>1203</v>
      </c>
      <c r="B293" s="25" t="s">
        <v>598</v>
      </c>
      <c r="C293" s="25" t="s">
        <v>599</v>
      </c>
      <c r="D293" s="25" t="s">
        <v>600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2770</f>
        <v>2770</v>
      </c>
      <c r="L293" s="32" t="s">
        <v>1204</v>
      </c>
      <c r="M293" s="31">
        <f>2812.5</f>
        <v>2812.5</v>
      </c>
      <c r="N293" s="32" t="s">
        <v>1080</v>
      </c>
      <c r="O293" s="31">
        <f>2700</f>
        <v>2700</v>
      </c>
      <c r="P293" s="32" t="s">
        <v>1078</v>
      </c>
      <c r="Q293" s="31">
        <f>2700</f>
        <v>2700</v>
      </c>
      <c r="R293" s="32" t="s">
        <v>1078</v>
      </c>
      <c r="S293" s="33">
        <f>2771.31</f>
        <v>2771.31</v>
      </c>
      <c r="T293" s="30">
        <f>283530</f>
        <v>283530</v>
      </c>
      <c r="U293" s="30">
        <f>171500</f>
        <v>171500</v>
      </c>
      <c r="V293" s="30">
        <f>784780475</f>
        <v>784780475</v>
      </c>
      <c r="W293" s="30">
        <f>474521100</f>
        <v>474521100</v>
      </c>
      <c r="X293" s="34">
        <f>18</f>
        <v>18</v>
      </c>
    </row>
    <row r="294" spans="1:24">
      <c r="A294" s="25" t="s">
        <v>1203</v>
      </c>
      <c r="B294" s="25" t="s">
        <v>601</v>
      </c>
      <c r="C294" s="25" t="s">
        <v>602</v>
      </c>
      <c r="D294" s="25" t="s">
        <v>603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</v>
      </c>
      <c r="K294" s="31">
        <f>26560</f>
        <v>26560</v>
      </c>
      <c r="L294" s="32" t="s">
        <v>1204</v>
      </c>
      <c r="M294" s="31">
        <f>26960</f>
        <v>26960</v>
      </c>
      <c r="N294" s="32" t="s">
        <v>1211</v>
      </c>
      <c r="O294" s="31">
        <f>25115</f>
        <v>25115</v>
      </c>
      <c r="P294" s="32" t="s">
        <v>1078</v>
      </c>
      <c r="Q294" s="31">
        <f>25340</f>
        <v>25340</v>
      </c>
      <c r="R294" s="32" t="s">
        <v>1078</v>
      </c>
      <c r="S294" s="33">
        <f>26405.56</f>
        <v>26405.56</v>
      </c>
      <c r="T294" s="30">
        <f>782005</f>
        <v>782005</v>
      </c>
      <c r="U294" s="30">
        <f>64986</f>
        <v>64986</v>
      </c>
      <c r="V294" s="30">
        <f>20589489812</f>
        <v>20589489812</v>
      </c>
      <c r="W294" s="30">
        <f>1686793407</f>
        <v>1686793407</v>
      </c>
      <c r="X294" s="34">
        <f>18</f>
        <v>18</v>
      </c>
    </row>
    <row r="295" spans="1:24">
      <c r="A295" s="25" t="s">
        <v>1203</v>
      </c>
      <c r="B295" s="25" t="s">
        <v>604</v>
      </c>
      <c r="C295" s="25" t="s">
        <v>605</v>
      </c>
      <c r="D295" s="25" t="s">
        <v>606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</v>
      </c>
      <c r="K295" s="31">
        <f>21910</f>
        <v>21910</v>
      </c>
      <c r="L295" s="32" t="s">
        <v>1204</v>
      </c>
      <c r="M295" s="31">
        <f>22215</f>
        <v>22215</v>
      </c>
      <c r="N295" s="32" t="s">
        <v>1211</v>
      </c>
      <c r="O295" s="31">
        <f>20955</f>
        <v>20955</v>
      </c>
      <c r="P295" s="32" t="s">
        <v>1078</v>
      </c>
      <c r="Q295" s="31">
        <f>21100</f>
        <v>21100</v>
      </c>
      <c r="R295" s="32" t="s">
        <v>1078</v>
      </c>
      <c r="S295" s="33">
        <f>21819.72</f>
        <v>21819.72</v>
      </c>
      <c r="T295" s="30">
        <f>255646</f>
        <v>255646</v>
      </c>
      <c r="U295" s="30">
        <f>2554</f>
        <v>2554</v>
      </c>
      <c r="V295" s="30">
        <f>5548503041</f>
        <v>5548503041</v>
      </c>
      <c r="W295" s="30">
        <f>55400101</f>
        <v>55400101</v>
      </c>
      <c r="X295" s="34">
        <f>18</f>
        <v>18</v>
      </c>
    </row>
    <row r="296" spans="1:24">
      <c r="A296" s="25" t="s">
        <v>1203</v>
      </c>
      <c r="B296" s="25" t="s">
        <v>607</v>
      </c>
      <c r="C296" s="25" t="s">
        <v>608</v>
      </c>
      <c r="D296" s="25" t="s">
        <v>609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36530</f>
        <v>36530</v>
      </c>
      <c r="L296" s="32" t="s">
        <v>1204</v>
      </c>
      <c r="M296" s="31">
        <f>36530</f>
        <v>36530</v>
      </c>
      <c r="N296" s="32" t="s">
        <v>1204</v>
      </c>
      <c r="O296" s="31">
        <f>35620</f>
        <v>35620</v>
      </c>
      <c r="P296" s="32" t="s">
        <v>1208</v>
      </c>
      <c r="Q296" s="31">
        <f>35620</f>
        <v>35620</v>
      </c>
      <c r="R296" s="32" t="s">
        <v>1208</v>
      </c>
      <c r="S296" s="33">
        <f>35955</f>
        <v>35955</v>
      </c>
      <c r="T296" s="30">
        <f>5</f>
        <v>5</v>
      </c>
      <c r="U296" s="30">
        <f>1</f>
        <v>1</v>
      </c>
      <c r="V296" s="30">
        <f>181020</f>
        <v>181020</v>
      </c>
      <c r="W296" s="30">
        <f>36290</f>
        <v>36290</v>
      </c>
      <c r="X296" s="34">
        <f>2</f>
        <v>2</v>
      </c>
    </row>
    <row r="297" spans="1:24">
      <c r="A297" s="25" t="s">
        <v>1203</v>
      </c>
      <c r="B297" s="25" t="s">
        <v>610</v>
      </c>
      <c r="C297" s="25" t="s">
        <v>611</v>
      </c>
      <c r="D297" s="25" t="s">
        <v>612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2318</f>
        <v>2318</v>
      </c>
      <c r="L297" s="32" t="s">
        <v>1204</v>
      </c>
      <c r="M297" s="31">
        <f>2318</f>
        <v>2318</v>
      </c>
      <c r="N297" s="32" t="s">
        <v>1204</v>
      </c>
      <c r="O297" s="31">
        <f>2268</f>
        <v>2268</v>
      </c>
      <c r="P297" s="32" t="s">
        <v>1081</v>
      </c>
      <c r="Q297" s="31">
        <f>2284</f>
        <v>2284</v>
      </c>
      <c r="R297" s="32" t="s">
        <v>1078</v>
      </c>
      <c r="S297" s="33">
        <f>2292.17</f>
        <v>2292.17</v>
      </c>
      <c r="T297" s="30">
        <f>502535</f>
        <v>502535</v>
      </c>
      <c r="U297" s="30">
        <f>338044</f>
        <v>338044</v>
      </c>
      <c r="V297" s="30">
        <f>1150807903</f>
        <v>1150807903</v>
      </c>
      <c r="W297" s="30">
        <f>773686047</f>
        <v>773686047</v>
      </c>
      <c r="X297" s="34">
        <f>18</f>
        <v>18</v>
      </c>
    </row>
    <row r="298" spans="1:24">
      <c r="A298" s="25" t="s">
        <v>1203</v>
      </c>
      <c r="B298" s="25" t="s">
        <v>613</v>
      </c>
      <c r="C298" s="25" t="s">
        <v>614</v>
      </c>
      <c r="D298" s="25" t="s">
        <v>615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10</v>
      </c>
      <c r="K298" s="31">
        <f>3231</f>
        <v>3231</v>
      </c>
      <c r="L298" s="32" t="s">
        <v>1204</v>
      </c>
      <c r="M298" s="31">
        <f>3300</f>
        <v>3300</v>
      </c>
      <c r="N298" s="32" t="s">
        <v>1085</v>
      </c>
      <c r="O298" s="31">
        <f>3162</f>
        <v>3162</v>
      </c>
      <c r="P298" s="32" t="s">
        <v>1078</v>
      </c>
      <c r="Q298" s="31">
        <f>3199</f>
        <v>3199</v>
      </c>
      <c r="R298" s="32" t="s">
        <v>1078</v>
      </c>
      <c r="S298" s="33">
        <f>3249.94</f>
        <v>3249.94</v>
      </c>
      <c r="T298" s="30">
        <f>1211390</f>
        <v>1211390</v>
      </c>
      <c r="U298" s="30">
        <f>985700</f>
        <v>985700</v>
      </c>
      <c r="V298" s="30">
        <f>3940177405</f>
        <v>3940177405</v>
      </c>
      <c r="W298" s="30">
        <f>3211293035</f>
        <v>3211293035</v>
      </c>
      <c r="X298" s="34">
        <f>18</f>
        <v>18</v>
      </c>
    </row>
    <row r="299" spans="1:24">
      <c r="A299" s="25" t="s">
        <v>1203</v>
      </c>
      <c r="B299" s="25" t="s">
        <v>616</v>
      </c>
      <c r="C299" s="25" t="s">
        <v>617</v>
      </c>
      <c r="D299" s="25" t="s">
        <v>618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10</v>
      </c>
      <c r="K299" s="31">
        <f>332.6</f>
        <v>332.6</v>
      </c>
      <c r="L299" s="32" t="s">
        <v>1204</v>
      </c>
      <c r="M299" s="31">
        <f>341.1</f>
        <v>341.1</v>
      </c>
      <c r="N299" s="32" t="s">
        <v>1207</v>
      </c>
      <c r="O299" s="31">
        <f>325.1</f>
        <v>325.10000000000002</v>
      </c>
      <c r="P299" s="32" t="s">
        <v>1078</v>
      </c>
      <c r="Q299" s="31">
        <f>326.7</f>
        <v>326.7</v>
      </c>
      <c r="R299" s="32" t="s">
        <v>1078</v>
      </c>
      <c r="S299" s="33">
        <f>336.59</f>
        <v>336.59</v>
      </c>
      <c r="T299" s="30">
        <f>16029970</f>
        <v>16029970</v>
      </c>
      <c r="U299" s="30">
        <f>3130230</f>
        <v>3130230</v>
      </c>
      <c r="V299" s="30">
        <f>5370126909</f>
        <v>5370126909</v>
      </c>
      <c r="W299" s="30">
        <f>1041939767</f>
        <v>1041939767</v>
      </c>
      <c r="X299" s="34">
        <f>18</f>
        <v>18</v>
      </c>
    </row>
    <row r="300" spans="1:24">
      <c r="A300" s="25" t="s">
        <v>1203</v>
      </c>
      <c r="B300" s="25" t="s">
        <v>619</v>
      </c>
      <c r="C300" s="25" t="s">
        <v>620</v>
      </c>
      <c r="D300" s="25" t="s">
        <v>621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</v>
      </c>
      <c r="K300" s="31">
        <f>2695</f>
        <v>2695</v>
      </c>
      <c r="L300" s="32" t="s">
        <v>1204</v>
      </c>
      <c r="M300" s="31">
        <f>2783</f>
        <v>2783</v>
      </c>
      <c r="N300" s="32" t="s">
        <v>1207</v>
      </c>
      <c r="O300" s="31">
        <f>2675</f>
        <v>2675</v>
      </c>
      <c r="P300" s="32" t="s">
        <v>1204</v>
      </c>
      <c r="Q300" s="31">
        <f>2760</f>
        <v>2760</v>
      </c>
      <c r="R300" s="32" t="s">
        <v>1078</v>
      </c>
      <c r="S300" s="33">
        <f>2729.72</f>
        <v>2729.72</v>
      </c>
      <c r="T300" s="30">
        <f>286216</f>
        <v>286216</v>
      </c>
      <c r="U300" s="30">
        <f>22570</f>
        <v>22570</v>
      </c>
      <c r="V300" s="30">
        <f>783483963</f>
        <v>783483963</v>
      </c>
      <c r="W300" s="30">
        <f>61846409</f>
        <v>61846409</v>
      </c>
      <c r="X300" s="34">
        <f>18</f>
        <v>18</v>
      </c>
    </row>
    <row r="301" spans="1:24">
      <c r="A301" s="25" t="s">
        <v>1203</v>
      </c>
      <c r="B301" s="25" t="s">
        <v>622</v>
      </c>
      <c r="C301" s="25" t="s">
        <v>623</v>
      </c>
      <c r="D301" s="25" t="s">
        <v>624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</v>
      </c>
      <c r="K301" s="31">
        <f>848</f>
        <v>848</v>
      </c>
      <c r="L301" s="32" t="s">
        <v>1204</v>
      </c>
      <c r="M301" s="31">
        <f>863</f>
        <v>863</v>
      </c>
      <c r="N301" s="32" t="s">
        <v>1078</v>
      </c>
      <c r="O301" s="31">
        <f>819</f>
        <v>819</v>
      </c>
      <c r="P301" s="32" t="s">
        <v>738</v>
      </c>
      <c r="Q301" s="31">
        <f>863</f>
        <v>863</v>
      </c>
      <c r="R301" s="32" t="s">
        <v>1078</v>
      </c>
      <c r="S301" s="33">
        <f>832.33</f>
        <v>832.33</v>
      </c>
      <c r="T301" s="30">
        <f>453433</f>
        <v>453433</v>
      </c>
      <c r="U301" s="30">
        <f>60103</f>
        <v>60103</v>
      </c>
      <c r="V301" s="30">
        <f>377439391</f>
        <v>377439391</v>
      </c>
      <c r="W301" s="30">
        <f>50166453</f>
        <v>50166453</v>
      </c>
      <c r="X301" s="34">
        <f>18</f>
        <v>18</v>
      </c>
    </row>
    <row r="302" spans="1:24">
      <c r="A302" s="25" t="s">
        <v>1203</v>
      </c>
      <c r="B302" s="25" t="s">
        <v>625</v>
      </c>
      <c r="C302" s="25" t="s">
        <v>626</v>
      </c>
      <c r="D302" s="25" t="s">
        <v>627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10</v>
      </c>
      <c r="K302" s="31">
        <f>961.1</f>
        <v>961.1</v>
      </c>
      <c r="L302" s="32" t="s">
        <v>1204</v>
      </c>
      <c r="M302" s="31">
        <f>968.4</f>
        <v>968.4</v>
      </c>
      <c r="N302" s="32" t="s">
        <v>1078</v>
      </c>
      <c r="O302" s="31">
        <f>934.5</f>
        <v>934.5</v>
      </c>
      <c r="P302" s="32" t="s">
        <v>738</v>
      </c>
      <c r="Q302" s="31">
        <f>962</f>
        <v>962</v>
      </c>
      <c r="R302" s="32" t="s">
        <v>1078</v>
      </c>
      <c r="S302" s="33">
        <f>948.9</f>
        <v>948.9</v>
      </c>
      <c r="T302" s="30">
        <f>5470</f>
        <v>5470</v>
      </c>
      <c r="U302" s="30" t="str">
        <f>"－"</f>
        <v>－</v>
      </c>
      <c r="V302" s="30">
        <f>5196279</f>
        <v>5196279</v>
      </c>
      <c r="W302" s="30" t="str">
        <f>"－"</f>
        <v>－</v>
      </c>
      <c r="X302" s="34">
        <f>18</f>
        <v>18</v>
      </c>
    </row>
    <row r="303" spans="1:24">
      <c r="A303" s="25" t="s">
        <v>1203</v>
      </c>
      <c r="B303" s="25" t="s">
        <v>628</v>
      </c>
      <c r="C303" s="25" t="s">
        <v>629</v>
      </c>
      <c r="D303" s="25" t="s">
        <v>630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10</v>
      </c>
      <c r="K303" s="31">
        <f>365</f>
        <v>365</v>
      </c>
      <c r="L303" s="32" t="s">
        <v>1204</v>
      </c>
      <c r="M303" s="31">
        <f>369.2</f>
        <v>369.2</v>
      </c>
      <c r="N303" s="32" t="s">
        <v>1208</v>
      </c>
      <c r="O303" s="31">
        <f>351.7</f>
        <v>351.7</v>
      </c>
      <c r="P303" s="32" t="s">
        <v>1075</v>
      </c>
      <c r="Q303" s="31">
        <f>354</f>
        <v>354</v>
      </c>
      <c r="R303" s="32" t="s">
        <v>1078</v>
      </c>
      <c r="S303" s="33">
        <f>362.81</f>
        <v>362.81</v>
      </c>
      <c r="T303" s="30">
        <f>1260</f>
        <v>1260</v>
      </c>
      <c r="U303" s="30" t="str">
        <f>"－"</f>
        <v>－</v>
      </c>
      <c r="V303" s="30">
        <f>454122</f>
        <v>454122</v>
      </c>
      <c r="W303" s="30" t="str">
        <f>"－"</f>
        <v>－</v>
      </c>
      <c r="X303" s="34">
        <f>14</f>
        <v>14</v>
      </c>
    </row>
    <row r="304" spans="1:24">
      <c r="A304" s="25" t="s">
        <v>1203</v>
      </c>
      <c r="B304" s="25" t="s">
        <v>631</v>
      </c>
      <c r="C304" s="25" t="s">
        <v>632</v>
      </c>
      <c r="D304" s="25" t="s">
        <v>633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10</v>
      </c>
      <c r="K304" s="31">
        <f>5602</f>
        <v>5602</v>
      </c>
      <c r="L304" s="32" t="s">
        <v>1204</v>
      </c>
      <c r="M304" s="31">
        <f>5800</f>
        <v>5800</v>
      </c>
      <c r="N304" s="32" t="s">
        <v>1207</v>
      </c>
      <c r="O304" s="31">
        <f>5258</f>
        <v>5258</v>
      </c>
      <c r="P304" s="32" t="s">
        <v>1078</v>
      </c>
      <c r="Q304" s="31">
        <f>5304</f>
        <v>5304</v>
      </c>
      <c r="R304" s="32" t="s">
        <v>1078</v>
      </c>
      <c r="S304" s="33">
        <f>5641</f>
        <v>5641</v>
      </c>
      <c r="T304" s="30">
        <f>472010</f>
        <v>472010</v>
      </c>
      <c r="U304" s="30">
        <f>10</f>
        <v>10</v>
      </c>
      <c r="V304" s="30">
        <f>2641272040</f>
        <v>2641272040</v>
      </c>
      <c r="W304" s="30">
        <f>57810</f>
        <v>57810</v>
      </c>
      <c r="X304" s="34">
        <f>18</f>
        <v>18</v>
      </c>
    </row>
    <row r="305" spans="1:24">
      <c r="A305" s="25" t="s">
        <v>1203</v>
      </c>
      <c r="B305" s="25" t="s">
        <v>634</v>
      </c>
      <c r="C305" s="25" t="s">
        <v>635</v>
      </c>
      <c r="D305" s="25" t="s">
        <v>636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10</v>
      </c>
      <c r="K305" s="31">
        <f>3232</f>
        <v>3232</v>
      </c>
      <c r="L305" s="32" t="s">
        <v>1204</v>
      </c>
      <c r="M305" s="31">
        <f>3410</f>
        <v>3410</v>
      </c>
      <c r="N305" s="32" t="s">
        <v>1207</v>
      </c>
      <c r="O305" s="31">
        <f>3149</f>
        <v>3149</v>
      </c>
      <c r="P305" s="32" t="s">
        <v>1078</v>
      </c>
      <c r="Q305" s="31">
        <f>3163</f>
        <v>3163</v>
      </c>
      <c r="R305" s="32" t="s">
        <v>1078</v>
      </c>
      <c r="S305" s="33">
        <f>3324.83</f>
        <v>3324.83</v>
      </c>
      <c r="T305" s="30">
        <f>3569450</f>
        <v>3569450</v>
      </c>
      <c r="U305" s="30">
        <f>2438700</f>
        <v>2438700</v>
      </c>
      <c r="V305" s="30">
        <f>11877398727</f>
        <v>11877398727</v>
      </c>
      <c r="W305" s="30">
        <f>8157516507</f>
        <v>8157516507</v>
      </c>
      <c r="X305" s="34">
        <f>18</f>
        <v>18</v>
      </c>
    </row>
    <row r="306" spans="1:24">
      <c r="A306" s="25" t="s">
        <v>1203</v>
      </c>
      <c r="B306" s="25" t="s">
        <v>1158</v>
      </c>
      <c r="C306" s="25" t="s">
        <v>1159</v>
      </c>
      <c r="D306" s="25" t="s">
        <v>1160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</v>
      </c>
      <c r="K306" s="31">
        <f>2118</f>
        <v>2118</v>
      </c>
      <c r="L306" s="32" t="s">
        <v>1204</v>
      </c>
      <c r="M306" s="31">
        <f>2220</f>
        <v>2220</v>
      </c>
      <c r="N306" s="32" t="s">
        <v>1080</v>
      </c>
      <c r="O306" s="31">
        <f>2003</f>
        <v>2003</v>
      </c>
      <c r="P306" s="32" t="s">
        <v>1078</v>
      </c>
      <c r="Q306" s="31">
        <f>2010</f>
        <v>2010</v>
      </c>
      <c r="R306" s="32" t="s">
        <v>1078</v>
      </c>
      <c r="S306" s="33">
        <f>2107.89</f>
        <v>2107.89</v>
      </c>
      <c r="T306" s="30">
        <f>32973</f>
        <v>32973</v>
      </c>
      <c r="U306" s="30" t="str">
        <f>"－"</f>
        <v>－</v>
      </c>
      <c r="V306" s="30">
        <f>69511805</f>
        <v>69511805</v>
      </c>
      <c r="W306" s="30" t="str">
        <f>"－"</f>
        <v>－</v>
      </c>
      <c r="X306" s="34">
        <f>18</f>
        <v>18</v>
      </c>
    </row>
    <row r="307" spans="1:24">
      <c r="A307" s="25" t="s">
        <v>1203</v>
      </c>
      <c r="B307" s="25" t="s">
        <v>1161</v>
      </c>
      <c r="C307" s="25" t="s">
        <v>1162</v>
      </c>
      <c r="D307" s="25" t="s">
        <v>1163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</v>
      </c>
      <c r="K307" s="31">
        <f>1933</f>
        <v>1933</v>
      </c>
      <c r="L307" s="32" t="s">
        <v>1204</v>
      </c>
      <c r="M307" s="31">
        <f>1952</f>
        <v>1952</v>
      </c>
      <c r="N307" s="32" t="s">
        <v>1078</v>
      </c>
      <c r="O307" s="31">
        <f>1876</f>
        <v>1876</v>
      </c>
      <c r="P307" s="32" t="s">
        <v>738</v>
      </c>
      <c r="Q307" s="31">
        <f>1931</f>
        <v>1931</v>
      </c>
      <c r="R307" s="32" t="s">
        <v>1078</v>
      </c>
      <c r="S307" s="33">
        <f>1904.28</f>
        <v>1904.28</v>
      </c>
      <c r="T307" s="30">
        <f>35729</f>
        <v>35729</v>
      </c>
      <c r="U307" s="30" t="str">
        <f>"－"</f>
        <v>－</v>
      </c>
      <c r="V307" s="30">
        <f>68589316</f>
        <v>68589316</v>
      </c>
      <c r="W307" s="30" t="str">
        <f>"－"</f>
        <v>－</v>
      </c>
      <c r="X307" s="34">
        <f>18</f>
        <v>18</v>
      </c>
    </row>
    <row r="308" spans="1:24">
      <c r="A308" s="25" t="s">
        <v>1203</v>
      </c>
      <c r="B308" s="25" t="s">
        <v>637</v>
      </c>
      <c r="C308" s="25" t="s">
        <v>638</v>
      </c>
      <c r="D308" s="25" t="s">
        <v>639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10</v>
      </c>
      <c r="K308" s="31">
        <f>354.4</f>
        <v>354.4</v>
      </c>
      <c r="L308" s="32" t="s">
        <v>1204</v>
      </c>
      <c r="M308" s="31">
        <f>357</f>
        <v>357</v>
      </c>
      <c r="N308" s="32" t="s">
        <v>1204</v>
      </c>
      <c r="O308" s="31">
        <f>342.2</f>
        <v>342.2</v>
      </c>
      <c r="P308" s="32" t="s">
        <v>1212</v>
      </c>
      <c r="Q308" s="31">
        <f>345.6</f>
        <v>345.6</v>
      </c>
      <c r="R308" s="32" t="s">
        <v>1078</v>
      </c>
      <c r="S308" s="33">
        <f>348.44</f>
        <v>348.44</v>
      </c>
      <c r="T308" s="30">
        <f>8097020</f>
        <v>8097020</v>
      </c>
      <c r="U308" s="30">
        <f>6792780</f>
        <v>6792780</v>
      </c>
      <c r="V308" s="30">
        <f>2820469310</f>
        <v>2820469310</v>
      </c>
      <c r="W308" s="30">
        <f>2365387930</f>
        <v>2365387930</v>
      </c>
      <c r="X308" s="34">
        <f>18</f>
        <v>18</v>
      </c>
    </row>
    <row r="309" spans="1:24">
      <c r="A309" s="25" t="s">
        <v>1203</v>
      </c>
      <c r="B309" s="25" t="s">
        <v>640</v>
      </c>
      <c r="C309" s="25" t="s">
        <v>641</v>
      </c>
      <c r="D309" s="25" t="s">
        <v>642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1121</f>
        <v>1121</v>
      </c>
      <c r="L309" s="32" t="s">
        <v>1204</v>
      </c>
      <c r="M309" s="31">
        <f>1174</f>
        <v>1174</v>
      </c>
      <c r="N309" s="32" t="s">
        <v>1078</v>
      </c>
      <c r="O309" s="31">
        <f>1115</f>
        <v>1115</v>
      </c>
      <c r="P309" s="32" t="s">
        <v>1211</v>
      </c>
      <c r="Q309" s="31">
        <f>1171</f>
        <v>1171</v>
      </c>
      <c r="R309" s="32" t="s">
        <v>1078</v>
      </c>
      <c r="S309" s="33">
        <f>1137.89</f>
        <v>1137.8900000000001</v>
      </c>
      <c r="T309" s="30">
        <f>17494351</f>
        <v>17494351</v>
      </c>
      <c r="U309" s="30">
        <f>92098</f>
        <v>92098</v>
      </c>
      <c r="V309" s="30">
        <f>19953576330</f>
        <v>19953576330</v>
      </c>
      <c r="W309" s="30">
        <f>105065727</f>
        <v>105065727</v>
      </c>
      <c r="X309" s="34">
        <f>18</f>
        <v>18</v>
      </c>
    </row>
    <row r="310" spans="1:24">
      <c r="A310" s="25" t="s">
        <v>1203</v>
      </c>
      <c r="B310" s="25" t="s">
        <v>643</v>
      </c>
      <c r="C310" s="25" t="s">
        <v>644</v>
      </c>
      <c r="D310" s="25" t="s">
        <v>645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</v>
      </c>
      <c r="K310" s="31">
        <f>1726</f>
        <v>1726</v>
      </c>
      <c r="L310" s="32" t="s">
        <v>1204</v>
      </c>
      <c r="M310" s="31">
        <f>1747</f>
        <v>1747</v>
      </c>
      <c r="N310" s="32" t="s">
        <v>1212</v>
      </c>
      <c r="O310" s="31">
        <f>1706</f>
        <v>1706</v>
      </c>
      <c r="P310" s="32" t="s">
        <v>1204</v>
      </c>
      <c r="Q310" s="31">
        <f>1739</f>
        <v>1739</v>
      </c>
      <c r="R310" s="32" t="s">
        <v>1078</v>
      </c>
      <c r="S310" s="33">
        <f>1727.78</f>
        <v>1727.78</v>
      </c>
      <c r="T310" s="30">
        <f>14168</f>
        <v>14168</v>
      </c>
      <c r="U310" s="30" t="str">
        <f>"－"</f>
        <v>－</v>
      </c>
      <c r="V310" s="30">
        <f>24427079</f>
        <v>24427079</v>
      </c>
      <c r="W310" s="30" t="str">
        <f>"－"</f>
        <v>－</v>
      </c>
      <c r="X310" s="34">
        <f>18</f>
        <v>18</v>
      </c>
    </row>
    <row r="311" spans="1:24">
      <c r="A311" s="25" t="s">
        <v>1203</v>
      </c>
      <c r="B311" s="25" t="s">
        <v>646</v>
      </c>
      <c r="C311" s="25" t="s">
        <v>647</v>
      </c>
      <c r="D311" s="25" t="s">
        <v>648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2090</f>
        <v>2090</v>
      </c>
      <c r="L311" s="32" t="s">
        <v>1204</v>
      </c>
      <c r="M311" s="31">
        <f>2099</f>
        <v>2099</v>
      </c>
      <c r="N311" s="32" t="s">
        <v>1075</v>
      </c>
      <c r="O311" s="31">
        <f>2041</f>
        <v>2041</v>
      </c>
      <c r="P311" s="32" t="s">
        <v>1079</v>
      </c>
      <c r="Q311" s="31">
        <f>2095</f>
        <v>2095</v>
      </c>
      <c r="R311" s="32" t="s">
        <v>1078</v>
      </c>
      <c r="S311" s="33">
        <f>2082.88</f>
        <v>2082.88</v>
      </c>
      <c r="T311" s="30">
        <f>387706</f>
        <v>387706</v>
      </c>
      <c r="U311" s="30">
        <f>383000</f>
        <v>383000</v>
      </c>
      <c r="V311" s="30">
        <f>807720006</f>
        <v>807720006</v>
      </c>
      <c r="W311" s="30">
        <f>797903900</f>
        <v>797903900</v>
      </c>
      <c r="X311" s="34">
        <f>17</f>
        <v>17</v>
      </c>
    </row>
    <row r="312" spans="1:24">
      <c r="A312" s="25" t="s">
        <v>1203</v>
      </c>
      <c r="B312" s="25" t="s">
        <v>649</v>
      </c>
      <c r="C312" s="25" t="s">
        <v>650</v>
      </c>
      <c r="D312" s="25" t="s">
        <v>920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3865</f>
        <v>3865</v>
      </c>
      <c r="L312" s="32" t="s">
        <v>1204</v>
      </c>
      <c r="M312" s="31">
        <f>3970</f>
        <v>3970</v>
      </c>
      <c r="N312" s="32" t="s">
        <v>1211</v>
      </c>
      <c r="O312" s="31">
        <f>3700</f>
        <v>3700</v>
      </c>
      <c r="P312" s="32" t="s">
        <v>1078</v>
      </c>
      <c r="Q312" s="31">
        <f>3745</f>
        <v>3745</v>
      </c>
      <c r="R312" s="32" t="s">
        <v>1078</v>
      </c>
      <c r="S312" s="33">
        <f>3891.39</f>
        <v>3891.39</v>
      </c>
      <c r="T312" s="30">
        <f>1943579</f>
        <v>1943579</v>
      </c>
      <c r="U312" s="30">
        <f>329939</f>
        <v>329939</v>
      </c>
      <c r="V312" s="30">
        <f>7476545243</f>
        <v>7476545243</v>
      </c>
      <c r="W312" s="30">
        <f>1252693168</f>
        <v>1252693168</v>
      </c>
      <c r="X312" s="34">
        <f>18</f>
        <v>18</v>
      </c>
    </row>
    <row r="313" spans="1:24">
      <c r="A313" s="25" t="s">
        <v>1203</v>
      </c>
      <c r="B313" s="25" t="s">
        <v>651</v>
      </c>
      <c r="C313" s="25" t="s">
        <v>652</v>
      </c>
      <c r="D313" s="25" t="s">
        <v>921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2746</f>
        <v>2746</v>
      </c>
      <c r="L313" s="32" t="s">
        <v>1204</v>
      </c>
      <c r="M313" s="31">
        <f>2794</f>
        <v>2794</v>
      </c>
      <c r="N313" s="32" t="s">
        <v>1205</v>
      </c>
      <c r="O313" s="31">
        <f>2675</f>
        <v>2675</v>
      </c>
      <c r="P313" s="32" t="s">
        <v>1078</v>
      </c>
      <c r="Q313" s="31">
        <f>2693</f>
        <v>2693</v>
      </c>
      <c r="R313" s="32" t="s">
        <v>1078</v>
      </c>
      <c r="S313" s="33">
        <f>2755.67</f>
        <v>2755.67</v>
      </c>
      <c r="T313" s="30">
        <f>704938</f>
        <v>704938</v>
      </c>
      <c r="U313" s="30">
        <f>160111</f>
        <v>160111</v>
      </c>
      <c r="V313" s="30">
        <f>1925329548</f>
        <v>1925329548</v>
      </c>
      <c r="W313" s="30">
        <f>435942972</f>
        <v>435942972</v>
      </c>
      <c r="X313" s="34">
        <f>18</f>
        <v>18</v>
      </c>
    </row>
    <row r="314" spans="1:24">
      <c r="A314" s="25" t="s">
        <v>1203</v>
      </c>
      <c r="B314" s="25" t="s">
        <v>653</v>
      </c>
      <c r="C314" s="25" t="s">
        <v>654</v>
      </c>
      <c r="D314" s="25" t="s">
        <v>655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2448</f>
        <v>2448</v>
      </c>
      <c r="L314" s="32" t="s">
        <v>1204</v>
      </c>
      <c r="M314" s="31">
        <f>2660</f>
        <v>2660</v>
      </c>
      <c r="N314" s="32" t="s">
        <v>662</v>
      </c>
      <c r="O314" s="31">
        <f>2427</f>
        <v>2427</v>
      </c>
      <c r="P314" s="32" t="s">
        <v>1204</v>
      </c>
      <c r="Q314" s="31">
        <f>2516</f>
        <v>2516</v>
      </c>
      <c r="R314" s="32" t="s">
        <v>1078</v>
      </c>
      <c r="S314" s="33">
        <f>2562.39</f>
        <v>2562.39</v>
      </c>
      <c r="T314" s="30">
        <f>61607</f>
        <v>61607</v>
      </c>
      <c r="U314" s="30">
        <f>610</f>
        <v>610</v>
      </c>
      <c r="V314" s="30">
        <f>156777884</f>
        <v>156777884</v>
      </c>
      <c r="W314" s="30">
        <f>1589569</f>
        <v>1589569</v>
      </c>
      <c r="X314" s="34">
        <f>18</f>
        <v>18</v>
      </c>
    </row>
    <row r="315" spans="1:24">
      <c r="A315" s="25" t="s">
        <v>1203</v>
      </c>
      <c r="B315" s="25" t="s">
        <v>656</v>
      </c>
      <c r="C315" s="25" t="s">
        <v>657</v>
      </c>
      <c r="D315" s="25" t="s">
        <v>658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1386</f>
        <v>1386</v>
      </c>
      <c r="L315" s="32" t="s">
        <v>1204</v>
      </c>
      <c r="M315" s="31">
        <f>1514</f>
        <v>1514</v>
      </c>
      <c r="N315" s="32" t="s">
        <v>662</v>
      </c>
      <c r="O315" s="31">
        <f>1371</f>
        <v>1371</v>
      </c>
      <c r="P315" s="32" t="s">
        <v>1208</v>
      </c>
      <c r="Q315" s="31">
        <f>1413</f>
        <v>1413</v>
      </c>
      <c r="R315" s="32" t="s">
        <v>1078</v>
      </c>
      <c r="S315" s="33">
        <f>1443.72</f>
        <v>1443.72</v>
      </c>
      <c r="T315" s="30">
        <f>51789</f>
        <v>51789</v>
      </c>
      <c r="U315" s="30" t="str">
        <f>"－"</f>
        <v>－</v>
      </c>
      <c r="V315" s="30">
        <f>74448185</f>
        <v>74448185</v>
      </c>
      <c r="W315" s="30" t="str">
        <f>"－"</f>
        <v>－</v>
      </c>
      <c r="X315" s="34">
        <f>18</f>
        <v>18</v>
      </c>
    </row>
    <row r="316" spans="1:24">
      <c r="A316" s="25" t="s">
        <v>1203</v>
      </c>
      <c r="B316" s="25" t="s">
        <v>666</v>
      </c>
      <c r="C316" s="25" t="s">
        <v>667</v>
      </c>
      <c r="D316" s="25" t="s">
        <v>668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2011</f>
        <v>2011</v>
      </c>
      <c r="L316" s="32" t="s">
        <v>1204</v>
      </c>
      <c r="M316" s="31">
        <f>2267</f>
        <v>2267</v>
      </c>
      <c r="N316" s="32" t="s">
        <v>1075</v>
      </c>
      <c r="O316" s="31">
        <f>1950</f>
        <v>1950</v>
      </c>
      <c r="P316" s="32" t="s">
        <v>1204</v>
      </c>
      <c r="Q316" s="31">
        <f>2160</f>
        <v>2160</v>
      </c>
      <c r="R316" s="32" t="s">
        <v>1078</v>
      </c>
      <c r="S316" s="33">
        <f>2099.5</f>
        <v>2099.5</v>
      </c>
      <c r="T316" s="30">
        <f>403995</f>
        <v>403995</v>
      </c>
      <c r="U316" s="30">
        <f>96154</f>
        <v>96154</v>
      </c>
      <c r="V316" s="30">
        <f>845583707</f>
        <v>845583707</v>
      </c>
      <c r="W316" s="30">
        <f>197483008</f>
        <v>197483008</v>
      </c>
      <c r="X316" s="34">
        <f>18</f>
        <v>18</v>
      </c>
    </row>
    <row r="317" spans="1:24">
      <c r="A317" s="25" t="s">
        <v>1203</v>
      </c>
      <c r="B317" s="25" t="s">
        <v>669</v>
      </c>
      <c r="C317" s="25" t="s">
        <v>670</v>
      </c>
      <c r="D317" s="25" t="s">
        <v>671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2794</f>
        <v>2794</v>
      </c>
      <c r="L317" s="32" t="s">
        <v>1204</v>
      </c>
      <c r="M317" s="31">
        <f>2990</f>
        <v>2990</v>
      </c>
      <c r="N317" s="32" t="s">
        <v>1078</v>
      </c>
      <c r="O317" s="31">
        <f>2713</f>
        <v>2713</v>
      </c>
      <c r="P317" s="32" t="s">
        <v>1204</v>
      </c>
      <c r="Q317" s="31">
        <f>2877</f>
        <v>2877</v>
      </c>
      <c r="R317" s="32" t="s">
        <v>1078</v>
      </c>
      <c r="S317" s="33">
        <f>2875.89</f>
        <v>2875.89</v>
      </c>
      <c r="T317" s="30">
        <f>129511</f>
        <v>129511</v>
      </c>
      <c r="U317" s="30" t="str">
        <f>"－"</f>
        <v>－</v>
      </c>
      <c r="V317" s="30">
        <f>374028534</f>
        <v>374028534</v>
      </c>
      <c r="W317" s="30" t="str">
        <f>"－"</f>
        <v>－</v>
      </c>
      <c r="X317" s="34">
        <f>18</f>
        <v>18</v>
      </c>
    </row>
    <row r="318" spans="1:24">
      <c r="A318" s="25" t="s">
        <v>1203</v>
      </c>
      <c r="B318" s="25" t="s">
        <v>672</v>
      </c>
      <c r="C318" s="25" t="s">
        <v>673</v>
      </c>
      <c r="D318" s="25" t="s">
        <v>674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13135</f>
        <v>13135</v>
      </c>
      <c r="L318" s="32" t="s">
        <v>1204</v>
      </c>
      <c r="M318" s="31">
        <f>13545</f>
        <v>13545</v>
      </c>
      <c r="N318" s="32" t="s">
        <v>1081</v>
      </c>
      <c r="O318" s="31">
        <f>12910</f>
        <v>12910</v>
      </c>
      <c r="P318" s="32" t="s">
        <v>1078</v>
      </c>
      <c r="Q318" s="31">
        <f>13085</f>
        <v>13085</v>
      </c>
      <c r="R318" s="32" t="s">
        <v>1078</v>
      </c>
      <c r="S318" s="33">
        <f>13353.61</f>
        <v>13353.61</v>
      </c>
      <c r="T318" s="30">
        <f>262441</f>
        <v>262441</v>
      </c>
      <c r="U318" s="30">
        <f>150246</f>
        <v>150246</v>
      </c>
      <c r="V318" s="30">
        <f>3487849684</f>
        <v>3487849684</v>
      </c>
      <c r="W318" s="30">
        <f>1993657219</f>
        <v>1993657219</v>
      </c>
      <c r="X318" s="34">
        <f>18</f>
        <v>18</v>
      </c>
    </row>
    <row r="319" spans="1:24">
      <c r="A319" s="25" t="s">
        <v>1203</v>
      </c>
      <c r="B319" s="25" t="s">
        <v>675</v>
      </c>
      <c r="C319" s="25" t="s">
        <v>676</v>
      </c>
      <c r="D319" s="25" t="s">
        <v>677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23390</f>
        <v>23390</v>
      </c>
      <c r="L319" s="32" t="s">
        <v>1204</v>
      </c>
      <c r="M319" s="31">
        <f>24220</f>
        <v>24220</v>
      </c>
      <c r="N319" s="32" t="s">
        <v>1207</v>
      </c>
      <c r="O319" s="31">
        <f>21940</f>
        <v>21940</v>
      </c>
      <c r="P319" s="32" t="s">
        <v>1078</v>
      </c>
      <c r="Q319" s="31">
        <f>22145</f>
        <v>22145</v>
      </c>
      <c r="R319" s="32" t="s">
        <v>1078</v>
      </c>
      <c r="S319" s="33">
        <f>23554.44</f>
        <v>23554.44</v>
      </c>
      <c r="T319" s="30">
        <f>201340</f>
        <v>201340</v>
      </c>
      <c r="U319" s="30" t="str">
        <f>"－"</f>
        <v>－</v>
      </c>
      <c r="V319" s="30">
        <f>4711933700</f>
        <v>4711933700</v>
      </c>
      <c r="W319" s="30" t="str">
        <f>"－"</f>
        <v>－</v>
      </c>
      <c r="X319" s="34">
        <f>18</f>
        <v>18</v>
      </c>
    </row>
    <row r="320" spans="1:24">
      <c r="A320" s="25" t="s">
        <v>1203</v>
      </c>
      <c r="B320" s="25" t="s">
        <v>678</v>
      </c>
      <c r="C320" s="25" t="s">
        <v>679</v>
      </c>
      <c r="D320" s="25" t="s">
        <v>680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13570</f>
        <v>13570</v>
      </c>
      <c r="L320" s="32" t="s">
        <v>1204</v>
      </c>
      <c r="M320" s="31">
        <f>14260</f>
        <v>14260</v>
      </c>
      <c r="N320" s="32" t="s">
        <v>1207</v>
      </c>
      <c r="O320" s="31">
        <f>13160</f>
        <v>13160</v>
      </c>
      <c r="P320" s="32" t="s">
        <v>1078</v>
      </c>
      <c r="Q320" s="31">
        <f>13240</f>
        <v>13240</v>
      </c>
      <c r="R320" s="32" t="s">
        <v>1078</v>
      </c>
      <c r="S320" s="33">
        <f>13914.72</f>
        <v>13914.72</v>
      </c>
      <c r="T320" s="30">
        <f>148298</f>
        <v>148298</v>
      </c>
      <c r="U320" s="30">
        <f>390</f>
        <v>390</v>
      </c>
      <c r="V320" s="30">
        <f>2047731175</f>
        <v>2047731175</v>
      </c>
      <c r="W320" s="30">
        <f>5310110</f>
        <v>5310110</v>
      </c>
      <c r="X320" s="34">
        <f>18</f>
        <v>18</v>
      </c>
    </row>
    <row r="321" spans="1:24">
      <c r="A321" s="25" t="s">
        <v>1203</v>
      </c>
      <c r="B321" s="25" t="s">
        <v>681</v>
      </c>
      <c r="C321" s="25" t="s">
        <v>682</v>
      </c>
      <c r="D321" s="25" t="s">
        <v>683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10</v>
      </c>
      <c r="K321" s="31">
        <f>428</f>
        <v>428</v>
      </c>
      <c r="L321" s="32" t="s">
        <v>1204</v>
      </c>
      <c r="M321" s="31">
        <f>433.6</f>
        <v>433.6</v>
      </c>
      <c r="N321" s="32" t="s">
        <v>1211</v>
      </c>
      <c r="O321" s="31">
        <f>404.2</f>
        <v>404.2</v>
      </c>
      <c r="P321" s="32" t="s">
        <v>1078</v>
      </c>
      <c r="Q321" s="31">
        <f>407.9</f>
        <v>407.9</v>
      </c>
      <c r="R321" s="32" t="s">
        <v>1078</v>
      </c>
      <c r="S321" s="33">
        <f>424.97</f>
        <v>424.97</v>
      </c>
      <c r="T321" s="30">
        <f>3075840</f>
        <v>3075840</v>
      </c>
      <c r="U321" s="30">
        <f>500310</f>
        <v>500310</v>
      </c>
      <c r="V321" s="30">
        <f>1298424381</f>
        <v>1298424381</v>
      </c>
      <c r="W321" s="30">
        <f>208422141</f>
        <v>208422141</v>
      </c>
      <c r="X321" s="34">
        <f>18</f>
        <v>18</v>
      </c>
    </row>
    <row r="322" spans="1:24">
      <c r="A322" s="25" t="s">
        <v>1203</v>
      </c>
      <c r="B322" s="25" t="s">
        <v>684</v>
      </c>
      <c r="C322" s="25" t="s">
        <v>685</v>
      </c>
      <c r="D322" s="25" t="s">
        <v>686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10</v>
      </c>
      <c r="K322" s="31">
        <f>2594.5</f>
        <v>2594.5</v>
      </c>
      <c r="L322" s="32" t="s">
        <v>1204</v>
      </c>
      <c r="M322" s="31">
        <f>2677.5</f>
        <v>2677.5</v>
      </c>
      <c r="N322" s="32" t="s">
        <v>1081</v>
      </c>
      <c r="O322" s="31">
        <f>2552.5</f>
        <v>2552.5</v>
      </c>
      <c r="P322" s="32" t="s">
        <v>1078</v>
      </c>
      <c r="Q322" s="31">
        <f>2562.5</f>
        <v>2562.5</v>
      </c>
      <c r="R322" s="32" t="s">
        <v>1078</v>
      </c>
      <c r="S322" s="33">
        <f>2639.47</f>
        <v>2639.47</v>
      </c>
      <c r="T322" s="30">
        <f>2303110</f>
        <v>2303110</v>
      </c>
      <c r="U322" s="30">
        <f>1757600</f>
        <v>1757600</v>
      </c>
      <c r="V322" s="30">
        <f>6013489195</f>
        <v>6013489195</v>
      </c>
      <c r="W322" s="30">
        <f>4586104420</f>
        <v>4586104420</v>
      </c>
      <c r="X322" s="34">
        <f>18</f>
        <v>18</v>
      </c>
    </row>
    <row r="323" spans="1:24">
      <c r="A323" s="25" t="s">
        <v>1203</v>
      </c>
      <c r="B323" s="25" t="s">
        <v>687</v>
      </c>
      <c r="C323" s="25" t="s">
        <v>1216</v>
      </c>
      <c r="D323" s="25" t="s">
        <v>1215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4379</f>
        <v>4379</v>
      </c>
      <c r="L323" s="32" t="s">
        <v>1204</v>
      </c>
      <c r="M323" s="31">
        <f>4404</f>
        <v>4404</v>
      </c>
      <c r="N323" s="32" t="s">
        <v>1080</v>
      </c>
      <c r="O323" s="31">
        <f>4119</f>
        <v>4119</v>
      </c>
      <c r="P323" s="32" t="s">
        <v>1078</v>
      </c>
      <c r="Q323" s="31">
        <f>4144</f>
        <v>4144</v>
      </c>
      <c r="R323" s="32" t="s">
        <v>1078</v>
      </c>
      <c r="S323" s="33">
        <f>4314</f>
        <v>4314</v>
      </c>
      <c r="T323" s="30">
        <f>58640</f>
        <v>58640</v>
      </c>
      <c r="U323" s="30">
        <f>10</f>
        <v>10</v>
      </c>
      <c r="V323" s="30">
        <f>254441190</f>
        <v>254441190</v>
      </c>
      <c r="W323" s="30">
        <f>42190</f>
        <v>42190</v>
      </c>
      <c r="X323" s="34">
        <f>18</f>
        <v>18</v>
      </c>
    </row>
    <row r="324" spans="1:24">
      <c r="A324" s="25" t="s">
        <v>1203</v>
      </c>
      <c r="B324" s="25" t="s">
        <v>690</v>
      </c>
      <c r="C324" s="25" t="s">
        <v>691</v>
      </c>
      <c r="D324" s="25" t="s">
        <v>692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</v>
      </c>
      <c r="K324" s="31">
        <f>3335</f>
        <v>3335</v>
      </c>
      <c r="L324" s="32" t="s">
        <v>1204</v>
      </c>
      <c r="M324" s="31">
        <f>3455</f>
        <v>3455</v>
      </c>
      <c r="N324" s="32" t="s">
        <v>1207</v>
      </c>
      <c r="O324" s="31">
        <f>3225</f>
        <v>3225</v>
      </c>
      <c r="P324" s="32" t="s">
        <v>1078</v>
      </c>
      <c r="Q324" s="31">
        <f>3245</f>
        <v>3245</v>
      </c>
      <c r="R324" s="32" t="s">
        <v>1078</v>
      </c>
      <c r="S324" s="33">
        <f>3350.56</f>
        <v>3350.56</v>
      </c>
      <c r="T324" s="30">
        <f>11124</f>
        <v>11124</v>
      </c>
      <c r="U324" s="30" t="str">
        <f>"－"</f>
        <v>－</v>
      </c>
      <c r="V324" s="30">
        <f>37522480</f>
        <v>37522480</v>
      </c>
      <c r="W324" s="30" t="str">
        <f>"－"</f>
        <v>－</v>
      </c>
      <c r="X324" s="34">
        <f>18</f>
        <v>18</v>
      </c>
    </row>
    <row r="325" spans="1:24">
      <c r="A325" s="25" t="s">
        <v>1203</v>
      </c>
      <c r="B325" s="25" t="s">
        <v>693</v>
      </c>
      <c r="C325" s="25" t="s">
        <v>1007</v>
      </c>
      <c r="D325" s="25" t="s">
        <v>1006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</v>
      </c>
      <c r="K325" s="31">
        <f>1478</f>
        <v>1478</v>
      </c>
      <c r="L325" s="32" t="s">
        <v>1204</v>
      </c>
      <c r="M325" s="31">
        <f>1520</f>
        <v>1520</v>
      </c>
      <c r="N325" s="32" t="s">
        <v>1080</v>
      </c>
      <c r="O325" s="31">
        <f>1424</f>
        <v>1424</v>
      </c>
      <c r="P325" s="32" t="s">
        <v>1078</v>
      </c>
      <c r="Q325" s="31">
        <f>1436</f>
        <v>1436</v>
      </c>
      <c r="R325" s="32" t="s">
        <v>1078</v>
      </c>
      <c r="S325" s="33">
        <f>1464.17</f>
        <v>1464.17</v>
      </c>
      <c r="T325" s="30">
        <f>45808</f>
        <v>45808</v>
      </c>
      <c r="U325" s="30" t="str">
        <f>"－"</f>
        <v>－</v>
      </c>
      <c r="V325" s="30">
        <f>66953874</f>
        <v>66953874</v>
      </c>
      <c r="W325" s="30" t="str">
        <f>"－"</f>
        <v>－</v>
      </c>
      <c r="X325" s="34">
        <f>18</f>
        <v>18</v>
      </c>
    </row>
    <row r="326" spans="1:24">
      <c r="A326" s="25" t="s">
        <v>1203</v>
      </c>
      <c r="B326" s="25" t="s">
        <v>694</v>
      </c>
      <c r="C326" s="25" t="s">
        <v>695</v>
      </c>
      <c r="D326" s="25" t="s">
        <v>696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2104</f>
        <v>2104</v>
      </c>
      <c r="L326" s="32" t="s">
        <v>1204</v>
      </c>
      <c r="M326" s="31">
        <f>2147</f>
        <v>2147</v>
      </c>
      <c r="N326" s="32" t="s">
        <v>1211</v>
      </c>
      <c r="O326" s="31">
        <f>1964</f>
        <v>1964</v>
      </c>
      <c r="P326" s="32" t="s">
        <v>1078</v>
      </c>
      <c r="Q326" s="31">
        <f>1977</f>
        <v>1977</v>
      </c>
      <c r="R326" s="32" t="s">
        <v>1078</v>
      </c>
      <c r="S326" s="33">
        <f>2061.28</f>
        <v>2061.2800000000002</v>
      </c>
      <c r="T326" s="30">
        <f>279903</f>
        <v>279903</v>
      </c>
      <c r="U326" s="30">
        <f>40001</f>
        <v>40001</v>
      </c>
      <c r="V326" s="30">
        <f>580427154</f>
        <v>580427154</v>
      </c>
      <c r="W326" s="30">
        <f>83697072</f>
        <v>83697072</v>
      </c>
      <c r="X326" s="34">
        <f>18</f>
        <v>18</v>
      </c>
    </row>
    <row r="327" spans="1:24">
      <c r="A327" s="25" t="s">
        <v>1203</v>
      </c>
      <c r="B327" s="25" t="s">
        <v>697</v>
      </c>
      <c r="C327" s="25" t="s">
        <v>698</v>
      </c>
      <c r="D327" s="25" t="s">
        <v>699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1651</f>
        <v>1651</v>
      </c>
      <c r="L327" s="32" t="s">
        <v>1204</v>
      </c>
      <c r="M327" s="31">
        <f>1701</f>
        <v>1701</v>
      </c>
      <c r="N327" s="32" t="s">
        <v>662</v>
      </c>
      <c r="O327" s="31">
        <f>1600</f>
        <v>1600</v>
      </c>
      <c r="P327" s="32" t="s">
        <v>1078</v>
      </c>
      <c r="Q327" s="31">
        <f>1610</f>
        <v>1610</v>
      </c>
      <c r="R327" s="32" t="s">
        <v>1078</v>
      </c>
      <c r="S327" s="33">
        <f>1642.83</f>
        <v>1642.83</v>
      </c>
      <c r="T327" s="30">
        <f>36534</f>
        <v>36534</v>
      </c>
      <c r="U327" s="30" t="str">
        <f>"－"</f>
        <v>－</v>
      </c>
      <c r="V327" s="30">
        <f>60144174</f>
        <v>60144174</v>
      </c>
      <c r="W327" s="30" t="str">
        <f>"－"</f>
        <v>－</v>
      </c>
      <c r="X327" s="34">
        <f>18</f>
        <v>18</v>
      </c>
    </row>
    <row r="328" spans="1:24">
      <c r="A328" s="25" t="s">
        <v>1203</v>
      </c>
      <c r="B328" s="25" t="s">
        <v>700</v>
      </c>
      <c r="C328" s="25" t="s">
        <v>701</v>
      </c>
      <c r="D328" s="25" t="s">
        <v>702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3570</f>
        <v>3570</v>
      </c>
      <c r="L328" s="32" t="s">
        <v>1204</v>
      </c>
      <c r="M328" s="31">
        <f>4285</f>
        <v>4285</v>
      </c>
      <c r="N328" s="32" t="s">
        <v>1080</v>
      </c>
      <c r="O328" s="31">
        <f>3540</f>
        <v>3540</v>
      </c>
      <c r="P328" s="32" t="s">
        <v>1204</v>
      </c>
      <c r="Q328" s="31">
        <f>3945</f>
        <v>3945</v>
      </c>
      <c r="R328" s="32" t="s">
        <v>1078</v>
      </c>
      <c r="S328" s="33">
        <f>3936.11</f>
        <v>3936.11</v>
      </c>
      <c r="T328" s="30">
        <f>237489</f>
        <v>237489</v>
      </c>
      <c r="U328" s="30">
        <f>26070</f>
        <v>26070</v>
      </c>
      <c r="V328" s="30">
        <f>937786160</f>
        <v>937786160</v>
      </c>
      <c r="W328" s="30">
        <f>102919595</f>
        <v>102919595</v>
      </c>
      <c r="X328" s="34">
        <f>18</f>
        <v>18</v>
      </c>
    </row>
    <row r="329" spans="1:24">
      <c r="A329" s="25" t="s">
        <v>1203</v>
      </c>
      <c r="B329" s="25" t="s">
        <v>703</v>
      </c>
      <c r="C329" s="25" t="s">
        <v>1005</v>
      </c>
      <c r="D329" s="25" t="s">
        <v>1004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3180</f>
        <v>3180</v>
      </c>
      <c r="L329" s="32" t="s">
        <v>1204</v>
      </c>
      <c r="M329" s="31">
        <f>3295</f>
        <v>3295</v>
      </c>
      <c r="N329" s="32" t="s">
        <v>1080</v>
      </c>
      <c r="O329" s="31">
        <f>3130</f>
        <v>3130</v>
      </c>
      <c r="P329" s="32" t="s">
        <v>1204</v>
      </c>
      <c r="Q329" s="31">
        <f>3190</f>
        <v>3190</v>
      </c>
      <c r="R329" s="32" t="s">
        <v>1078</v>
      </c>
      <c r="S329" s="33">
        <f>3225.56</f>
        <v>3225.56</v>
      </c>
      <c r="T329" s="30">
        <f>194806</f>
        <v>194806</v>
      </c>
      <c r="U329" s="30">
        <f>230</f>
        <v>230</v>
      </c>
      <c r="V329" s="30">
        <f>627584530</f>
        <v>627584530</v>
      </c>
      <c r="W329" s="30">
        <f>737435</f>
        <v>737435</v>
      </c>
      <c r="X329" s="34">
        <f>18</f>
        <v>18</v>
      </c>
    </row>
    <row r="330" spans="1:24">
      <c r="A330" s="25" t="s">
        <v>1203</v>
      </c>
      <c r="B330" s="25" t="s">
        <v>704</v>
      </c>
      <c r="C330" s="25" t="s">
        <v>705</v>
      </c>
      <c r="D330" s="25" t="s">
        <v>706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36130</f>
        <v>36130</v>
      </c>
      <c r="L330" s="32" t="s">
        <v>1204</v>
      </c>
      <c r="M330" s="31">
        <f>37210</f>
        <v>37210</v>
      </c>
      <c r="N330" s="32" t="s">
        <v>1081</v>
      </c>
      <c r="O330" s="31">
        <f>35520</f>
        <v>35520</v>
      </c>
      <c r="P330" s="32" t="s">
        <v>1078</v>
      </c>
      <c r="Q330" s="31">
        <f>35530</f>
        <v>35530</v>
      </c>
      <c r="R330" s="32" t="s">
        <v>1078</v>
      </c>
      <c r="S330" s="33">
        <f>36175.83</f>
        <v>36175.83</v>
      </c>
      <c r="T330" s="30">
        <f>633</f>
        <v>633</v>
      </c>
      <c r="U330" s="30" t="str">
        <f>"－"</f>
        <v>－</v>
      </c>
      <c r="V330" s="30">
        <f>22501420</f>
        <v>22501420</v>
      </c>
      <c r="W330" s="30" t="str">
        <f>"－"</f>
        <v>－</v>
      </c>
      <c r="X330" s="34">
        <f>12</f>
        <v>12</v>
      </c>
    </row>
    <row r="331" spans="1:24">
      <c r="A331" s="25" t="s">
        <v>1203</v>
      </c>
      <c r="B331" s="25" t="s">
        <v>707</v>
      </c>
      <c r="C331" s="25" t="s">
        <v>1214</v>
      </c>
      <c r="D331" s="25" t="s">
        <v>1213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2930</f>
        <v>2930</v>
      </c>
      <c r="L331" s="32" t="s">
        <v>1208</v>
      </c>
      <c r="M331" s="31">
        <f>2952</f>
        <v>2952</v>
      </c>
      <c r="N331" s="32" t="s">
        <v>1205</v>
      </c>
      <c r="O331" s="31">
        <f>2801</f>
        <v>2801</v>
      </c>
      <c r="P331" s="32" t="s">
        <v>1078</v>
      </c>
      <c r="Q331" s="31">
        <f>2824</f>
        <v>2824</v>
      </c>
      <c r="R331" s="32" t="s">
        <v>1078</v>
      </c>
      <c r="S331" s="33">
        <f>2905.73</f>
        <v>2905.73</v>
      </c>
      <c r="T331" s="30">
        <f>3473</f>
        <v>3473</v>
      </c>
      <c r="U331" s="30">
        <f>1</f>
        <v>1</v>
      </c>
      <c r="V331" s="30">
        <f>10100575</f>
        <v>10100575</v>
      </c>
      <c r="W331" s="30">
        <f>2920</f>
        <v>2920</v>
      </c>
      <c r="X331" s="34">
        <f>15</f>
        <v>15</v>
      </c>
    </row>
    <row r="332" spans="1:24">
      <c r="A332" s="25" t="s">
        <v>1203</v>
      </c>
      <c r="B332" s="25" t="s">
        <v>710</v>
      </c>
      <c r="C332" s="25" t="s">
        <v>711</v>
      </c>
      <c r="D332" s="25" t="s">
        <v>712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1752</f>
        <v>1752</v>
      </c>
      <c r="L332" s="32" t="s">
        <v>1204</v>
      </c>
      <c r="M332" s="31">
        <f>1930</f>
        <v>1930</v>
      </c>
      <c r="N332" s="32" t="s">
        <v>1076</v>
      </c>
      <c r="O332" s="31">
        <f>1723</f>
        <v>1723</v>
      </c>
      <c r="P332" s="32" t="s">
        <v>1078</v>
      </c>
      <c r="Q332" s="31">
        <f>1733</f>
        <v>1733</v>
      </c>
      <c r="R332" s="32" t="s">
        <v>1078</v>
      </c>
      <c r="S332" s="33">
        <f>1833.56</f>
        <v>1833.56</v>
      </c>
      <c r="T332" s="30">
        <f>8430735</f>
        <v>8430735</v>
      </c>
      <c r="U332" s="30">
        <f>238624</f>
        <v>238624</v>
      </c>
      <c r="V332" s="30">
        <f>15296319519</f>
        <v>15296319519</v>
      </c>
      <c r="W332" s="30">
        <f>419196841</f>
        <v>419196841</v>
      </c>
      <c r="X332" s="34">
        <f>18</f>
        <v>18</v>
      </c>
    </row>
    <row r="333" spans="1:24">
      <c r="A333" s="25" t="s">
        <v>1203</v>
      </c>
      <c r="B333" s="25" t="s">
        <v>713</v>
      </c>
      <c r="C333" s="25" t="s">
        <v>714</v>
      </c>
      <c r="D333" s="25" t="s">
        <v>715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2511</f>
        <v>2511</v>
      </c>
      <c r="L333" s="32" t="s">
        <v>1204</v>
      </c>
      <c r="M333" s="31">
        <f>2657</f>
        <v>2657</v>
      </c>
      <c r="N333" s="32" t="s">
        <v>1207</v>
      </c>
      <c r="O333" s="31">
        <f>2476</f>
        <v>2476</v>
      </c>
      <c r="P333" s="32" t="s">
        <v>1078</v>
      </c>
      <c r="Q333" s="31">
        <f>2576</f>
        <v>2576</v>
      </c>
      <c r="R333" s="32" t="s">
        <v>1078</v>
      </c>
      <c r="S333" s="33">
        <f>2559.67</f>
        <v>2559.67</v>
      </c>
      <c r="T333" s="30">
        <f>33132</f>
        <v>33132</v>
      </c>
      <c r="U333" s="30">
        <f>470</f>
        <v>470</v>
      </c>
      <c r="V333" s="30">
        <f>85234552</f>
        <v>85234552</v>
      </c>
      <c r="W333" s="30">
        <f>1233313</f>
        <v>1233313</v>
      </c>
      <c r="X333" s="34">
        <f>18</f>
        <v>18</v>
      </c>
    </row>
    <row r="334" spans="1:24">
      <c r="A334" s="25" t="s">
        <v>1203</v>
      </c>
      <c r="B334" s="25" t="s">
        <v>716</v>
      </c>
      <c r="C334" s="25" t="s">
        <v>717</v>
      </c>
      <c r="D334" s="25" t="s">
        <v>718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1620</f>
        <v>1620</v>
      </c>
      <c r="L334" s="32" t="s">
        <v>1204</v>
      </c>
      <c r="M334" s="31">
        <f>1673</f>
        <v>1673</v>
      </c>
      <c r="N334" s="32" t="s">
        <v>738</v>
      </c>
      <c r="O334" s="31">
        <f>1580</f>
        <v>1580</v>
      </c>
      <c r="P334" s="32" t="s">
        <v>1212</v>
      </c>
      <c r="Q334" s="31">
        <f>1595</f>
        <v>1595</v>
      </c>
      <c r="R334" s="32" t="s">
        <v>1078</v>
      </c>
      <c r="S334" s="33">
        <f>1610.28</f>
        <v>1610.28</v>
      </c>
      <c r="T334" s="30">
        <f>31555</f>
        <v>31555</v>
      </c>
      <c r="U334" s="30" t="str">
        <f>"－"</f>
        <v>－</v>
      </c>
      <c r="V334" s="30">
        <f>50399104</f>
        <v>50399104</v>
      </c>
      <c r="W334" s="30" t="str">
        <f>"－"</f>
        <v>－</v>
      </c>
      <c r="X334" s="34">
        <f>18</f>
        <v>18</v>
      </c>
    </row>
    <row r="335" spans="1:24">
      <c r="A335" s="25" t="s">
        <v>1203</v>
      </c>
      <c r="B335" s="25" t="s">
        <v>719</v>
      </c>
      <c r="C335" s="25" t="s">
        <v>720</v>
      </c>
      <c r="D335" s="25" t="s">
        <v>721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10</v>
      </c>
      <c r="K335" s="31">
        <f>5692</f>
        <v>5692</v>
      </c>
      <c r="L335" s="32" t="s">
        <v>1204</v>
      </c>
      <c r="M335" s="31">
        <f>5745</f>
        <v>5745</v>
      </c>
      <c r="N335" s="32" t="s">
        <v>1204</v>
      </c>
      <c r="O335" s="31">
        <f>5529</f>
        <v>5529</v>
      </c>
      <c r="P335" s="32" t="s">
        <v>1076</v>
      </c>
      <c r="Q335" s="31">
        <f>5638</f>
        <v>5638</v>
      </c>
      <c r="R335" s="32" t="s">
        <v>1078</v>
      </c>
      <c r="S335" s="33">
        <f>5621.73</f>
        <v>5621.73</v>
      </c>
      <c r="T335" s="30">
        <f>80720</f>
        <v>80720</v>
      </c>
      <c r="U335" s="30">
        <f>78300</f>
        <v>78300</v>
      </c>
      <c r="V335" s="30">
        <f>453199061</f>
        <v>453199061</v>
      </c>
      <c r="W335" s="30">
        <f>439572731</f>
        <v>439572731</v>
      </c>
      <c r="X335" s="34">
        <f>15</f>
        <v>15</v>
      </c>
    </row>
    <row r="336" spans="1:24">
      <c r="A336" s="25" t="s">
        <v>1203</v>
      </c>
      <c r="B336" s="25" t="s">
        <v>722</v>
      </c>
      <c r="C336" s="25" t="s">
        <v>723</v>
      </c>
      <c r="D336" s="25" t="s">
        <v>724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10</v>
      </c>
      <c r="K336" s="31">
        <f>3549</f>
        <v>3549</v>
      </c>
      <c r="L336" s="32" t="s">
        <v>1204</v>
      </c>
      <c r="M336" s="31">
        <f>3628</f>
        <v>3628</v>
      </c>
      <c r="N336" s="32" t="s">
        <v>1078</v>
      </c>
      <c r="O336" s="31">
        <f>3521</f>
        <v>3521</v>
      </c>
      <c r="P336" s="32" t="s">
        <v>1211</v>
      </c>
      <c r="Q336" s="31">
        <f>3624</f>
        <v>3624</v>
      </c>
      <c r="R336" s="32" t="s">
        <v>1078</v>
      </c>
      <c r="S336" s="33">
        <f>3563.06</f>
        <v>3563.06</v>
      </c>
      <c r="T336" s="30">
        <f>1694180</f>
        <v>1694180</v>
      </c>
      <c r="U336" s="30">
        <f>1665300</f>
        <v>1665300</v>
      </c>
      <c r="V336" s="30">
        <f>6115722072</f>
        <v>6115722072</v>
      </c>
      <c r="W336" s="30">
        <f>6013142052</f>
        <v>6013142052</v>
      </c>
      <c r="X336" s="34">
        <f>16</f>
        <v>16</v>
      </c>
    </row>
    <row r="337" spans="1:24">
      <c r="A337" s="25" t="s">
        <v>1203</v>
      </c>
      <c r="B337" s="25" t="s">
        <v>725</v>
      </c>
      <c r="C337" s="25" t="s">
        <v>726</v>
      </c>
      <c r="D337" s="25" t="s">
        <v>727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604.9</f>
        <v>604.9</v>
      </c>
      <c r="L337" s="32" t="s">
        <v>1204</v>
      </c>
      <c r="M337" s="31">
        <f>617.1</f>
        <v>617.1</v>
      </c>
      <c r="N337" s="32" t="s">
        <v>1078</v>
      </c>
      <c r="O337" s="31">
        <f>601.7</f>
        <v>601.70000000000005</v>
      </c>
      <c r="P337" s="32" t="s">
        <v>1211</v>
      </c>
      <c r="Q337" s="31">
        <f>616.8</f>
        <v>616.79999999999995</v>
      </c>
      <c r="R337" s="32" t="s">
        <v>1078</v>
      </c>
      <c r="S337" s="33">
        <f>608.89</f>
        <v>608.89</v>
      </c>
      <c r="T337" s="30">
        <f>819000</f>
        <v>819000</v>
      </c>
      <c r="U337" s="30">
        <f>812000</f>
        <v>812000</v>
      </c>
      <c r="V337" s="30">
        <f>496582807</f>
        <v>496582807</v>
      </c>
      <c r="W337" s="30">
        <f>492315600</f>
        <v>492315600</v>
      </c>
      <c r="X337" s="34">
        <f>16</f>
        <v>16</v>
      </c>
    </row>
    <row r="338" spans="1:24">
      <c r="A338" s="25" t="s">
        <v>1203</v>
      </c>
      <c r="B338" s="25" t="s">
        <v>1166</v>
      </c>
      <c r="C338" s="25" t="s">
        <v>1165</v>
      </c>
      <c r="D338" s="25" t="s">
        <v>1164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</v>
      </c>
      <c r="K338" s="31">
        <f>10210</f>
        <v>10210</v>
      </c>
      <c r="L338" s="32" t="s">
        <v>1204</v>
      </c>
      <c r="M338" s="31">
        <f>10405</f>
        <v>10405</v>
      </c>
      <c r="N338" s="32" t="s">
        <v>1210</v>
      </c>
      <c r="O338" s="31">
        <f>9668</f>
        <v>9668</v>
      </c>
      <c r="P338" s="32" t="s">
        <v>1078</v>
      </c>
      <c r="Q338" s="31">
        <f>9765</f>
        <v>9765</v>
      </c>
      <c r="R338" s="32" t="s">
        <v>1078</v>
      </c>
      <c r="S338" s="33">
        <f>10064.83</f>
        <v>10064.83</v>
      </c>
      <c r="T338" s="30">
        <f>9660</f>
        <v>9660</v>
      </c>
      <c r="U338" s="30" t="str">
        <f>"－"</f>
        <v>－</v>
      </c>
      <c r="V338" s="30">
        <f>96913307</f>
        <v>96913307</v>
      </c>
      <c r="W338" s="30" t="str">
        <f>"－"</f>
        <v>－</v>
      </c>
      <c r="X338" s="34">
        <f>18</f>
        <v>18</v>
      </c>
    </row>
    <row r="339" spans="1:24">
      <c r="A339" s="25" t="s">
        <v>1203</v>
      </c>
      <c r="B339" s="25" t="s">
        <v>1167</v>
      </c>
      <c r="C339" s="25" t="s">
        <v>1168</v>
      </c>
      <c r="D339" s="25" t="s">
        <v>1169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</v>
      </c>
      <c r="K339" s="31">
        <f>1004</f>
        <v>1004</v>
      </c>
      <c r="L339" s="32" t="s">
        <v>1204</v>
      </c>
      <c r="M339" s="31">
        <f>1074</f>
        <v>1074</v>
      </c>
      <c r="N339" s="32" t="s">
        <v>1081</v>
      </c>
      <c r="O339" s="31">
        <f>945</f>
        <v>945</v>
      </c>
      <c r="P339" s="32" t="s">
        <v>1078</v>
      </c>
      <c r="Q339" s="31">
        <f>955</f>
        <v>955</v>
      </c>
      <c r="R339" s="32" t="s">
        <v>1078</v>
      </c>
      <c r="S339" s="33">
        <f>1021.56</f>
        <v>1021.56</v>
      </c>
      <c r="T339" s="30">
        <f>985730</f>
        <v>985730</v>
      </c>
      <c r="U339" s="30">
        <f>430000</f>
        <v>430000</v>
      </c>
      <c r="V339" s="30">
        <f>987495946</f>
        <v>987495946</v>
      </c>
      <c r="W339" s="30">
        <f>428912632</f>
        <v>428912632</v>
      </c>
      <c r="X339" s="34">
        <f>18</f>
        <v>18</v>
      </c>
    </row>
    <row r="340" spans="1:24">
      <c r="A340" s="25" t="s">
        <v>1203</v>
      </c>
      <c r="B340" s="25" t="s">
        <v>728</v>
      </c>
      <c r="C340" s="25" t="s">
        <v>729</v>
      </c>
      <c r="D340" s="25" t="s">
        <v>730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2834</f>
        <v>2834</v>
      </c>
      <c r="L340" s="32" t="s">
        <v>1204</v>
      </c>
      <c r="M340" s="31">
        <f>3000</f>
        <v>3000</v>
      </c>
      <c r="N340" s="32" t="s">
        <v>1211</v>
      </c>
      <c r="O340" s="31">
        <f>2764</f>
        <v>2764</v>
      </c>
      <c r="P340" s="32" t="s">
        <v>1078</v>
      </c>
      <c r="Q340" s="31">
        <f>2774</f>
        <v>2774</v>
      </c>
      <c r="R340" s="32" t="s">
        <v>1078</v>
      </c>
      <c r="S340" s="33">
        <f>2858.61</f>
        <v>2858.61</v>
      </c>
      <c r="T340" s="30">
        <f>5227</f>
        <v>5227</v>
      </c>
      <c r="U340" s="30" t="str">
        <f>"－"</f>
        <v>－</v>
      </c>
      <c r="V340" s="30">
        <f>15140809</f>
        <v>15140809</v>
      </c>
      <c r="W340" s="30" t="str">
        <f>"－"</f>
        <v>－</v>
      </c>
      <c r="X340" s="34">
        <f>18</f>
        <v>18</v>
      </c>
    </row>
    <row r="341" spans="1:24">
      <c r="A341" s="25" t="s">
        <v>1203</v>
      </c>
      <c r="B341" s="25" t="s">
        <v>731</v>
      </c>
      <c r="C341" s="25" t="s">
        <v>1003</v>
      </c>
      <c r="D341" s="25" t="s">
        <v>1002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2269</f>
        <v>2269</v>
      </c>
      <c r="L341" s="32" t="s">
        <v>1204</v>
      </c>
      <c r="M341" s="31">
        <f>2356</f>
        <v>2356</v>
      </c>
      <c r="N341" s="32" t="s">
        <v>1080</v>
      </c>
      <c r="O341" s="31">
        <f>2185</f>
        <v>2185</v>
      </c>
      <c r="P341" s="32" t="s">
        <v>1078</v>
      </c>
      <c r="Q341" s="31">
        <f>2185</f>
        <v>2185</v>
      </c>
      <c r="R341" s="32" t="s">
        <v>1078</v>
      </c>
      <c r="S341" s="33">
        <f>2287.44</f>
        <v>2287.44</v>
      </c>
      <c r="T341" s="30">
        <f>683991</f>
        <v>683991</v>
      </c>
      <c r="U341" s="30">
        <f>6</f>
        <v>6</v>
      </c>
      <c r="V341" s="30">
        <f>1598302562</f>
        <v>1598302562</v>
      </c>
      <c r="W341" s="30">
        <f>13787</f>
        <v>13787</v>
      </c>
      <c r="X341" s="34">
        <f>18</f>
        <v>18</v>
      </c>
    </row>
    <row r="342" spans="1:24">
      <c r="A342" s="25" t="s">
        <v>1203</v>
      </c>
      <c r="B342" s="25" t="s">
        <v>732</v>
      </c>
      <c r="C342" s="25" t="s">
        <v>733</v>
      </c>
      <c r="D342" s="25" t="s">
        <v>734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8513</f>
        <v>8513</v>
      </c>
      <c r="L342" s="32" t="s">
        <v>1204</v>
      </c>
      <c r="M342" s="31">
        <f>8577</f>
        <v>8577</v>
      </c>
      <c r="N342" s="32" t="s">
        <v>1204</v>
      </c>
      <c r="O342" s="31">
        <f>8232</f>
        <v>8232</v>
      </c>
      <c r="P342" s="32" t="s">
        <v>1081</v>
      </c>
      <c r="Q342" s="31">
        <f>8377</f>
        <v>8377</v>
      </c>
      <c r="R342" s="32" t="s">
        <v>1078</v>
      </c>
      <c r="S342" s="33">
        <f>8361.72</f>
        <v>8361.7199999999993</v>
      </c>
      <c r="T342" s="30">
        <f>366916</f>
        <v>366916</v>
      </c>
      <c r="U342" s="30">
        <f>360000</f>
        <v>360000</v>
      </c>
      <c r="V342" s="30">
        <f>3032628577</f>
        <v>3032628577</v>
      </c>
      <c r="W342" s="30">
        <f>2975079276</f>
        <v>2975079276</v>
      </c>
      <c r="X342" s="34">
        <f>18</f>
        <v>18</v>
      </c>
    </row>
    <row r="343" spans="1:24">
      <c r="A343" s="25" t="s">
        <v>1203</v>
      </c>
      <c r="B343" s="25" t="s">
        <v>735</v>
      </c>
      <c r="C343" s="25" t="s">
        <v>736</v>
      </c>
      <c r="D343" s="25" t="s">
        <v>737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5302</f>
        <v>5302</v>
      </c>
      <c r="L343" s="32" t="s">
        <v>1204</v>
      </c>
      <c r="M343" s="31">
        <f>5486</f>
        <v>5486</v>
      </c>
      <c r="N343" s="32" t="s">
        <v>1075</v>
      </c>
      <c r="O343" s="31">
        <f>5226</f>
        <v>5226</v>
      </c>
      <c r="P343" s="32" t="s">
        <v>1211</v>
      </c>
      <c r="Q343" s="31">
        <f>5377</f>
        <v>5377</v>
      </c>
      <c r="R343" s="32" t="s">
        <v>1078</v>
      </c>
      <c r="S343" s="33">
        <f>5295.67</f>
        <v>5295.67</v>
      </c>
      <c r="T343" s="30">
        <f>396609</f>
        <v>396609</v>
      </c>
      <c r="U343" s="30">
        <f>379101</f>
        <v>379101</v>
      </c>
      <c r="V343" s="30">
        <f>2125884347</f>
        <v>2125884347</v>
      </c>
      <c r="W343" s="30">
        <f>2033800972</f>
        <v>2033800972</v>
      </c>
      <c r="X343" s="34">
        <f>18</f>
        <v>18</v>
      </c>
    </row>
    <row r="344" spans="1:24">
      <c r="A344" s="25" t="s">
        <v>1203</v>
      </c>
      <c r="B344" s="25" t="s">
        <v>1170</v>
      </c>
      <c r="C344" s="25" t="s">
        <v>1171</v>
      </c>
      <c r="D344" s="25" t="s">
        <v>1172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1033</f>
        <v>1033</v>
      </c>
      <c r="L344" s="32" t="s">
        <v>1204</v>
      </c>
      <c r="M344" s="31">
        <f>1048</f>
        <v>1048</v>
      </c>
      <c r="N344" s="32" t="s">
        <v>1208</v>
      </c>
      <c r="O344" s="31">
        <f>975</f>
        <v>975</v>
      </c>
      <c r="P344" s="32" t="s">
        <v>1078</v>
      </c>
      <c r="Q344" s="31">
        <f>985</f>
        <v>985</v>
      </c>
      <c r="R344" s="32" t="s">
        <v>1078</v>
      </c>
      <c r="S344" s="33">
        <f>1022</f>
        <v>1022</v>
      </c>
      <c r="T344" s="30">
        <f>382640</f>
        <v>382640</v>
      </c>
      <c r="U344" s="30" t="str">
        <f>"－"</f>
        <v>－</v>
      </c>
      <c r="V344" s="30">
        <f>386911948</f>
        <v>386911948</v>
      </c>
      <c r="W344" s="30" t="str">
        <f>"－"</f>
        <v>－</v>
      </c>
      <c r="X344" s="34">
        <f>18</f>
        <v>18</v>
      </c>
    </row>
    <row r="345" spans="1:24">
      <c r="A345" s="25" t="s">
        <v>1203</v>
      </c>
      <c r="B345" s="25" t="s">
        <v>740</v>
      </c>
      <c r="C345" s="25" t="s">
        <v>741</v>
      </c>
      <c r="D345" s="25" t="s">
        <v>742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1885</f>
        <v>1885</v>
      </c>
      <c r="L345" s="32" t="s">
        <v>1204</v>
      </c>
      <c r="M345" s="31">
        <f>1951</f>
        <v>1951</v>
      </c>
      <c r="N345" s="32" t="s">
        <v>1207</v>
      </c>
      <c r="O345" s="31">
        <f>1767</f>
        <v>1767</v>
      </c>
      <c r="P345" s="32" t="s">
        <v>1078</v>
      </c>
      <c r="Q345" s="31">
        <f>1783</f>
        <v>1783</v>
      </c>
      <c r="R345" s="32" t="s">
        <v>1078</v>
      </c>
      <c r="S345" s="33">
        <f>1897.44</f>
        <v>1897.44</v>
      </c>
      <c r="T345" s="30">
        <f>2012674</f>
        <v>2012674</v>
      </c>
      <c r="U345" s="30">
        <f>110712</f>
        <v>110712</v>
      </c>
      <c r="V345" s="30">
        <f>3774156171</f>
        <v>3774156171</v>
      </c>
      <c r="W345" s="30">
        <f>200900434</f>
        <v>200900434</v>
      </c>
      <c r="X345" s="34">
        <f>18</f>
        <v>18</v>
      </c>
    </row>
    <row r="346" spans="1:24">
      <c r="A346" s="25" t="s">
        <v>1203</v>
      </c>
      <c r="B346" s="25" t="s">
        <v>743</v>
      </c>
      <c r="C346" s="25" t="s">
        <v>744</v>
      </c>
      <c r="D346" s="25" t="s">
        <v>745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1271</f>
        <v>1271</v>
      </c>
      <c r="L346" s="32" t="s">
        <v>1204</v>
      </c>
      <c r="M346" s="31">
        <f>1345</f>
        <v>1345</v>
      </c>
      <c r="N346" s="32" t="s">
        <v>1207</v>
      </c>
      <c r="O346" s="31">
        <f>1239</f>
        <v>1239</v>
      </c>
      <c r="P346" s="32" t="s">
        <v>1078</v>
      </c>
      <c r="Q346" s="31">
        <f>1247</f>
        <v>1247</v>
      </c>
      <c r="R346" s="32" t="s">
        <v>1078</v>
      </c>
      <c r="S346" s="33">
        <f>1308.17</f>
        <v>1308.17</v>
      </c>
      <c r="T346" s="30">
        <f>1710461</f>
        <v>1710461</v>
      </c>
      <c r="U346" s="30" t="str">
        <f>"－"</f>
        <v>－</v>
      </c>
      <c r="V346" s="30">
        <f>2222977034</f>
        <v>2222977034</v>
      </c>
      <c r="W346" s="30" t="str">
        <f>"－"</f>
        <v>－</v>
      </c>
      <c r="X346" s="34">
        <f>18</f>
        <v>18</v>
      </c>
    </row>
    <row r="347" spans="1:24">
      <c r="A347" s="25" t="s">
        <v>1203</v>
      </c>
      <c r="B347" s="25" t="s">
        <v>746</v>
      </c>
      <c r="C347" s="25" t="s">
        <v>747</v>
      </c>
      <c r="D347" s="25" t="s">
        <v>748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17660</f>
        <v>17660</v>
      </c>
      <c r="L347" s="32" t="s">
        <v>1204</v>
      </c>
      <c r="M347" s="31">
        <f>18240</f>
        <v>18240</v>
      </c>
      <c r="N347" s="32" t="s">
        <v>1208</v>
      </c>
      <c r="O347" s="31">
        <f>16710</f>
        <v>16710</v>
      </c>
      <c r="P347" s="32" t="s">
        <v>1207</v>
      </c>
      <c r="Q347" s="31">
        <f>18015</f>
        <v>18015</v>
      </c>
      <c r="R347" s="32" t="s">
        <v>1078</v>
      </c>
      <c r="S347" s="33">
        <f>17203.61</f>
        <v>17203.61</v>
      </c>
      <c r="T347" s="30">
        <f>88753</f>
        <v>88753</v>
      </c>
      <c r="U347" s="30">
        <f>64</f>
        <v>64</v>
      </c>
      <c r="V347" s="30">
        <f>1550610470</f>
        <v>1550610470</v>
      </c>
      <c r="W347" s="30">
        <f>1087930</f>
        <v>1087930</v>
      </c>
      <c r="X347" s="34">
        <f>18</f>
        <v>18</v>
      </c>
    </row>
    <row r="348" spans="1:24">
      <c r="A348" s="25" t="s">
        <v>1203</v>
      </c>
      <c r="B348" s="25" t="s">
        <v>749</v>
      </c>
      <c r="C348" s="25" t="s">
        <v>750</v>
      </c>
      <c r="D348" s="25" t="s">
        <v>751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10</v>
      </c>
      <c r="K348" s="31">
        <f>4035</f>
        <v>4035</v>
      </c>
      <c r="L348" s="32" t="s">
        <v>1079</v>
      </c>
      <c r="M348" s="31">
        <f>4035</f>
        <v>4035</v>
      </c>
      <c r="N348" s="32" t="s">
        <v>1079</v>
      </c>
      <c r="O348" s="31">
        <f>3938</f>
        <v>3938</v>
      </c>
      <c r="P348" s="32" t="s">
        <v>1210</v>
      </c>
      <c r="Q348" s="31">
        <f>4010</f>
        <v>4010</v>
      </c>
      <c r="R348" s="32" t="s">
        <v>1078</v>
      </c>
      <c r="S348" s="33">
        <f>3990.56</f>
        <v>3990.56</v>
      </c>
      <c r="T348" s="30">
        <f>283330</f>
        <v>283330</v>
      </c>
      <c r="U348" s="30">
        <f>269310</f>
        <v>269310</v>
      </c>
      <c r="V348" s="30">
        <f>1120228170</f>
        <v>1120228170</v>
      </c>
      <c r="W348" s="30">
        <f>1064719870</f>
        <v>1064719870</v>
      </c>
      <c r="X348" s="34">
        <f>9</f>
        <v>9</v>
      </c>
    </row>
    <row r="349" spans="1:24">
      <c r="A349" s="25" t="s">
        <v>1203</v>
      </c>
      <c r="B349" s="25" t="s">
        <v>752</v>
      </c>
      <c r="C349" s="25" t="s">
        <v>753</v>
      </c>
      <c r="D349" s="25" t="s">
        <v>754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10</v>
      </c>
      <c r="K349" s="31">
        <f>5013</f>
        <v>5013</v>
      </c>
      <c r="L349" s="32" t="s">
        <v>1204</v>
      </c>
      <c r="M349" s="31">
        <f>5049</f>
        <v>5049</v>
      </c>
      <c r="N349" s="32" t="s">
        <v>1208</v>
      </c>
      <c r="O349" s="31">
        <f>4827</f>
        <v>4827</v>
      </c>
      <c r="P349" s="32" t="s">
        <v>1078</v>
      </c>
      <c r="Q349" s="31">
        <f>4849</f>
        <v>4849</v>
      </c>
      <c r="R349" s="32" t="s">
        <v>1078</v>
      </c>
      <c r="S349" s="33">
        <f>4950</f>
        <v>4950</v>
      </c>
      <c r="T349" s="30">
        <f>47670</f>
        <v>47670</v>
      </c>
      <c r="U349" s="30">
        <f>12000</f>
        <v>12000</v>
      </c>
      <c r="V349" s="30">
        <f>235160280</f>
        <v>235160280</v>
      </c>
      <c r="W349" s="30">
        <f>59320400</f>
        <v>59320400</v>
      </c>
      <c r="X349" s="34">
        <f>18</f>
        <v>18</v>
      </c>
    </row>
    <row r="350" spans="1:24">
      <c r="A350" s="25" t="s">
        <v>1203</v>
      </c>
      <c r="B350" s="25" t="s">
        <v>764</v>
      </c>
      <c r="C350" s="25" t="s">
        <v>765</v>
      </c>
      <c r="D350" s="25" t="s">
        <v>766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2659.5</f>
        <v>2659.5</v>
      </c>
      <c r="L350" s="32" t="s">
        <v>1204</v>
      </c>
      <c r="M350" s="31">
        <f>2802.5</f>
        <v>2802.5</v>
      </c>
      <c r="N350" s="32" t="s">
        <v>1207</v>
      </c>
      <c r="O350" s="31">
        <f>2586.5</f>
        <v>2586.5</v>
      </c>
      <c r="P350" s="32" t="s">
        <v>1078</v>
      </c>
      <c r="Q350" s="31">
        <f>2602</f>
        <v>2602</v>
      </c>
      <c r="R350" s="32" t="s">
        <v>1078</v>
      </c>
      <c r="S350" s="33">
        <f>2735.31</f>
        <v>2735.31</v>
      </c>
      <c r="T350" s="30">
        <f>1798670</f>
        <v>1798670</v>
      </c>
      <c r="U350" s="30">
        <f>833380</f>
        <v>833380</v>
      </c>
      <c r="V350" s="30">
        <f>4892040735</f>
        <v>4892040735</v>
      </c>
      <c r="W350" s="30">
        <f>2287047945</f>
        <v>2287047945</v>
      </c>
      <c r="X350" s="34">
        <f>18</f>
        <v>18</v>
      </c>
    </row>
    <row r="351" spans="1:24">
      <c r="A351" s="25" t="s">
        <v>1203</v>
      </c>
      <c r="B351" s="25" t="s">
        <v>767</v>
      </c>
      <c r="C351" s="25" t="s">
        <v>768</v>
      </c>
      <c r="D351" s="25" t="s">
        <v>769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2246</f>
        <v>2246</v>
      </c>
      <c r="L351" s="32" t="s">
        <v>1204</v>
      </c>
      <c r="M351" s="31">
        <f>2294.5</f>
        <v>2294.5</v>
      </c>
      <c r="N351" s="32" t="s">
        <v>1085</v>
      </c>
      <c r="O351" s="31">
        <f>2184</f>
        <v>2184</v>
      </c>
      <c r="P351" s="32" t="s">
        <v>1078</v>
      </c>
      <c r="Q351" s="31">
        <f>2190</f>
        <v>2190</v>
      </c>
      <c r="R351" s="32" t="s">
        <v>1078</v>
      </c>
      <c r="S351" s="33">
        <f>2244.78</f>
        <v>2244.7800000000002</v>
      </c>
      <c r="T351" s="30">
        <f>185520</f>
        <v>185520</v>
      </c>
      <c r="U351" s="30">
        <f>10030</f>
        <v>10030</v>
      </c>
      <c r="V351" s="30">
        <f>417540610</f>
        <v>417540610</v>
      </c>
      <c r="W351" s="30">
        <f>22763430</f>
        <v>22763430</v>
      </c>
      <c r="X351" s="34">
        <f>18</f>
        <v>18</v>
      </c>
    </row>
    <row r="352" spans="1:24">
      <c r="A352" s="25" t="s">
        <v>1203</v>
      </c>
      <c r="B352" s="25" t="s">
        <v>770</v>
      </c>
      <c r="C352" s="25" t="s">
        <v>771</v>
      </c>
      <c r="D352" s="25" t="s">
        <v>772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</v>
      </c>
      <c r="K352" s="31">
        <f>1887</f>
        <v>1887</v>
      </c>
      <c r="L352" s="32" t="s">
        <v>1204</v>
      </c>
      <c r="M352" s="31">
        <f>1937</f>
        <v>1937</v>
      </c>
      <c r="N352" s="32" t="s">
        <v>1209</v>
      </c>
      <c r="O352" s="31">
        <f>1818</f>
        <v>1818</v>
      </c>
      <c r="P352" s="32" t="s">
        <v>1078</v>
      </c>
      <c r="Q352" s="31">
        <f>1818</f>
        <v>1818</v>
      </c>
      <c r="R352" s="32" t="s">
        <v>1078</v>
      </c>
      <c r="S352" s="33">
        <f>1872.56</f>
        <v>1872.56</v>
      </c>
      <c r="T352" s="30">
        <f>16276</f>
        <v>16276</v>
      </c>
      <c r="U352" s="30" t="str">
        <f t="shared" ref="U352:U357" si="6">"－"</f>
        <v>－</v>
      </c>
      <c r="V352" s="30">
        <f>30553871</f>
        <v>30553871</v>
      </c>
      <c r="W352" s="30" t="str">
        <f t="shared" ref="W352:W357" si="7">"－"</f>
        <v>－</v>
      </c>
      <c r="X352" s="34">
        <f>16</f>
        <v>16</v>
      </c>
    </row>
    <row r="353" spans="1:24">
      <c r="A353" s="25" t="s">
        <v>1203</v>
      </c>
      <c r="B353" s="25" t="s">
        <v>773</v>
      </c>
      <c r="C353" s="25" t="s">
        <v>774</v>
      </c>
      <c r="D353" s="25" t="s">
        <v>775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</v>
      </c>
      <c r="K353" s="31">
        <f>2080</f>
        <v>2080</v>
      </c>
      <c r="L353" s="32" t="s">
        <v>1204</v>
      </c>
      <c r="M353" s="31">
        <f>2159</f>
        <v>2159</v>
      </c>
      <c r="N353" s="32" t="s">
        <v>738</v>
      </c>
      <c r="O353" s="31">
        <f>2056</f>
        <v>2056</v>
      </c>
      <c r="P353" s="32" t="s">
        <v>1078</v>
      </c>
      <c r="Q353" s="31">
        <f>2056</f>
        <v>2056</v>
      </c>
      <c r="R353" s="32" t="s">
        <v>1078</v>
      </c>
      <c r="S353" s="33">
        <f>2111.57</f>
        <v>2111.5700000000002</v>
      </c>
      <c r="T353" s="30">
        <f>31279</f>
        <v>31279</v>
      </c>
      <c r="U353" s="30" t="str">
        <f t="shared" si="6"/>
        <v>－</v>
      </c>
      <c r="V353" s="30">
        <f>65835222</f>
        <v>65835222</v>
      </c>
      <c r="W353" s="30" t="str">
        <f t="shared" si="7"/>
        <v>－</v>
      </c>
      <c r="X353" s="34">
        <f>14</f>
        <v>14</v>
      </c>
    </row>
    <row r="354" spans="1:24">
      <c r="A354" s="25" t="s">
        <v>1203</v>
      </c>
      <c r="B354" s="25" t="s">
        <v>776</v>
      </c>
      <c r="C354" s="25" t="s">
        <v>777</v>
      </c>
      <c r="D354" s="25" t="s">
        <v>778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4400</f>
        <v>4400</v>
      </c>
      <c r="L354" s="32" t="s">
        <v>1204</v>
      </c>
      <c r="M354" s="31">
        <f>4475</f>
        <v>4475</v>
      </c>
      <c r="N354" s="32" t="s">
        <v>1207</v>
      </c>
      <c r="O354" s="31">
        <f>4310</f>
        <v>4310</v>
      </c>
      <c r="P354" s="32" t="s">
        <v>738</v>
      </c>
      <c r="Q354" s="31">
        <f>4355</f>
        <v>4355</v>
      </c>
      <c r="R354" s="32" t="s">
        <v>1078</v>
      </c>
      <c r="S354" s="33">
        <f>4384.44</f>
        <v>4384.4399999999996</v>
      </c>
      <c r="T354" s="30">
        <f>55308</f>
        <v>55308</v>
      </c>
      <c r="U354" s="30" t="str">
        <f t="shared" si="6"/>
        <v>－</v>
      </c>
      <c r="V354" s="30">
        <f>242622295</f>
        <v>242622295</v>
      </c>
      <c r="W354" s="30" t="str">
        <f t="shared" si="7"/>
        <v>－</v>
      </c>
      <c r="X354" s="34">
        <f>18</f>
        <v>18</v>
      </c>
    </row>
    <row r="355" spans="1:24">
      <c r="A355" s="25" t="s">
        <v>1203</v>
      </c>
      <c r="B355" s="25" t="s">
        <v>779</v>
      </c>
      <c r="C355" s="25" t="s">
        <v>780</v>
      </c>
      <c r="D355" s="25" t="s">
        <v>781</v>
      </c>
      <c r="E355" s="26" t="s">
        <v>43</v>
      </c>
      <c r="F355" s="27" t="s">
        <v>43</v>
      </c>
      <c r="G355" s="28" t="s">
        <v>43</v>
      </c>
      <c r="H355" s="29"/>
      <c r="I355" s="29" t="s">
        <v>44</v>
      </c>
      <c r="J355" s="30">
        <v>10</v>
      </c>
      <c r="K355" s="31">
        <f>2035</f>
        <v>2035</v>
      </c>
      <c r="L355" s="32" t="s">
        <v>1204</v>
      </c>
      <c r="M355" s="31">
        <f>2035</f>
        <v>2035</v>
      </c>
      <c r="N355" s="32" t="s">
        <v>1204</v>
      </c>
      <c r="O355" s="31">
        <f>1912.5</f>
        <v>1912.5</v>
      </c>
      <c r="P355" s="32" t="s">
        <v>1078</v>
      </c>
      <c r="Q355" s="31">
        <f>1924.5</f>
        <v>1924.5</v>
      </c>
      <c r="R355" s="32" t="s">
        <v>1078</v>
      </c>
      <c r="S355" s="33">
        <f>1989.5</f>
        <v>1989.5</v>
      </c>
      <c r="T355" s="30">
        <f>34040</f>
        <v>34040</v>
      </c>
      <c r="U355" s="30" t="str">
        <f t="shared" si="6"/>
        <v>－</v>
      </c>
      <c r="V355" s="30">
        <f>67742520</f>
        <v>67742520</v>
      </c>
      <c r="W355" s="30" t="str">
        <f t="shared" si="7"/>
        <v>－</v>
      </c>
      <c r="X355" s="34">
        <f>18</f>
        <v>18</v>
      </c>
    </row>
    <row r="356" spans="1:24">
      <c r="A356" s="25" t="s">
        <v>1203</v>
      </c>
      <c r="B356" s="25" t="s">
        <v>788</v>
      </c>
      <c r="C356" s="25" t="s">
        <v>789</v>
      </c>
      <c r="D356" s="25" t="s">
        <v>790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10</v>
      </c>
      <c r="K356" s="31">
        <f>277.6</f>
        <v>277.60000000000002</v>
      </c>
      <c r="L356" s="32" t="s">
        <v>1204</v>
      </c>
      <c r="M356" s="31">
        <f>280.4</f>
        <v>280.39999999999998</v>
      </c>
      <c r="N356" s="32" t="s">
        <v>1080</v>
      </c>
      <c r="O356" s="31">
        <f>269.8</f>
        <v>269.8</v>
      </c>
      <c r="P356" s="32" t="s">
        <v>1078</v>
      </c>
      <c r="Q356" s="31">
        <f>269.8</f>
        <v>269.8</v>
      </c>
      <c r="R356" s="32" t="s">
        <v>1078</v>
      </c>
      <c r="S356" s="33">
        <f>275.68</f>
        <v>275.68</v>
      </c>
      <c r="T356" s="30">
        <f>106000</f>
        <v>106000</v>
      </c>
      <c r="U356" s="30" t="str">
        <f t="shared" si="6"/>
        <v>－</v>
      </c>
      <c r="V356" s="30">
        <f>29284996</f>
        <v>29284996</v>
      </c>
      <c r="W356" s="30" t="str">
        <f t="shared" si="7"/>
        <v>－</v>
      </c>
      <c r="X356" s="34">
        <f>13</f>
        <v>13</v>
      </c>
    </row>
    <row r="357" spans="1:24">
      <c r="A357" s="25" t="s">
        <v>1203</v>
      </c>
      <c r="B357" s="25" t="s">
        <v>782</v>
      </c>
      <c r="C357" s="25" t="s">
        <v>783</v>
      </c>
      <c r="D357" s="25" t="s">
        <v>784</v>
      </c>
      <c r="E357" s="26" t="s">
        <v>43</v>
      </c>
      <c r="F357" s="27" t="s">
        <v>43</v>
      </c>
      <c r="G357" s="28" t="s">
        <v>43</v>
      </c>
      <c r="H357" s="29"/>
      <c r="I357" s="29" t="s">
        <v>44</v>
      </c>
      <c r="J357" s="30">
        <v>10</v>
      </c>
      <c r="K357" s="31">
        <f>168.1</f>
        <v>168.1</v>
      </c>
      <c r="L357" s="32" t="s">
        <v>1204</v>
      </c>
      <c r="M357" s="31">
        <f>169.9</f>
        <v>169.9</v>
      </c>
      <c r="N357" s="32" t="s">
        <v>1078</v>
      </c>
      <c r="O357" s="31">
        <f>162.8</f>
        <v>162.80000000000001</v>
      </c>
      <c r="P357" s="32" t="s">
        <v>738</v>
      </c>
      <c r="Q357" s="31">
        <f>168.7</f>
        <v>168.7</v>
      </c>
      <c r="R357" s="32" t="s">
        <v>1078</v>
      </c>
      <c r="S357" s="33">
        <f>165.61</f>
        <v>165.61</v>
      </c>
      <c r="T357" s="30">
        <f>179400</f>
        <v>179400</v>
      </c>
      <c r="U357" s="30" t="str">
        <f t="shared" si="6"/>
        <v>－</v>
      </c>
      <c r="V357" s="30">
        <f>30054625</f>
        <v>30054625</v>
      </c>
      <c r="W357" s="30" t="str">
        <f t="shared" si="7"/>
        <v>－</v>
      </c>
      <c r="X357" s="34">
        <f>18</f>
        <v>18</v>
      </c>
    </row>
    <row r="358" spans="1:24">
      <c r="A358" s="25" t="s">
        <v>1203</v>
      </c>
      <c r="B358" s="25" t="s">
        <v>785</v>
      </c>
      <c r="C358" s="25" t="s">
        <v>786</v>
      </c>
      <c r="D358" s="25" t="s">
        <v>787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639.8</f>
        <v>639.79999999999995</v>
      </c>
      <c r="L358" s="32" t="s">
        <v>1209</v>
      </c>
      <c r="M358" s="31">
        <f>682</f>
        <v>682</v>
      </c>
      <c r="N358" s="32" t="s">
        <v>1212</v>
      </c>
      <c r="O358" s="31">
        <f>639.8</f>
        <v>639.79999999999995</v>
      </c>
      <c r="P358" s="32" t="s">
        <v>1209</v>
      </c>
      <c r="Q358" s="31">
        <f>682</f>
        <v>682</v>
      </c>
      <c r="R358" s="32" t="s">
        <v>1075</v>
      </c>
      <c r="S358" s="33">
        <f>666.43</f>
        <v>666.43</v>
      </c>
      <c r="T358" s="30">
        <f>11590</f>
        <v>11590</v>
      </c>
      <c r="U358" s="30">
        <f>11320</f>
        <v>11320</v>
      </c>
      <c r="V358" s="30">
        <f>7563067</f>
        <v>7563067</v>
      </c>
      <c r="W358" s="30">
        <f>7384602</f>
        <v>7384602</v>
      </c>
      <c r="X358" s="34">
        <f>6</f>
        <v>6</v>
      </c>
    </row>
    <row r="359" spans="1:24">
      <c r="A359" s="25" t="s">
        <v>1203</v>
      </c>
      <c r="B359" s="25" t="s">
        <v>791</v>
      </c>
      <c r="C359" s="25" t="s">
        <v>792</v>
      </c>
      <c r="D359" s="25" t="s">
        <v>793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</v>
      </c>
      <c r="K359" s="31">
        <f>1616</f>
        <v>1616</v>
      </c>
      <c r="L359" s="32" t="s">
        <v>1204</v>
      </c>
      <c r="M359" s="31">
        <f>1679</f>
        <v>1679</v>
      </c>
      <c r="N359" s="32" t="s">
        <v>1205</v>
      </c>
      <c r="O359" s="31">
        <f>1538</f>
        <v>1538</v>
      </c>
      <c r="P359" s="32" t="s">
        <v>1078</v>
      </c>
      <c r="Q359" s="31">
        <f>1568</f>
        <v>1568</v>
      </c>
      <c r="R359" s="32" t="s">
        <v>1078</v>
      </c>
      <c r="S359" s="33">
        <f>1628.22</f>
        <v>1628.22</v>
      </c>
      <c r="T359" s="30">
        <f>359346</f>
        <v>359346</v>
      </c>
      <c r="U359" s="30">
        <f>70014</f>
        <v>70014</v>
      </c>
      <c r="V359" s="30">
        <f>588083542</f>
        <v>588083542</v>
      </c>
      <c r="W359" s="30">
        <f>116446509</f>
        <v>116446509</v>
      </c>
      <c r="X359" s="34">
        <f>18</f>
        <v>18</v>
      </c>
    </row>
    <row r="360" spans="1:24">
      <c r="A360" s="25" t="s">
        <v>1203</v>
      </c>
      <c r="B360" s="25" t="s">
        <v>794</v>
      </c>
      <c r="C360" s="25" t="s">
        <v>795</v>
      </c>
      <c r="D360" s="25" t="s">
        <v>796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</v>
      </c>
      <c r="K360" s="31">
        <f>892</f>
        <v>892</v>
      </c>
      <c r="L360" s="32" t="s">
        <v>1204</v>
      </c>
      <c r="M360" s="31">
        <f>895</f>
        <v>895</v>
      </c>
      <c r="N360" s="32" t="s">
        <v>1078</v>
      </c>
      <c r="O360" s="31">
        <f>870</f>
        <v>870</v>
      </c>
      <c r="P360" s="32" t="s">
        <v>738</v>
      </c>
      <c r="Q360" s="31">
        <f>890</f>
        <v>890</v>
      </c>
      <c r="R360" s="32" t="s">
        <v>1078</v>
      </c>
      <c r="S360" s="33">
        <f>880.83</f>
        <v>880.83</v>
      </c>
      <c r="T360" s="30">
        <f>2623</f>
        <v>2623</v>
      </c>
      <c r="U360" s="30">
        <f>2</f>
        <v>2</v>
      </c>
      <c r="V360" s="30">
        <f>2308084</f>
        <v>2308084</v>
      </c>
      <c r="W360" s="30">
        <f>1740</f>
        <v>1740</v>
      </c>
      <c r="X360" s="34">
        <f>18</f>
        <v>18</v>
      </c>
    </row>
    <row r="361" spans="1:24">
      <c r="A361" s="25" t="s">
        <v>1203</v>
      </c>
      <c r="B361" s="25" t="s">
        <v>797</v>
      </c>
      <c r="C361" s="25" t="s">
        <v>798</v>
      </c>
      <c r="D361" s="25" t="s">
        <v>799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10</v>
      </c>
      <c r="K361" s="31">
        <f>678.4</f>
        <v>678.4</v>
      </c>
      <c r="L361" s="32" t="s">
        <v>1204</v>
      </c>
      <c r="M361" s="31">
        <f>688.5</f>
        <v>688.5</v>
      </c>
      <c r="N361" s="32" t="s">
        <v>1075</v>
      </c>
      <c r="O361" s="31">
        <f>674.6</f>
        <v>674.6</v>
      </c>
      <c r="P361" s="32" t="s">
        <v>1211</v>
      </c>
      <c r="Q361" s="31">
        <f>688.5</f>
        <v>688.5</v>
      </c>
      <c r="R361" s="32" t="s">
        <v>1078</v>
      </c>
      <c r="S361" s="33">
        <f>680.24</f>
        <v>680.24</v>
      </c>
      <c r="T361" s="30">
        <f>647060</f>
        <v>647060</v>
      </c>
      <c r="U361" s="30">
        <f>283000</f>
        <v>283000</v>
      </c>
      <c r="V361" s="30">
        <f>439014663</f>
        <v>439014663</v>
      </c>
      <c r="W361" s="30">
        <f>191750357</f>
        <v>191750357</v>
      </c>
      <c r="X361" s="34">
        <f>18</f>
        <v>18</v>
      </c>
    </row>
    <row r="362" spans="1:24">
      <c r="A362" s="25" t="s">
        <v>1203</v>
      </c>
      <c r="B362" s="25" t="s">
        <v>800</v>
      </c>
      <c r="C362" s="25" t="s">
        <v>801</v>
      </c>
      <c r="D362" s="25" t="s">
        <v>802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10</v>
      </c>
      <c r="K362" s="31">
        <f>677.2</f>
        <v>677.2</v>
      </c>
      <c r="L362" s="32" t="s">
        <v>1204</v>
      </c>
      <c r="M362" s="31">
        <f>683.4</f>
        <v>683.4</v>
      </c>
      <c r="N362" s="32" t="s">
        <v>1079</v>
      </c>
      <c r="O362" s="31">
        <f>667.2</f>
        <v>667.2</v>
      </c>
      <c r="P362" s="32" t="s">
        <v>1210</v>
      </c>
      <c r="Q362" s="31">
        <f>678</f>
        <v>678</v>
      </c>
      <c r="R362" s="32" t="s">
        <v>1078</v>
      </c>
      <c r="S362" s="33">
        <f>675.46</f>
        <v>675.46</v>
      </c>
      <c r="T362" s="30">
        <f>4710100</f>
        <v>4710100</v>
      </c>
      <c r="U362" s="30">
        <f>4694610</f>
        <v>4694610</v>
      </c>
      <c r="V362" s="30">
        <f>3162854272</f>
        <v>3162854272</v>
      </c>
      <c r="W362" s="30">
        <f>3152433335</f>
        <v>3152433335</v>
      </c>
      <c r="X362" s="34">
        <f>17</f>
        <v>17</v>
      </c>
    </row>
    <row r="363" spans="1:24">
      <c r="A363" s="25" t="s">
        <v>1203</v>
      </c>
      <c r="B363" s="25" t="s">
        <v>803</v>
      </c>
      <c r="C363" s="25" t="s">
        <v>804</v>
      </c>
      <c r="D363" s="25" t="s">
        <v>805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</v>
      </c>
      <c r="K363" s="31">
        <f>1215</f>
        <v>1215</v>
      </c>
      <c r="L363" s="32" t="s">
        <v>1204</v>
      </c>
      <c r="M363" s="31">
        <f>1246</f>
        <v>1246</v>
      </c>
      <c r="N363" s="32" t="s">
        <v>1207</v>
      </c>
      <c r="O363" s="31">
        <f>1175</f>
        <v>1175</v>
      </c>
      <c r="P363" s="32" t="s">
        <v>1078</v>
      </c>
      <c r="Q363" s="31">
        <f>1184</f>
        <v>1184</v>
      </c>
      <c r="R363" s="32" t="s">
        <v>1078</v>
      </c>
      <c r="S363" s="33">
        <f>1219.78</f>
        <v>1219.78</v>
      </c>
      <c r="T363" s="30">
        <f>8455</f>
        <v>8455</v>
      </c>
      <c r="U363" s="30" t="str">
        <f>"－"</f>
        <v>－</v>
      </c>
      <c r="V363" s="30">
        <f>10282927</f>
        <v>10282927</v>
      </c>
      <c r="W363" s="30" t="str">
        <f>"－"</f>
        <v>－</v>
      </c>
      <c r="X363" s="34">
        <f>18</f>
        <v>18</v>
      </c>
    </row>
    <row r="364" spans="1:24">
      <c r="A364" s="25" t="s">
        <v>1203</v>
      </c>
      <c r="B364" s="25" t="s">
        <v>812</v>
      </c>
      <c r="C364" s="25" t="s">
        <v>813</v>
      </c>
      <c r="D364" s="25" t="s">
        <v>814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2659.5</f>
        <v>2659.5</v>
      </c>
      <c r="L364" s="32" t="s">
        <v>1204</v>
      </c>
      <c r="M364" s="31">
        <f>2920</f>
        <v>2920</v>
      </c>
      <c r="N364" s="32" t="s">
        <v>1205</v>
      </c>
      <c r="O364" s="31">
        <f>2639</f>
        <v>2639</v>
      </c>
      <c r="P364" s="32" t="s">
        <v>1204</v>
      </c>
      <c r="Q364" s="31">
        <f>2783.5</f>
        <v>2783.5</v>
      </c>
      <c r="R364" s="32" t="s">
        <v>1078</v>
      </c>
      <c r="S364" s="33">
        <f>2785.39</f>
        <v>2785.39</v>
      </c>
      <c r="T364" s="30">
        <f>304560</f>
        <v>304560</v>
      </c>
      <c r="U364" s="30">
        <f>100</f>
        <v>100</v>
      </c>
      <c r="V364" s="30">
        <f>853903895</f>
        <v>853903895</v>
      </c>
      <c r="W364" s="30">
        <f>274750</f>
        <v>274750</v>
      </c>
      <c r="X364" s="34">
        <f>18</f>
        <v>18</v>
      </c>
    </row>
    <row r="365" spans="1:24">
      <c r="A365" s="25" t="s">
        <v>1203</v>
      </c>
      <c r="B365" s="25" t="s">
        <v>815</v>
      </c>
      <c r="C365" s="25" t="s">
        <v>816</v>
      </c>
      <c r="D365" s="25" t="s">
        <v>817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10</v>
      </c>
      <c r="K365" s="31">
        <f>2909.5</f>
        <v>2909.5</v>
      </c>
      <c r="L365" s="32" t="s">
        <v>1204</v>
      </c>
      <c r="M365" s="31">
        <f>3085</f>
        <v>3085</v>
      </c>
      <c r="N365" s="32" t="s">
        <v>1205</v>
      </c>
      <c r="O365" s="31">
        <f>2844.5</f>
        <v>2844.5</v>
      </c>
      <c r="P365" s="32" t="s">
        <v>1204</v>
      </c>
      <c r="Q365" s="31">
        <f>2998</f>
        <v>2998</v>
      </c>
      <c r="R365" s="32" t="s">
        <v>1078</v>
      </c>
      <c r="S365" s="33">
        <f>2988.5</f>
        <v>2988.5</v>
      </c>
      <c r="T365" s="30">
        <f>314450</f>
        <v>314450</v>
      </c>
      <c r="U365" s="30">
        <f>20</f>
        <v>20</v>
      </c>
      <c r="V365" s="30">
        <f>955367605</f>
        <v>955367605</v>
      </c>
      <c r="W365" s="30">
        <f>60440</f>
        <v>60440</v>
      </c>
      <c r="X365" s="34">
        <f>18</f>
        <v>18</v>
      </c>
    </row>
    <row r="366" spans="1:24">
      <c r="A366" s="25" t="s">
        <v>1203</v>
      </c>
      <c r="B366" s="25" t="s">
        <v>806</v>
      </c>
      <c r="C366" s="25" t="s">
        <v>807</v>
      </c>
      <c r="D366" s="25" t="s">
        <v>808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10</v>
      </c>
      <c r="K366" s="31">
        <f>5211</f>
        <v>5211</v>
      </c>
      <c r="L366" s="32" t="s">
        <v>1204</v>
      </c>
      <c r="M366" s="31">
        <f>5265</f>
        <v>5265</v>
      </c>
      <c r="N366" s="32" t="s">
        <v>1208</v>
      </c>
      <c r="O366" s="31">
        <f>5096</f>
        <v>5096</v>
      </c>
      <c r="P366" s="32" t="s">
        <v>1075</v>
      </c>
      <c r="Q366" s="31">
        <f>5117</f>
        <v>5117</v>
      </c>
      <c r="R366" s="32" t="s">
        <v>1078</v>
      </c>
      <c r="S366" s="33">
        <f>5173.67</f>
        <v>5173.67</v>
      </c>
      <c r="T366" s="30">
        <f>43700</f>
        <v>43700</v>
      </c>
      <c r="U366" s="30" t="str">
        <f>"－"</f>
        <v>－</v>
      </c>
      <c r="V366" s="30">
        <f>227899010</f>
        <v>227899010</v>
      </c>
      <c r="W366" s="30" t="str">
        <f>"－"</f>
        <v>－</v>
      </c>
      <c r="X366" s="34">
        <f>12</f>
        <v>12</v>
      </c>
    </row>
    <row r="367" spans="1:24">
      <c r="A367" s="25" t="s">
        <v>1203</v>
      </c>
      <c r="B367" s="25" t="s">
        <v>809</v>
      </c>
      <c r="C367" s="25" t="s">
        <v>810</v>
      </c>
      <c r="D367" s="25" t="s">
        <v>811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10</v>
      </c>
      <c r="K367" s="31">
        <f>4150</f>
        <v>4150</v>
      </c>
      <c r="L367" s="32" t="s">
        <v>1075</v>
      </c>
      <c r="M367" s="31">
        <f>4150</f>
        <v>4150</v>
      </c>
      <c r="N367" s="32" t="s">
        <v>1075</v>
      </c>
      <c r="O367" s="31">
        <f>4150</f>
        <v>4150</v>
      </c>
      <c r="P367" s="32" t="s">
        <v>1075</v>
      </c>
      <c r="Q367" s="31">
        <f>4150</f>
        <v>4150</v>
      </c>
      <c r="R367" s="32" t="s">
        <v>1075</v>
      </c>
      <c r="S367" s="33">
        <f>4150</f>
        <v>4150</v>
      </c>
      <c r="T367" s="30">
        <f>30</f>
        <v>30</v>
      </c>
      <c r="U367" s="30" t="str">
        <f>"－"</f>
        <v>－</v>
      </c>
      <c r="V367" s="30">
        <f>124500</f>
        <v>124500</v>
      </c>
      <c r="W367" s="30" t="str">
        <f>"－"</f>
        <v>－</v>
      </c>
      <c r="X367" s="34">
        <f>1</f>
        <v>1</v>
      </c>
    </row>
    <row r="368" spans="1:24">
      <c r="A368" s="25" t="s">
        <v>1203</v>
      </c>
      <c r="B368" s="25" t="s">
        <v>818</v>
      </c>
      <c r="C368" s="25" t="s">
        <v>819</v>
      </c>
      <c r="D368" s="25" t="s">
        <v>820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1873.5</f>
        <v>1873.5</v>
      </c>
      <c r="L368" s="32" t="s">
        <v>1204</v>
      </c>
      <c r="M368" s="31">
        <f>1899.5</f>
        <v>1899.5</v>
      </c>
      <c r="N368" s="32" t="s">
        <v>1079</v>
      </c>
      <c r="O368" s="31">
        <f>1872</f>
        <v>1872</v>
      </c>
      <c r="P368" s="32" t="s">
        <v>1208</v>
      </c>
      <c r="Q368" s="31">
        <f>1892.5</f>
        <v>1892.5</v>
      </c>
      <c r="R368" s="32" t="s">
        <v>1078</v>
      </c>
      <c r="S368" s="33">
        <f>1884.86</f>
        <v>1884.86</v>
      </c>
      <c r="T368" s="30">
        <f>2730</f>
        <v>2730</v>
      </c>
      <c r="U368" s="30" t="str">
        <f>"－"</f>
        <v>－</v>
      </c>
      <c r="V368" s="30">
        <f>5148780</f>
        <v>5148780</v>
      </c>
      <c r="W368" s="30" t="str">
        <f>"－"</f>
        <v>－</v>
      </c>
      <c r="X368" s="34">
        <f>14</f>
        <v>14</v>
      </c>
    </row>
    <row r="369" spans="1:24">
      <c r="A369" s="25" t="s">
        <v>1203</v>
      </c>
      <c r="B369" s="25" t="s">
        <v>821</v>
      </c>
      <c r="C369" s="25" t="s">
        <v>822</v>
      </c>
      <c r="D369" s="25" t="s">
        <v>823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</v>
      </c>
      <c r="K369" s="31">
        <f>1342</f>
        <v>1342</v>
      </c>
      <c r="L369" s="32" t="s">
        <v>1204</v>
      </c>
      <c r="M369" s="31">
        <f>1342</f>
        <v>1342</v>
      </c>
      <c r="N369" s="32" t="s">
        <v>1204</v>
      </c>
      <c r="O369" s="31">
        <f>1245</f>
        <v>1245</v>
      </c>
      <c r="P369" s="32" t="s">
        <v>1075</v>
      </c>
      <c r="Q369" s="31">
        <f>1250</f>
        <v>1250</v>
      </c>
      <c r="R369" s="32" t="s">
        <v>1078</v>
      </c>
      <c r="S369" s="33">
        <f>1282.39</f>
        <v>1282.3900000000001</v>
      </c>
      <c r="T369" s="30">
        <f>36594</f>
        <v>36594</v>
      </c>
      <c r="U369" s="30" t="str">
        <f>"－"</f>
        <v>－</v>
      </c>
      <c r="V369" s="30">
        <f>47149749</f>
        <v>47149749</v>
      </c>
      <c r="W369" s="30" t="str">
        <f>"－"</f>
        <v>－</v>
      </c>
      <c r="X369" s="34">
        <f>18</f>
        <v>18</v>
      </c>
    </row>
    <row r="370" spans="1:24">
      <c r="A370" s="25" t="s">
        <v>1203</v>
      </c>
      <c r="B370" s="25" t="s">
        <v>824</v>
      </c>
      <c r="C370" s="25" t="s">
        <v>825</v>
      </c>
      <c r="D370" s="25" t="s">
        <v>826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</v>
      </c>
      <c r="K370" s="31">
        <f>1257</f>
        <v>1257</v>
      </c>
      <c r="L370" s="32" t="s">
        <v>1204</v>
      </c>
      <c r="M370" s="31">
        <f>1264</f>
        <v>1264</v>
      </c>
      <c r="N370" s="32" t="s">
        <v>1209</v>
      </c>
      <c r="O370" s="31">
        <f>1158</f>
        <v>1158</v>
      </c>
      <c r="P370" s="32" t="s">
        <v>1078</v>
      </c>
      <c r="Q370" s="31">
        <f>1168</f>
        <v>1168</v>
      </c>
      <c r="R370" s="32" t="s">
        <v>1078</v>
      </c>
      <c r="S370" s="33">
        <f>1232.5</f>
        <v>1232.5</v>
      </c>
      <c r="T370" s="30">
        <f>6296327</f>
        <v>6296327</v>
      </c>
      <c r="U370" s="30">
        <f>268</f>
        <v>268</v>
      </c>
      <c r="V370" s="30">
        <f>7651875693</f>
        <v>7651875693</v>
      </c>
      <c r="W370" s="30">
        <f>303506</f>
        <v>303506</v>
      </c>
      <c r="X370" s="34">
        <f>18</f>
        <v>18</v>
      </c>
    </row>
    <row r="371" spans="1:24">
      <c r="A371" s="25" t="s">
        <v>1203</v>
      </c>
      <c r="B371" s="25" t="s">
        <v>827</v>
      </c>
      <c r="C371" s="25" t="s">
        <v>828</v>
      </c>
      <c r="D371" s="25" t="s">
        <v>829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1031</f>
        <v>1031</v>
      </c>
      <c r="L371" s="32" t="s">
        <v>1204</v>
      </c>
      <c r="M371" s="31">
        <f>1035</f>
        <v>1035</v>
      </c>
      <c r="N371" s="32" t="s">
        <v>1208</v>
      </c>
      <c r="O371" s="31">
        <f>991</f>
        <v>991</v>
      </c>
      <c r="P371" s="32" t="s">
        <v>1076</v>
      </c>
      <c r="Q371" s="31">
        <f>997</f>
        <v>997</v>
      </c>
      <c r="R371" s="32" t="s">
        <v>1078</v>
      </c>
      <c r="S371" s="33">
        <f>1009.89</f>
        <v>1009.89</v>
      </c>
      <c r="T371" s="30">
        <f>924340</f>
        <v>924340</v>
      </c>
      <c r="U371" s="30">
        <f>90</f>
        <v>90</v>
      </c>
      <c r="V371" s="30">
        <f>930672694</f>
        <v>930672694</v>
      </c>
      <c r="W371" s="30">
        <f>83700</f>
        <v>83700</v>
      </c>
      <c r="X371" s="34">
        <f>18</f>
        <v>18</v>
      </c>
    </row>
    <row r="372" spans="1:24">
      <c r="A372" s="25" t="s">
        <v>1203</v>
      </c>
      <c r="B372" s="25" t="s">
        <v>834</v>
      </c>
      <c r="C372" s="25" t="s">
        <v>835</v>
      </c>
      <c r="D372" s="25" t="s">
        <v>836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1122</f>
        <v>1122</v>
      </c>
      <c r="L372" s="32" t="s">
        <v>1204</v>
      </c>
      <c r="M372" s="31">
        <f>1159</f>
        <v>1159</v>
      </c>
      <c r="N372" s="32" t="s">
        <v>1207</v>
      </c>
      <c r="O372" s="31">
        <f>1054</f>
        <v>1054</v>
      </c>
      <c r="P372" s="32" t="s">
        <v>1078</v>
      </c>
      <c r="Q372" s="31">
        <f>1058</f>
        <v>1058</v>
      </c>
      <c r="R372" s="32" t="s">
        <v>1078</v>
      </c>
      <c r="S372" s="33">
        <f>1110.89</f>
        <v>1110.8900000000001</v>
      </c>
      <c r="T372" s="30">
        <f>10447</f>
        <v>10447</v>
      </c>
      <c r="U372" s="30" t="str">
        <f>"－"</f>
        <v>－</v>
      </c>
      <c r="V372" s="30">
        <f>11659463</f>
        <v>11659463</v>
      </c>
      <c r="W372" s="30" t="str">
        <f>"－"</f>
        <v>－</v>
      </c>
      <c r="X372" s="34">
        <f>18</f>
        <v>18</v>
      </c>
    </row>
    <row r="373" spans="1:24">
      <c r="A373" s="25" t="s">
        <v>1203</v>
      </c>
      <c r="B373" s="25" t="s">
        <v>837</v>
      </c>
      <c r="C373" s="25" t="s">
        <v>838</v>
      </c>
      <c r="D373" s="25" t="s">
        <v>839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1139</f>
        <v>1139</v>
      </c>
      <c r="L373" s="32" t="s">
        <v>1204</v>
      </c>
      <c r="M373" s="31">
        <f>1149</f>
        <v>1149</v>
      </c>
      <c r="N373" s="32" t="s">
        <v>1085</v>
      </c>
      <c r="O373" s="31">
        <f>1064</f>
        <v>1064</v>
      </c>
      <c r="P373" s="32" t="s">
        <v>1078</v>
      </c>
      <c r="Q373" s="31">
        <f>1074</f>
        <v>1074</v>
      </c>
      <c r="R373" s="32" t="s">
        <v>1078</v>
      </c>
      <c r="S373" s="33">
        <f>1116.28</f>
        <v>1116.28</v>
      </c>
      <c r="T373" s="30">
        <f>1558888</f>
        <v>1558888</v>
      </c>
      <c r="U373" s="30">
        <f>77</f>
        <v>77</v>
      </c>
      <c r="V373" s="30">
        <f>1721552964</f>
        <v>1721552964</v>
      </c>
      <c r="W373" s="30">
        <f>81886</f>
        <v>81886</v>
      </c>
      <c r="X373" s="34">
        <f>18</f>
        <v>18</v>
      </c>
    </row>
    <row r="374" spans="1:24">
      <c r="A374" s="25" t="s">
        <v>1203</v>
      </c>
      <c r="B374" s="25" t="s">
        <v>840</v>
      </c>
      <c r="C374" s="25" t="s">
        <v>841</v>
      </c>
      <c r="D374" s="25" t="s">
        <v>922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46040</f>
        <v>46040</v>
      </c>
      <c r="L374" s="32" t="s">
        <v>1204</v>
      </c>
      <c r="M374" s="31">
        <f>51150</f>
        <v>51150</v>
      </c>
      <c r="N374" s="32" t="s">
        <v>1207</v>
      </c>
      <c r="O374" s="31">
        <f>43270</f>
        <v>43270</v>
      </c>
      <c r="P374" s="32" t="s">
        <v>1078</v>
      </c>
      <c r="Q374" s="31">
        <f>43760</f>
        <v>43760</v>
      </c>
      <c r="R374" s="32" t="s">
        <v>1078</v>
      </c>
      <c r="S374" s="33">
        <f>48583.33</f>
        <v>48583.33</v>
      </c>
      <c r="T374" s="30">
        <f>467070</f>
        <v>467070</v>
      </c>
      <c r="U374" s="30">
        <f>603</f>
        <v>603</v>
      </c>
      <c r="V374" s="30">
        <f>22326716980</f>
        <v>22326716980</v>
      </c>
      <c r="W374" s="30">
        <f>29365390</f>
        <v>29365390</v>
      </c>
      <c r="X374" s="34">
        <f>18</f>
        <v>18</v>
      </c>
    </row>
    <row r="375" spans="1:24">
      <c r="A375" s="25" t="s">
        <v>1203</v>
      </c>
      <c r="B375" s="25" t="s">
        <v>842</v>
      </c>
      <c r="C375" s="25" t="s">
        <v>843</v>
      </c>
      <c r="D375" s="25" t="s">
        <v>923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17640</f>
        <v>17640</v>
      </c>
      <c r="L375" s="32" t="s">
        <v>1204</v>
      </c>
      <c r="M375" s="31">
        <f>18535</f>
        <v>18535</v>
      </c>
      <c r="N375" s="32" t="s">
        <v>1078</v>
      </c>
      <c r="O375" s="31">
        <f>15810</f>
        <v>15810</v>
      </c>
      <c r="P375" s="32" t="s">
        <v>1207</v>
      </c>
      <c r="Q375" s="31">
        <f>18370</f>
        <v>18370</v>
      </c>
      <c r="R375" s="32" t="s">
        <v>1078</v>
      </c>
      <c r="S375" s="33">
        <f>16714.17</f>
        <v>16714.169999999998</v>
      </c>
      <c r="T375" s="30">
        <f>559309</f>
        <v>559309</v>
      </c>
      <c r="U375" s="30">
        <f>18</f>
        <v>18</v>
      </c>
      <c r="V375" s="30">
        <f>9704528815</f>
        <v>9704528815</v>
      </c>
      <c r="W375" s="30">
        <f>292705</f>
        <v>292705</v>
      </c>
      <c r="X375" s="34">
        <f>18</f>
        <v>18</v>
      </c>
    </row>
    <row r="376" spans="1:24">
      <c r="A376" s="25" t="s">
        <v>1203</v>
      </c>
      <c r="B376" s="25" t="s">
        <v>1173</v>
      </c>
      <c r="C376" s="25" t="s">
        <v>1174</v>
      </c>
      <c r="D376" s="25" t="s">
        <v>1175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2049</f>
        <v>2049</v>
      </c>
      <c r="L376" s="32" t="s">
        <v>1204</v>
      </c>
      <c r="M376" s="31">
        <f>2088</f>
        <v>2088</v>
      </c>
      <c r="N376" s="32" t="s">
        <v>1207</v>
      </c>
      <c r="O376" s="31">
        <f>1986</f>
        <v>1986</v>
      </c>
      <c r="P376" s="32" t="s">
        <v>1078</v>
      </c>
      <c r="Q376" s="31">
        <f>1986</f>
        <v>1986</v>
      </c>
      <c r="R376" s="32" t="s">
        <v>1078</v>
      </c>
      <c r="S376" s="33">
        <f>2036.54</f>
        <v>2036.54</v>
      </c>
      <c r="T376" s="30">
        <f>280</f>
        <v>280</v>
      </c>
      <c r="U376" s="30" t="str">
        <f>"－"</f>
        <v>－</v>
      </c>
      <c r="V376" s="30">
        <f>570446</f>
        <v>570446</v>
      </c>
      <c r="W376" s="30" t="str">
        <f>"－"</f>
        <v>－</v>
      </c>
      <c r="X376" s="34">
        <f>13</f>
        <v>13</v>
      </c>
    </row>
    <row r="377" spans="1:24">
      <c r="A377" s="25" t="s">
        <v>1203</v>
      </c>
      <c r="B377" s="25" t="s">
        <v>1176</v>
      </c>
      <c r="C377" s="25" t="s">
        <v>1177</v>
      </c>
      <c r="D377" s="25" t="s">
        <v>1178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10500</f>
        <v>10500</v>
      </c>
      <c r="L377" s="32" t="s">
        <v>1204</v>
      </c>
      <c r="M377" s="31">
        <f>10670</f>
        <v>10670</v>
      </c>
      <c r="N377" s="32" t="s">
        <v>1208</v>
      </c>
      <c r="O377" s="31">
        <f>9940</f>
        <v>9940</v>
      </c>
      <c r="P377" s="32" t="s">
        <v>1078</v>
      </c>
      <c r="Q377" s="31">
        <f>9941</f>
        <v>9941</v>
      </c>
      <c r="R377" s="32" t="s">
        <v>1078</v>
      </c>
      <c r="S377" s="33">
        <f>10373.67</f>
        <v>10373.67</v>
      </c>
      <c r="T377" s="30">
        <f>2267</f>
        <v>2267</v>
      </c>
      <c r="U377" s="30">
        <f>3</f>
        <v>3</v>
      </c>
      <c r="V377" s="30">
        <f>23485772</f>
        <v>23485772</v>
      </c>
      <c r="W377" s="30">
        <f>31485</f>
        <v>31485</v>
      </c>
      <c r="X377" s="34">
        <f>18</f>
        <v>18</v>
      </c>
    </row>
    <row r="378" spans="1:24">
      <c r="A378" s="25" t="s">
        <v>1203</v>
      </c>
      <c r="B378" s="25" t="s">
        <v>1180</v>
      </c>
      <c r="C378" s="25" t="s">
        <v>1181</v>
      </c>
      <c r="D378" s="25" t="s">
        <v>1182</v>
      </c>
      <c r="E378" s="26" t="s">
        <v>43</v>
      </c>
      <c r="F378" s="27" t="s">
        <v>43</v>
      </c>
      <c r="G378" s="28" t="s">
        <v>43</v>
      </c>
      <c r="H378" s="29"/>
      <c r="I378" s="29" t="s">
        <v>44</v>
      </c>
      <c r="J378" s="30">
        <v>10</v>
      </c>
      <c r="K378" s="31">
        <f>201.9</f>
        <v>201.9</v>
      </c>
      <c r="L378" s="32" t="s">
        <v>1204</v>
      </c>
      <c r="M378" s="31">
        <f>203.3</f>
        <v>203.3</v>
      </c>
      <c r="N378" s="32" t="s">
        <v>1080</v>
      </c>
      <c r="O378" s="31">
        <f>185.9</f>
        <v>185.9</v>
      </c>
      <c r="P378" s="32" t="s">
        <v>1078</v>
      </c>
      <c r="Q378" s="31">
        <f>187.6</f>
        <v>187.6</v>
      </c>
      <c r="R378" s="32" t="s">
        <v>1078</v>
      </c>
      <c r="S378" s="33">
        <f>198.02</f>
        <v>198.02</v>
      </c>
      <c r="T378" s="30">
        <f>7491470</f>
        <v>7491470</v>
      </c>
      <c r="U378" s="30" t="str">
        <f>"－"</f>
        <v>－</v>
      </c>
      <c r="V378" s="30">
        <f>1480738629</f>
        <v>1480738629</v>
      </c>
      <c r="W378" s="30" t="str">
        <f>"－"</f>
        <v>－</v>
      </c>
      <c r="X378" s="34">
        <f>18</f>
        <v>18</v>
      </c>
    </row>
    <row r="379" spans="1:24">
      <c r="A379" s="25" t="s">
        <v>1203</v>
      </c>
      <c r="B379" s="25" t="s">
        <v>1184</v>
      </c>
      <c r="C379" s="25" t="s">
        <v>1185</v>
      </c>
      <c r="D379" s="25" t="s">
        <v>1186</v>
      </c>
      <c r="E379" s="26" t="s">
        <v>43</v>
      </c>
      <c r="F379" s="27" t="s">
        <v>43</v>
      </c>
      <c r="G379" s="28" t="s">
        <v>43</v>
      </c>
      <c r="H379" s="29"/>
      <c r="I379" s="29" t="s">
        <v>44</v>
      </c>
      <c r="J379" s="30">
        <v>10</v>
      </c>
      <c r="K379" s="31">
        <f>210</f>
        <v>210</v>
      </c>
      <c r="L379" s="32" t="s">
        <v>1204</v>
      </c>
      <c r="M379" s="31">
        <f>223.5</f>
        <v>223.5</v>
      </c>
      <c r="N379" s="32" t="s">
        <v>1208</v>
      </c>
      <c r="O379" s="31">
        <f>203.7</f>
        <v>203.7</v>
      </c>
      <c r="P379" s="32" t="s">
        <v>1078</v>
      </c>
      <c r="Q379" s="31">
        <f>205.6</f>
        <v>205.6</v>
      </c>
      <c r="R379" s="32" t="s">
        <v>1078</v>
      </c>
      <c r="S379" s="33">
        <f>209.59</f>
        <v>209.59</v>
      </c>
      <c r="T379" s="30">
        <f>16415260</f>
        <v>16415260</v>
      </c>
      <c r="U379" s="30">
        <f>480</f>
        <v>480</v>
      </c>
      <c r="V379" s="30">
        <f>3442597039</f>
        <v>3442597039</v>
      </c>
      <c r="W379" s="30">
        <f>101353</f>
        <v>101353</v>
      </c>
      <c r="X379" s="34">
        <f>18</f>
        <v>18</v>
      </c>
    </row>
    <row r="380" spans="1:24">
      <c r="A380" s="25" t="s">
        <v>1203</v>
      </c>
      <c r="B380" s="25" t="s">
        <v>1187</v>
      </c>
      <c r="C380" s="25" t="s">
        <v>1188</v>
      </c>
      <c r="D380" s="25" t="s">
        <v>1189</v>
      </c>
      <c r="E380" s="26" t="s">
        <v>43</v>
      </c>
      <c r="F380" s="27" t="s">
        <v>43</v>
      </c>
      <c r="G380" s="28" t="s">
        <v>43</v>
      </c>
      <c r="H380" s="29"/>
      <c r="I380" s="29" t="s">
        <v>44</v>
      </c>
      <c r="J380" s="30">
        <v>1</v>
      </c>
      <c r="K380" s="31">
        <f>1019</f>
        <v>1019</v>
      </c>
      <c r="L380" s="32" t="s">
        <v>1204</v>
      </c>
      <c r="M380" s="31">
        <f>1068</f>
        <v>1068</v>
      </c>
      <c r="N380" s="32" t="s">
        <v>1207</v>
      </c>
      <c r="O380" s="31">
        <f>991</f>
        <v>991</v>
      </c>
      <c r="P380" s="32" t="s">
        <v>1206</v>
      </c>
      <c r="Q380" s="31">
        <f>1001</f>
        <v>1001</v>
      </c>
      <c r="R380" s="32" t="s">
        <v>1078</v>
      </c>
      <c r="S380" s="33">
        <f>1020.39</f>
        <v>1020.39</v>
      </c>
      <c r="T380" s="30">
        <f>1323801</f>
        <v>1323801</v>
      </c>
      <c r="U380" s="30">
        <f>448312</f>
        <v>448312</v>
      </c>
      <c r="V380" s="30">
        <f>1348123945</f>
        <v>1348123945</v>
      </c>
      <c r="W380" s="30">
        <f>456956103</f>
        <v>456956103</v>
      </c>
      <c r="X380" s="34">
        <f>18</f>
        <v>18</v>
      </c>
    </row>
    <row r="381" spans="1:24">
      <c r="A381" s="25" t="s">
        <v>1203</v>
      </c>
      <c r="B381" s="25" t="s">
        <v>1191</v>
      </c>
      <c r="C381" s="25" t="s">
        <v>1192</v>
      </c>
      <c r="D381" s="25" t="s">
        <v>1193</v>
      </c>
      <c r="E381" s="26" t="s">
        <v>43</v>
      </c>
      <c r="F381" s="27" t="s">
        <v>43</v>
      </c>
      <c r="G381" s="28" t="s">
        <v>43</v>
      </c>
      <c r="H381" s="29"/>
      <c r="I381" s="29" t="s">
        <v>44</v>
      </c>
      <c r="J381" s="30">
        <v>1</v>
      </c>
      <c r="K381" s="31">
        <f>1908</f>
        <v>1908</v>
      </c>
      <c r="L381" s="32" t="s">
        <v>1204</v>
      </c>
      <c r="M381" s="31">
        <f>1994</f>
        <v>1994</v>
      </c>
      <c r="N381" s="32" t="s">
        <v>1205</v>
      </c>
      <c r="O381" s="31">
        <f>1750</f>
        <v>1750</v>
      </c>
      <c r="P381" s="32" t="s">
        <v>1078</v>
      </c>
      <c r="Q381" s="31">
        <f>1769</f>
        <v>1769</v>
      </c>
      <c r="R381" s="32" t="s">
        <v>1078</v>
      </c>
      <c r="S381" s="33">
        <f>1920.5</f>
        <v>1920.5</v>
      </c>
      <c r="T381" s="30">
        <f>16094829</f>
        <v>16094829</v>
      </c>
      <c r="U381" s="30">
        <f>65419</f>
        <v>65419</v>
      </c>
      <c r="V381" s="30">
        <f>30444311565</f>
        <v>30444311565</v>
      </c>
      <c r="W381" s="30">
        <f>120649926</f>
        <v>120649926</v>
      </c>
      <c r="X381" s="34">
        <f>18</f>
        <v>18</v>
      </c>
    </row>
    <row r="382" spans="1:24">
      <c r="A382" s="25" t="s">
        <v>1203</v>
      </c>
      <c r="B382" s="25" t="s">
        <v>1195</v>
      </c>
      <c r="C382" s="25" t="s">
        <v>1196</v>
      </c>
      <c r="D382" s="25" t="s">
        <v>1197</v>
      </c>
      <c r="E382" s="26" t="s">
        <v>43</v>
      </c>
      <c r="F382" s="27" t="s">
        <v>43</v>
      </c>
      <c r="G382" s="28" t="s">
        <v>43</v>
      </c>
      <c r="H382" s="29"/>
      <c r="I382" s="29" t="s">
        <v>44</v>
      </c>
      <c r="J382" s="30">
        <v>10</v>
      </c>
      <c r="K382" s="31">
        <f>1020</f>
        <v>1020</v>
      </c>
      <c r="L382" s="32" t="s">
        <v>1204</v>
      </c>
      <c r="M382" s="31">
        <f>1023.5</f>
        <v>1023.5</v>
      </c>
      <c r="N382" s="32" t="s">
        <v>1204</v>
      </c>
      <c r="O382" s="31">
        <f>825</f>
        <v>825</v>
      </c>
      <c r="P382" s="32" t="s">
        <v>1076</v>
      </c>
      <c r="Q382" s="31">
        <f>925.9</f>
        <v>925.9</v>
      </c>
      <c r="R382" s="32" t="s">
        <v>1078</v>
      </c>
      <c r="S382" s="33">
        <f>881.64</f>
        <v>881.64</v>
      </c>
      <c r="T382" s="30">
        <f>2564560</f>
        <v>2564560</v>
      </c>
      <c r="U382" s="30">
        <f>820</f>
        <v>820</v>
      </c>
      <c r="V382" s="30">
        <f>2285892939</f>
        <v>2285892939</v>
      </c>
      <c r="W382" s="30">
        <f>676668</f>
        <v>676668</v>
      </c>
      <c r="X382" s="34">
        <f>18</f>
        <v>18</v>
      </c>
    </row>
    <row r="383" spans="1:24">
      <c r="A383" s="25" t="s">
        <v>1203</v>
      </c>
      <c r="B383" s="25" t="s">
        <v>1202</v>
      </c>
      <c r="C383" s="25" t="s">
        <v>1201</v>
      </c>
      <c r="D383" s="25" t="s">
        <v>1200</v>
      </c>
      <c r="E383" s="26" t="s">
        <v>659</v>
      </c>
      <c r="F383" s="27" t="s">
        <v>660</v>
      </c>
      <c r="G383" s="28" t="s">
        <v>1199</v>
      </c>
      <c r="H383" s="29"/>
      <c r="I383" s="29" t="s">
        <v>44</v>
      </c>
      <c r="J383" s="30">
        <v>1</v>
      </c>
      <c r="K383" s="31">
        <f>990</f>
        <v>990</v>
      </c>
      <c r="L383" s="32" t="s">
        <v>1081</v>
      </c>
      <c r="M383" s="31">
        <f>1020</f>
        <v>1020</v>
      </c>
      <c r="N383" s="32" t="s">
        <v>1075</v>
      </c>
      <c r="O383" s="31">
        <f>981</f>
        <v>981</v>
      </c>
      <c r="P383" s="32" t="s">
        <v>1081</v>
      </c>
      <c r="Q383" s="31">
        <f>1002</f>
        <v>1002</v>
      </c>
      <c r="R383" s="32" t="s">
        <v>1078</v>
      </c>
      <c r="S383" s="33">
        <f>1002.5</f>
        <v>1002.5</v>
      </c>
      <c r="T383" s="30">
        <f>34860</f>
        <v>34860</v>
      </c>
      <c r="U383" s="30" t="str">
        <f>"－"</f>
        <v>－</v>
      </c>
      <c r="V383" s="30">
        <f>34859510</f>
        <v>34859510</v>
      </c>
      <c r="W383" s="30" t="str">
        <f>"－"</f>
        <v>－</v>
      </c>
      <c r="X383" s="34">
        <f>6</f>
        <v>6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23399-CC34-4608-A69D-D3ACD398F67F}">
  <sheetPr>
    <pageSetUpPr fitToPage="1"/>
  </sheetPr>
  <dimension ref="A1:X382"/>
  <sheetViews>
    <sheetView showGridLines="0" view="pageBreakPreview" zoomScaleNormal="70" zoomScaleSheetLayoutView="100" workbookViewId="0">
      <pane ySplit="6" topLeftCell="A7" activePane="bottomLeft" state="frozen"/>
      <selection pane="bottomLeft"/>
    </sheetView>
  </sheetViews>
  <sheetFormatPr defaultColWidth="9" defaultRowHeight="17.649999999999999"/>
  <cols>
    <col min="1" max="1" width="13.125" style="3" bestFit="1" customWidth="1"/>
    <col min="2" max="2" width="10.75" style="3" bestFit="1" customWidth="1"/>
    <col min="3" max="4" width="27.625" style="3" customWidth="1"/>
    <col min="5" max="5" width="13.75" style="3" bestFit="1" customWidth="1"/>
    <col min="6" max="6" width="20.75" style="3" bestFit="1" customWidth="1"/>
    <col min="7" max="7" width="11.25" style="3" customWidth="1"/>
    <col min="8" max="8" width="8.75" style="3" bestFit="1" customWidth="1"/>
    <col min="9" max="9" width="11.75" style="3" bestFit="1" customWidth="1"/>
    <col min="10" max="10" width="12.625" style="3" bestFit="1" customWidth="1"/>
    <col min="11" max="11" width="16.25" style="3" customWidth="1"/>
    <col min="12" max="12" width="5.625" style="3" bestFit="1" customWidth="1"/>
    <col min="13" max="13" width="16.25" style="3" customWidth="1"/>
    <col min="14" max="14" width="5.625" style="3" bestFit="1" customWidth="1"/>
    <col min="15" max="15" width="16.25" style="3" customWidth="1"/>
    <col min="16" max="16" width="5.625" style="3" bestFit="1" customWidth="1"/>
    <col min="17" max="17" width="16.25" style="3" customWidth="1"/>
    <col min="18" max="18" width="5.625" style="3" bestFit="1" customWidth="1"/>
    <col min="19" max="19" width="23.875" style="3" bestFit="1" customWidth="1"/>
    <col min="20" max="20" width="16.25" style="3" customWidth="1"/>
    <col min="21" max="21" width="24.125" style="3" customWidth="1"/>
    <col min="22" max="22" width="19.875" style="3" bestFit="1" customWidth="1"/>
    <col min="23" max="23" width="25" style="3" bestFit="1" customWidth="1"/>
    <col min="24" max="24" width="13.125" style="3" bestFit="1" customWidth="1"/>
    <col min="25" max="16384" width="9" style="3"/>
  </cols>
  <sheetData>
    <row r="1" spans="1:24" ht="13.5" customHeight="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41" t="s">
        <v>0</v>
      </c>
      <c r="O1" s="41"/>
      <c r="P1" s="41"/>
      <c r="Q1" s="41"/>
      <c r="R1" s="41"/>
      <c r="S1" s="41"/>
      <c r="T1" s="41"/>
      <c r="U1" s="41"/>
      <c r="V1" s="41"/>
      <c r="W1" s="41"/>
      <c r="X1" s="42"/>
    </row>
    <row r="2" spans="1:24" ht="99" customHeight="1">
      <c r="A2" s="47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3"/>
      <c r="O2" s="43"/>
      <c r="P2" s="43"/>
      <c r="Q2" s="43"/>
      <c r="R2" s="43"/>
      <c r="S2" s="43"/>
      <c r="T2" s="43"/>
      <c r="U2" s="43"/>
      <c r="V2" s="43"/>
      <c r="W2" s="43"/>
      <c r="X2" s="44"/>
    </row>
    <row r="3" spans="1:24" ht="39" customHeight="1">
      <c r="A3" s="49" t="s">
        <v>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45"/>
      <c r="O3" s="45"/>
      <c r="P3" s="45"/>
      <c r="Q3" s="45"/>
      <c r="R3" s="45"/>
      <c r="S3" s="45"/>
      <c r="T3" s="45"/>
      <c r="U3" s="45"/>
      <c r="V3" s="45"/>
      <c r="W3" s="45"/>
      <c r="X3" s="46"/>
    </row>
    <row r="4" spans="1:24" s="10" customFormat="1" ht="13.5" customHeight="1">
      <c r="A4" s="4" t="s">
        <v>3</v>
      </c>
      <c r="B4" s="4" t="s">
        <v>4</v>
      </c>
      <c r="C4" s="4"/>
      <c r="D4" s="4"/>
      <c r="E4" s="5"/>
      <c r="F4" s="6"/>
      <c r="G4" s="7" t="s">
        <v>5</v>
      </c>
      <c r="H4" s="4" t="s">
        <v>6</v>
      </c>
      <c r="I4" s="4" t="s">
        <v>7</v>
      </c>
      <c r="J4" s="4" t="s">
        <v>8</v>
      </c>
      <c r="K4" s="8" t="s">
        <v>9</v>
      </c>
      <c r="L4" s="7" t="s">
        <v>5</v>
      </c>
      <c r="M4" s="8" t="s">
        <v>10</v>
      </c>
      <c r="N4" s="7" t="s">
        <v>5</v>
      </c>
      <c r="O4" s="8" t="s">
        <v>11</v>
      </c>
      <c r="P4" s="7" t="s">
        <v>5</v>
      </c>
      <c r="Q4" s="8" t="s">
        <v>12</v>
      </c>
      <c r="R4" s="7" t="s">
        <v>5</v>
      </c>
      <c r="S4" s="4" t="s">
        <v>13</v>
      </c>
      <c r="T4" s="4" t="s">
        <v>14</v>
      </c>
      <c r="U4" s="9" t="s">
        <v>15</v>
      </c>
      <c r="V4" s="4" t="s">
        <v>16</v>
      </c>
      <c r="W4" s="4" t="s">
        <v>17</v>
      </c>
      <c r="X4" s="4" t="s">
        <v>18</v>
      </c>
    </row>
    <row r="5" spans="1:24">
      <c r="A5" s="11" t="s">
        <v>19</v>
      </c>
      <c r="B5" s="11" t="s">
        <v>20</v>
      </c>
      <c r="C5" s="11" t="s">
        <v>21</v>
      </c>
      <c r="D5" s="11" t="s">
        <v>22</v>
      </c>
      <c r="E5" s="12" t="s">
        <v>23</v>
      </c>
      <c r="F5" s="13" t="s">
        <v>24</v>
      </c>
      <c r="G5" s="14" t="s">
        <v>25</v>
      </c>
      <c r="H5" s="15" t="s">
        <v>26</v>
      </c>
      <c r="I5" s="15" t="s">
        <v>27</v>
      </c>
      <c r="J5" s="15" t="s">
        <v>28</v>
      </c>
      <c r="K5" s="16" t="s">
        <v>29</v>
      </c>
      <c r="L5" s="14" t="s">
        <v>25</v>
      </c>
      <c r="M5" s="16" t="s">
        <v>30</v>
      </c>
      <c r="N5" s="14" t="s">
        <v>25</v>
      </c>
      <c r="O5" s="16" t="s">
        <v>31</v>
      </c>
      <c r="P5" s="14" t="s">
        <v>25</v>
      </c>
      <c r="Q5" s="16" t="s">
        <v>32</v>
      </c>
      <c r="R5" s="14" t="s">
        <v>25</v>
      </c>
      <c r="S5" s="17" t="s">
        <v>33</v>
      </c>
      <c r="T5" s="17" t="s">
        <v>34</v>
      </c>
      <c r="U5" s="11" t="s">
        <v>35</v>
      </c>
      <c r="V5" s="17" t="s">
        <v>36</v>
      </c>
      <c r="W5" s="17" t="s">
        <v>37</v>
      </c>
      <c r="X5" s="17" t="s">
        <v>38</v>
      </c>
    </row>
    <row r="6" spans="1:24">
      <c r="A6" s="18"/>
      <c r="B6" s="18"/>
      <c r="C6" s="18"/>
      <c r="D6" s="18"/>
      <c r="E6" s="19"/>
      <c r="F6" s="20"/>
      <c r="G6" s="21"/>
      <c r="H6" s="22"/>
      <c r="I6" s="22"/>
      <c r="J6" s="22" t="s">
        <v>39</v>
      </c>
      <c r="K6" s="23" t="s">
        <v>40</v>
      </c>
      <c r="L6" s="24"/>
      <c r="M6" s="23" t="s">
        <v>40</v>
      </c>
      <c r="N6" s="24"/>
      <c r="O6" s="23" t="s">
        <v>40</v>
      </c>
      <c r="P6" s="24"/>
      <c r="Q6" s="23" t="s">
        <v>40</v>
      </c>
      <c r="R6" s="24"/>
      <c r="S6" s="23" t="s">
        <v>40</v>
      </c>
      <c r="T6" s="22" t="s">
        <v>41</v>
      </c>
      <c r="U6" s="22" t="s">
        <v>41</v>
      </c>
      <c r="V6" s="23" t="s">
        <v>40</v>
      </c>
      <c r="W6" s="23" t="s">
        <v>40</v>
      </c>
      <c r="X6" s="22"/>
    </row>
    <row r="7" spans="1:24" s="35" customFormat="1" ht="13.5" customHeight="1">
      <c r="A7" s="25" t="s">
        <v>1179</v>
      </c>
      <c r="B7" s="25" t="s">
        <v>42</v>
      </c>
      <c r="C7" s="25" t="s">
        <v>872</v>
      </c>
      <c r="D7" s="25" t="s">
        <v>873</v>
      </c>
      <c r="E7" s="26" t="s">
        <v>43</v>
      </c>
      <c r="F7" s="27" t="s">
        <v>43</v>
      </c>
      <c r="G7" s="28" t="s">
        <v>43</v>
      </c>
      <c r="H7" s="29"/>
      <c r="I7" s="29" t="s">
        <v>44</v>
      </c>
      <c r="J7" s="30">
        <v>10</v>
      </c>
      <c r="K7" s="31">
        <f>2956</f>
        <v>2956</v>
      </c>
      <c r="L7" s="32" t="s">
        <v>1085</v>
      </c>
      <c r="M7" s="31">
        <f>2965.5</f>
        <v>2965.5</v>
      </c>
      <c r="N7" s="32" t="s">
        <v>1079</v>
      </c>
      <c r="O7" s="31">
        <f>2811</f>
        <v>2811</v>
      </c>
      <c r="P7" s="32" t="s">
        <v>662</v>
      </c>
      <c r="Q7" s="31">
        <f>2960</f>
        <v>2960</v>
      </c>
      <c r="R7" s="32" t="s">
        <v>661</v>
      </c>
      <c r="S7" s="33">
        <f>2904.89</f>
        <v>2904.89</v>
      </c>
      <c r="T7" s="30">
        <f>15552480</f>
        <v>15552480</v>
      </c>
      <c r="U7" s="30">
        <f>13289290</f>
        <v>13289290</v>
      </c>
      <c r="V7" s="30">
        <f>45031067918</f>
        <v>45031067918</v>
      </c>
      <c r="W7" s="30">
        <f>38439188443</f>
        <v>38439188443</v>
      </c>
      <c r="X7" s="34">
        <f>19</f>
        <v>19</v>
      </c>
    </row>
    <row r="8" spans="1:24">
      <c r="A8" s="25" t="s">
        <v>1179</v>
      </c>
      <c r="B8" s="25" t="s">
        <v>45</v>
      </c>
      <c r="C8" s="25" t="s">
        <v>46</v>
      </c>
      <c r="D8" s="25" t="s">
        <v>47</v>
      </c>
      <c r="E8" s="26" t="s">
        <v>43</v>
      </c>
      <c r="F8" s="27" t="s">
        <v>43</v>
      </c>
      <c r="G8" s="28" t="s">
        <v>43</v>
      </c>
      <c r="H8" s="29"/>
      <c r="I8" s="29" t="s">
        <v>44</v>
      </c>
      <c r="J8" s="30">
        <v>10</v>
      </c>
      <c r="K8" s="31">
        <f>2927</f>
        <v>2927</v>
      </c>
      <c r="L8" s="32" t="s">
        <v>1085</v>
      </c>
      <c r="M8" s="31">
        <f>2937</f>
        <v>2937</v>
      </c>
      <c r="N8" s="32" t="s">
        <v>1079</v>
      </c>
      <c r="O8" s="31">
        <f>2781</f>
        <v>2781</v>
      </c>
      <c r="P8" s="32" t="s">
        <v>662</v>
      </c>
      <c r="Q8" s="31">
        <f>2925</f>
        <v>2925</v>
      </c>
      <c r="R8" s="32" t="s">
        <v>661</v>
      </c>
      <c r="S8" s="33">
        <f>2873.87</f>
        <v>2873.87</v>
      </c>
      <c r="T8" s="30">
        <f>53586540</f>
        <v>53586540</v>
      </c>
      <c r="U8" s="30">
        <f>20202250</f>
        <v>20202250</v>
      </c>
      <c r="V8" s="30">
        <f>154566751376</f>
        <v>154566751376</v>
      </c>
      <c r="W8" s="30">
        <f>58329061146</f>
        <v>58329061146</v>
      </c>
      <c r="X8" s="34">
        <f>19</f>
        <v>19</v>
      </c>
    </row>
    <row r="9" spans="1:24">
      <c r="A9" s="25" t="s">
        <v>1179</v>
      </c>
      <c r="B9" s="25" t="s">
        <v>48</v>
      </c>
      <c r="C9" s="25" t="s">
        <v>49</v>
      </c>
      <c r="D9" s="25" t="s">
        <v>50</v>
      </c>
      <c r="E9" s="26" t="s">
        <v>43</v>
      </c>
      <c r="F9" s="27" t="s">
        <v>43</v>
      </c>
      <c r="G9" s="28" t="s">
        <v>43</v>
      </c>
      <c r="H9" s="29"/>
      <c r="I9" s="29" t="s">
        <v>44</v>
      </c>
      <c r="J9" s="30">
        <v>1</v>
      </c>
      <c r="K9" s="31">
        <f>2891</f>
        <v>2891</v>
      </c>
      <c r="L9" s="32" t="s">
        <v>1085</v>
      </c>
      <c r="M9" s="31">
        <f>2902</f>
        <v>2902</v>
      </c>
      <c r="N9" s="32" t="s">
        <v>1079</v>
      </c>
      <c r="O9" s="31">
        <f>2748</f>
        <v>2748</v>
      </c>
      <c r="P9" s="32" t="s">
        <v>662</v>
      </c>
      <c r="Q9" s="31">
        <f>2897</f>
        <v>2897</v>
      </c>
      <c r="R9" s="32" t="s">
        <v>661</v>
      </c>
      <c r="S9" s="33">
        <f>2841</f>
        <v>2841</v>
      </c>
      <c r="T9" s="30">
        <f>10825820</f>
        <v>10825820</v>
      </c>
      <c r="U9" s="30">
        <f>5744143</f>
        <v>5744143</v>
      </c>
      <c r="V9" s="30">
        <f>30768936827</f>
        <v>30768936827</v>
      </c>
      <c r="W9" s="30">
        <f>16298773638</f>
        <v>16298773638</v>
      </c>
      <c r="X9" s="34">
        <f>19</f>
        <v>19</v>
      </c>
    </row>
    <row r="10" spans="1:24">
      <c r="A10" s="25" t="s">
        <v>1179</v>
      </c>
      <c r="B10" s="25" t="s">
        <v>51</v>
      </c>
      <c r="C10" s="25" t="s">
        <v>52</v>
      </c>
      <c r="D10" s="25" t="s">
        <v>53</v>
      </c>
      <c r="E10" s="26" t="s">
        <v>43</v>
      </c>
      <c r="F10" s="27" t="s">
        <v>43</v>
      </c>
      <c r="G10" s="28" t="s">
        <v>43</v>
      </c>
      <c r="H10" s="29"/>
      <c r="I10" s="29" t="s">
        <v>44</v>
      </c>
      <c r="J10" s="30">
        <v>1</v>
      </c>
      <c r="K10" s="31">
        <f>44020</f>
        <v>44020</v>
      </c>
      <c r="L10" s="32" t="s">
        <v>1085</v>
      </c>
      <c r="M10" s="31">
        <f>46790</f>
        <v>46790</v>
      </c>
      <c r="N10" s="32" t="s">
        <v>859</v>
      </c>
      <c r="O10" s="31">
        <f>43040</f>
        <v>43040</v>
      </c>
      <c r="P10" s="32" t="s">
        <v>850</v>
      </c>
      <c r="Q10" s="31">
        <f>44640</f>
        <v>44640</v>
      </c>
      <c r="R10" s="32" t="s">
        <v>661</v>
      </c>
      <c r="S10" s="33">
        <f>44323.16</f>
        <v>44323.16</v>
      </c>
      <c r="T10" s="30">
        <f>6288</f>
        <v>6288</v>
      </c>
      <c r="U10" s="30">
        <f>1</f>
        <v>1</v>
      </c>
      <c r="V10" s="30">
        <f>280896590</f>
        <v>280896590</v>
      </c>
      <c r="W10" s="30">
        <f>43790</f>
        <v>43790</v>
      </c>
      <c r="X10" s="34">
        <f>19</f>
        <v>19</v>
      </c>
    </row>
    <row r="11" spans="1:24">
      <c r="A11" s="25" t="s">
        <v>1179</v>
      </c>
      <c r="B11" s="25" t="s">
        <v>54</v>
      </c>
      <c r="C11" s="25" t="s">
        <v>55</v>
      </c>
      <c r="D11" s="25" t="s">
        <v>56</v>
      </c>
      <c r="E11" s="26" t="s">
        <v>43</v>
      </c>
      <c r="F11" s="27" t="s">
        <v>43</v>
      </c>
      <c r="G11" s="28" t="s">
        <v>43</v>
      </c>
      <c r="H11" s="29"/>
      <c r="I11" s="29" t="s">
        <v>44</v>
      </c>
      <c r="J11" s="30">
        <v>10</v>
      </c>
      <c r="K11" s="31">
        <f>1501</f>
        <v>1501</v>
      </c>
      <c r="L11" s="32" t="s">
        <v>1085</v>
      </c>
      <c r="M11" s="31">
        <f>1510</f>
        <v>1510</v>
      </c>
      <c r="N11" s="32" t="s">
        <v>1079</v>
      </c>
      <c r="O11" s="31">
        <f>1416.5</f>
        <v>1416.5</v>
      </c>
      <c r="P11" s="32" t="s">
        <v>662</v>
      </c>
      <c r="Q11" s="31">
        <f>1493.5</f>
        <v>1493.5</v>
      </c>
      <c r="R11" s="32" t="s">
        <v>661</v>
      </c>
      <c r="S11" s="33">
        <f>1470.87</f>
        <v>1470.87</v>
      </c>
      <c r="T11" s="30">
        <f>404920</f>
        <v>404920</v>
      </c>
      <c r="U11" s="30">
        <f>265910</f>
        <v>265910</v>
      </c>
      <c r="V11" s="30">
        <f>593785275</f>
        <v>593785275</v>
      </c>
      <c r="W11" s="30">
        <f>389430790</f>
        <v>389430790</v>
      </c>
      <c r="X11" s="34">
        <f>19</f>
        <v>19</v>
      </c>
    </row>
    <row r="12" spans="1:24">
      <c r="A12" s="25" t="s">
        <v>1179</v>
      </c>
      <c r="B12" s="25" t="s">
        <v>57</v>
      </c>
      <c r="C12" s="25" t="s">
        <v>58</v>
      </c>
      <c r="D12" s="25" t="s">
        <v>59</v>
      </c>
      <c r="E12" s="26" t="s">
        <v>43</v>
      </c>
      <c r="F12" s="27" t="s">
        <v>43</v>
      </c>
      <c r="G12" s="28" t="s">
        <v>43</v>
      </c>
      <c r="H12" s="29"/>
      <c r="I12" s="29" t="s">
        <v>44</v>
      </c>
      <c r="J12" s="30">
        <v>1000</v>
      </c>
      <c r="K12" s="31">
        <f>503</f>
        <v>503</v>
      </c>
      <c r="L12" s="32" t="s">
        <v>1085</v>
      </c>
      <c r="M12" s="31">
        <f>530</f>
        <v>530</v>
      </c>
      <c r="N12" s="32" t="s">
        <v>1080</v>
      </c>
      <c r="O12" s="31">
        <f>501.2</f>
        <v>501.2</v>
      </c>
      <c r="P12" s="32" t="s">
        <v>663</v>
      </c>
      <c r="Q12" s="31">
        <f>511.7</f>
        <v>511.7</v>
      </c>
      <c r="R12" s="32" t="s">
        <v>755</v>
      </c>
      <c r="S12" s="33">
        <f>508.64</f>
        <v>508.64</v>
      </c>
      <c r="T12" s="30">
        <f>41000</f>
        <v>41000</v>
      </c>
      <c r="U12" s="30">
        <f>1000</f>
        <v>1000</v>
      </c>
      <c r="V12" s="30">
        <f>20824700</f>
        <v>20824700</v>
      </c>
      <c r="W12" s="30">
        <f>504100</f>
        <v>504100</v>
      </c>
      <c r="X12" s="34">
        <f>14</f>
        <v>14</v>
      </c>
    </row>
    <row r="13" spans="1:24">
      <c r="A13" s="25" t="s">
        <v>1179</v>
      </c>
      <c r="B13" s="25" t="s">
        <v>60</v>
      </c>
      <c r="C13" s="25" t="s">
        <v>874</v>
      </c>
      <c r="D13" s="25" t="s">
        <v>875</v>
      </c>
      <c r="E13" s="26" t="s">
        <v>43</v>
      </c>
      <c r="F13" s="27" t="s">
        <v>43</v>
      </c>
      <c r="G13" s="28" t="s">
        <v>43</v>
      </c>
      <c r="H13" s="29"/>
      <c r="I13" s="29" t="s">
        <v>44</v>
      </c>
      <c r="J13" s="30">
        <v>1</v>
      </c>
      <c r="K13" s="31">
        <f>41260</f>
        <v>41260</v>
      </c>
      <c r="L13" s="32" t="s">
        <v>1085</v>
      </c>
      <c r="M13" s="31">
        <f>41680</f>
        <v>41680</v>
      </c>
      <c r="N13" s="32" t="s">
        <v>1079</v>
      </c>
      <c r="O13" s="31">
        <f>39390</f>
        <v>39390</v>
      </c>
      <c r="P13" s="32" t="s">
        <v>662</v>
      </c>
      <c r="Q13" s="31">
        <f>41000</f>
        <v>41000</v>
      </c>
      <c r="R13" s="32" t="s">
        <v>661</v>
      </c>
      <c r="S13" s="33">
        <f>40672.11</f>
        <v>40672.11</v>
      </c>
      <c r="T13" s="30">
        <f>1823740</f>
        <v>1823740</v>
      </c>
      <c r="U13" s="30">
        <f>1028777</f>
        <v>1028777</v>
      </c>
      <c r="V13" s="30">
        <f>74163320988</f>
        <v>74163320988</v>
      </c>
      <c r="W13" s="30">
        <f>41803178578</f>
        <v>41803178578</v>
      </c>
      <c r="X13" s="34">
        <f>19</f>
        <v>19</v>
      </c>
    </row>
    <row r="14" spans="1:24">
      <c r="A14" s="25" t="s">
        <v>1179</v>
      </c>
      <c r="B14" s="25" t="s">
        <v>61</v>
      </c>
      <c r="C14" s="25" t="s">
        <v>62</v>
      </c>
      <c r="D14" s="25" t="s">
        <v>63</v>
      </c>
      <c r="E14" s="26" t="s">
        <v>43</v>
      </c>
      <c r="F14" s="27" t="s">
        <v>43</v>
      </c>
      <c r="G14" s="28" t="s">
        <v>43</v>
      </c>
      <c r="H14" s="29"/>
      <c r="I14" s="29" t="s">
        <v>44</v>
      </c>
      <c r="J14" s="30">
        <v>1</v>
      </c>
      <c r="K14" s="31">
        <f>41430</f>
        <v>41430</v>
      </c>
      <c r="L14" s="32" t="s">
        <v>1085</v>
      </c>
      <c r="M14" s="31">
        <f>41830</f>
        <v>41830</v>
      </c>
      <c r="N14" s="32" t="s">
        <v>1079</v>
      </c>
      <c r="O14" s="31">
        <f>39520</f>
        <v>39520</v>
      </c>
      <c r="P14" s="32" t="s">
        <v>662</v>
      </c>
      <c r="Q14" s="31">
        <f>41120</f>
        <v>41120</v>
      </c>
      <c r="R14" s="32" t="s">
        <v>661</v>
      </c>
      <c r="S14" s="33">
        <f>40811.58</f>
        <v>40811.58</v>
      </c>
      <c r="T14" s="30">
        <f>6955693</f>
        <v>6955693</v>
      </c>
      <c r="U14" s="30">
        <f>392581</f>
        <v>392581</v>
      </c>
      <c r="V14" s="30">
        <f>283519792828</f>
        <v>283519792828</v>
      </c>
      <c r="W14" s="30">
        <f>15909988308</f>
        <v>15909988308</v>
      </c>
      <c r="X14" s="34">
        <f>19</f>
        <v>19</v>
      </c>
    </row>
    <row r="15" spans="1:24">
      <c r="A15" s="25" t="s">
        <v>1179</v>
      </c>
      <c r="B15" s="25" t="s">
        <v>64</v>
      </c>
      <c r="C15" s="25" t="s">
        <v>65</v>
      </c>
      <c r="D15" s="25" t="s">
        <v>66</v>
      </c>
      <c r="E15" s="26" t="s">
        <v>43</v>
      </c>
      <c r="F15" s="27" t="s">
        <v>43</v>
      </c>
      <c r="G15" s="28" t="s">
        <v>43</v>
      </c>
      <c r="H15" s="29"/>
      <c r="I15" s="29" t="s">
        <v>44</v>
      </c>
      <c r="J15" s="30">
        <v>10</v>
      </c>
      <c r="K15" s="31">
        <f>8519</f>
        <v>8519</v>
      </c>
      <c r="L15" s="32" t="s">
        <v>1085</v>
      </c>
      <c r="M15" s="31">
        <f>9200</f>
        <v>9200</v>
      </c>
      <c r="N15" s="32" t="s">
        <v>859</v>
      </c>
      <c r="O15" s="31">
        <f>8349</f>
        <v>8349</v>
      </c>
      <c r="P15" s="32" t="s">
        <v>662</v>
      </c>
      <c r="Q15" s="31">
        <f>8810</f>
        <v>8810</v>
      </c>
      <c r="R15" s="32" t="s">
        <v>661</v>
      </c>
      <c r="S15" s="33">
        <f>8637.37</f>
        <v>8637.3700000000008</v>
      </c>
      <c r="T15" s="30">
        <f>34010</f>
        <v>34010</v>
      </c>
      <c r="U15" s="30" t="str">
        <f>"－"</f>
        <v>－</v>
      </c>
      <c r="V15" s="30">
        <f>296879790</f>
        <v>296879790</v>
      </c>
      <c r="W15" s="30" t="str">
        <f>"－"</f>
        <v>－</v>
      </c>
      <c r="X15" s="34">
        <f>19</f>
        <v>19</v>
      </c>
    </row>
    <row r="16" spans="1:24">
      <c r="A16" s="25" t="s">
        <v>1179</v>
      </c>
      <c r="B16" s="25" t="s">
        <v>67</v>
      </c>
      <c r="C16" s="25" t="s">
        <v>68</v>
      </c>
      <c r="D16" s="25" t="s">
        <v>69</v>
      </c>
      <c r="E16" s="26" t="s">
        <v>43</v>
      </c>
      <c r="F16" s="27" t="s">
        <v>43</v>
      </c>
      <c r="G16" s="28" t="s">
        <v>43</v>
      </c>
      <c r="H16" s="29"/>
      <c r="I16" s="29" t="s">
        <v>44</v>
      </c>
      <c r="J16" s="30">
        <v>100</v>
      </c>
      <c r="K16" s="31">
        <f>187</f>
        <v>187</v>
      </c>
      <c r="L16" s="32" t="s">
        <v>1085</v>
      </c>
      <c r="M16" s="31">
        <f>200</f>
        <v>200</v>
      </c>
      <c r="N16" s="32" t="s">
        <v>661</v>
      </c>
      <c r="O16" s="31">
        <f>185</f>
        <v>185</v>
      </c>
      <c r="P16" s="32" t="s">
        <v>1085</v>
      </c>
      <c r="Q16" s="31">
        <f>199.7</f>
        <v>199.7</v>
      </c>
      <c r="R16" s="32" t="s">
        <v>661</v>
      </c>
      <c r="S16" s="33">
        <f>192.22</f>
        <v>192.22</v>
      </c>
      <c r="T16" s="30">
        <f>429100</f>
        <v>429100</v>
      </c>
      <c r="U16" s="30">
        <f>1300</f>
        <v>1300</v>
      </c>
      <c r="V16" s="30">
        <f>82111360</f>
        <v>82111360</v>
      </c>
      <c r="W16" s="30">
        <f>251150</f>
        <v>251150</v>
      </c>
      <c r="X16" s="34">
        <f>19</f>
        <v>19</v>
      </c>
    </row>
    <row r="17" spans="1:24">
      <c r="A17" s="25" t="s">
        <v>1179</v>
      </c>
      <c r="B17" s="25" t="s">
        <v>70</v>
      </c>
      <c r="C17" s="25" t="s">
        <v>71</v>
      </c>
      <c r="D17" s="25" t="s">
        <v>72</v>
      </c>
      <c r="E17" s="26" t="s">
        <v>43</v>
      </c>
      <c r="F17" s="27" t="s">
        <v>43</v>
      </c>
      <c r="G17" s="28" t="s">
        <v>43</v>
      </c>
      <c r="H17" s="29"/>
      <c r="I17" s="29" t="s">
        <v>44</v>
      </c>
      <c r="J17" s="30">
        <v>1</v>
      </c>
      <c r="K17" s="31">
        <f>38530</f>
        <v>38530</v>
      </c>
      <c r="L17" s="32" t="s">
        <v>1085</v>
      </c>
      <c r="M17" s="31">
        <f>39970</f>
        <v>39970</v>
      </c>
      <c r="N17" s="32" t="s">
        <v>661</v>
      </c>
      <c r="O17" s="31">
        <f>38310</f>
        <v>38310</v>
      </c>
      <c r="P17" s="32" t="s">
        <v>1085</v>
      </c>
      <c r="Q17" s="31">
        <f>39920</f>
        <v>39920</v>
      </c>
      <c r="R17" s="32" t="s">
        <v>661</v>
      </c>
      <c r="S17" s="33">
        <f>39171.58</f>
        <v>39171.58</v>
      </c>
      <c r="T17" s="30">
        <f>165281</f>
        <v>165281</v>
      </c>
      <c r="U17" s="30">
        <f>1</f>
        <v>1</v>
      </c>
      <c r="V17" s="30">
        <f>6469999100</f>
        <v>6469999100</v>
      </c>
      <c r="W17" s="30">
        <f>38530</f>
        <v>38530</v>
      </c>
      <c r="X17" s="34">
        <f>19</f>
        <v>19</v>
      </c>
    </row>
    <row r="18" spans="1:24">
      <c r="A18" s="25" t="s">
        <v>1179</v>
      </c>
      <c r="B18" s="25" t="s">
        <v>73</v>
      </c>
      <c r="C18" s="25" t="s">
        <v>74</v>
      </c>
      <c r="D18" s="25" t="s">
        <v>75</v>
      </c>
      <c r="E18" s="26" t="s">
        <v>43</v>
      </c>
      <c r="F18" s="27" t="s">
        <v>43</v>
      </c>
      <c r="G18" s="28" t="s">
        <v>43</v>
      </c>
      <c r="H18" s="29"/>
      <c r="I18" s="29" t="s">
        <v>44</v>
      </c>
      <c r="J18" s="30">
        <v>10</v>
      </c>
      <c r="K18" s="31">
        <f>10030</f>
        <v>10030</v>
      </c>
      <c r="L18" s="32" t="s">
        <v>1085</v>
      </c>
      <c r="M18" s="31">
        <f>10575</f>
        <v>10575</v>
      </c>
      <c r="N18" s="32" t="s">
        <v>661</v>
      </c>
      <c r="O18" s="31">
        <f>10015</f>
        <v>10015</v>
      </c>
      <c r="P18" s="32" t="s">
        <v>1085</v>
      </c>
      <c r="Q18" s="31">
        <f>10575</f>
        <v>10575</v>
      </c>
      <c r="R18" s="32" t="s">
        <v>661</v>
      </c>
      <c r="S18" s="33">
        <f>10321.32</f>
        <v>10321.32</v>
      </c>
      <c r="T18" s="30">
        <f>317210</f>
        <v>317210</v>
      </c>
      <c r="U18" s="30">
        <f>10570</f>
        <v>10570</v>
      </c>
      <c r="V18" s="30">
        <f>3267284350</f>
        <v>3267284350</v>
      </c>
      <c r="W18" s="30">
        <f>108531000</f>
        <v>108531000</v>
      </c>
      <c r="X18" s="34">
        <f>19</f>
        <v>19</v>
      </c>
    </row>
    <row r="19" spans="1:24">
      <c r="A19" s="25" t="s">
        <v>1179</v>
      </c>
      <c r="B19" s="25" t="s">
        <v>76</v>
      </c>
      <c r="C19" s="25" t="s">
        <v>77</v>
      </c>
      <c r="D19" s="25" t="s">
        <v>78</v>
      </c>
      <c r="E19" s="26" t="s">
        <v>43</v>
      </c>
      <c r="F19" s="27" t="s">
        <v>43</v>
      </c>
      <c r="G19" s="28" t="s">
        <v>43</v>
      </c>
      <c r="H19" s="29"/>
      <c r="I19" s="29" t="s">
        <v>44</v>
      </c>
      <c r="J19" s="30">
        <v>1</v>
      </c>
      <c r="K19" s="31">
        <f>41510</f>
        <v>41510</v>
      </c>
      <c r="L19" s="32" t="s">
        <v>1085</v>
      </c>
      <c r="M19" s="31">
        <f>41950</f>
        <v>41950</v>
      </c>
      <c r="N19" s="32" t="s">
        <v>1079</v>
      </c>
      <c r="O19" s="31">
        <f>39640</f>
        <v>39640</v>
      </c>
      <c r="P19" s="32" t="s">
        <v>662</v>
      </c>
      <c r="Q19" s="31">
        <f>41200</f>
        <v>41200</v>
      </c>
      <c r="R19" s="32" t="s">
        <v>661</v>
      </c>
      <c r="S19" s="33">
        <f>40912.63</f>
        <v>40912.629999999997</v>
      </c>
      <c r="T19" s="30">
        <f>956370</f>
        <v>956370</v>
      </c>
      <c r="U19" s="30">
        <f>156752</f>
        <v>156752</v>
      </c>
      <c r="V19" s="30">
        <f>39124803875</f>
        <v>39124803875</v>
      </c>
      <c r="W19" s="30">
        <f>6482058405</f>
        <v>6482058405</v>
      </c>
      <c r="X19" s="34">
        <f>19</f>
        <v>19</v>
      </c>
    </row>
    <row r="20" spans="1:24">
      <c r="A20" s="25" t="s">
        <v>1179</v>
      </c>
      <c r="B20" s="25" t="s">
        <v>79</v>
      </c>
      <c r="C20" s="25" t="s">
        <v>80</v>
      </c>
      <c r="D20" s="25" t="s">
        <v>81</v>
      </c>
      <c r="E20" s="26" t="s">
        <v>43</v>
      </c>
      <c r="F20" s="27" t="s">
        <v>43</v>
      </c>
      <c r="G20" s="28" t="s">
        <v>43</v>
      </c>
      <c r="H20" s="29"/>
      <c r="I20" s="29" t="s">
        <v>44</v>
      </c>
      <c r="J20" s="30">
        <v>1</v>
      </c>
      <c r="K20" s="31">
        <f>41430</f>
        <v>41430</v>
      </c>
      <c r="L20" s="32" t="s">
        <v>1085</v>
      </c>
      <c r="M20" s="31">
        <f>41880</f>
        <v>41880</v>
      </c>
      <c r="N20" s="32" t="s">
        <v>1079</v>
      </c>
      <c r="O20" s="31">
        <f>39560</f>
        <v>39560</v>
      </c>
      <c r="P20" s="32" t="s">
        <v>662</v>
      </c>
      <c r="Q20" s="31">
        <f>41210</f>
        <v>41210</v>
      </c>
      <c r="R20" s="32" t="s">
        <v>661</v>
      </c>
      <c r="S20" s="33">
        <f>40862.11</f>
        <v>40862.11</v>
      </c>
      <c r="T20" s="30">
        <f>1314708</f>
        <v>1314708</v>
      </c>
      <c r="U20" s="30">
        <f>573501</f>
        <v>573501</v>
      </c>
      <c r="V20" s="30">
        <f>53834716228</f>
        <v>53834716228</v>
      </c>
      <c r="W20" s="30">
        <f>23519299338</f>
        <v>23519299338</v>
      </c>
      <c r="X20" s="34">
        <f>19</f>
        <v>19</v>
      </c>
    </row>
    <row r="21" spans="1:24">
      <c r="A21" s="25" t="s">
        <v>1179</v>
      </c>
      <c r="B21" s="25" t="s">
        <v>1048</v>
      </c>
      <c r="C21" s="25" t="s">
        <v>1049</v>
      </c>
      <c r="D21" s="25" t="s">
        <v>1050</v>
      </c>
      <c r="E21" s="26" t="s">
        <v>43</v>
      </c>
      <c r="F21" s="27" t="s">
        <v>43</v>
      </c>
      <c r="G21" s="28" t="s">
        <v>43</v>
      </c>
      <c r="H21" s="29"/>
      <c r="I21" s="29" t="s">
        <v>44</v>
      </c>
      <c r="J21" s="30">
        <v>1</v>
      </c>
      <c r="K21" s="31">
        <f>1071</f>
        <v>1071</v>
      </c>
      <c r="L21" s="32" t="s">
        <v>1085</v>
      </c>
      <c r="M21" s="31">
        <f>1079</f>
        <v>1079</v>
      </c>
      <c r="N21" s="32" t="s">
        <v>738</v>
      </c>
      <c r="O21" s="31">
        <f>1042</f>
        <v>1042</v>
      </c>
      <c r="P21" s="32" t="s">
        <v>661</v>
      </c>
      <c r="Q21" s="31">
        <f>1050</f>
        <v>1050</v>
      </c>
      <c r="R21" s="32" t="s">
        <v>661</v>
      </c>
      <c r="S21" s="33">
        <f>1063.32</f>
        <v>1063.32</v>
      </c>
      <c r="T21" s="30">
        <f>467821</f>
        <v>467821</v>
      </c>
      <c r="U21" s="30">
        <f>1</f>
        <v>1</v>
      </c>
      <c r="V21" s="30">
        <f>499511491</f>
        <v>499511491</v>
      </c>
      <c r="W21" s="30">
        <f>1072</f>
        <v>1072</v>
      </c>
      <c r="X21" s="34">
        <f>19</f>
        <v>19</v>
      </c>
    </row>
    <row r="22" spans="1:24">
      <c r="A22" s="25" t="s">
        <v>1179</v>
      </c>
      <c r="B22" s="25" t="s">
        <v>82</v>
      </c>
      <c r="C22" s="25" t="s">
        <v>939</v>
      </c>
      <c r="D22" s="25" t="s">
        <v>83</v>
      </c>
      <c r="E22" s="26" t="s">
        <v>43</v>
      </c>
      <c r="F22" s="27" t="s">
        <v>43</v>
      </c>
      <c r="G22" s="28" t="s">
        <v>43</v>
      </c>
      <c r="H22" s="29"/>
      <c r="I22" s="29" t="s">
        <v>44</v>
      </c>
      <c r="J22" s="30">
        <v>10</v>
      </c>
      <c r="K22" s="31">
        <f>1808</f>
        <v>1808</v>
      </c>
      <c r="L22" s="32" t="s">
        <v>1085</v>
      </c>
      <c r="M22" s="31">
        <f>1866</f>
        <v>1866</v>
      </c>
      <c r="N22" s="32" t="s">
        <v>859</v>
      </c>
      <c r="O22" s="31">
        <f>1765.5</f>
        <v>1765.5</v>
      </c>
      <c r="P22" s="32" t="s">
        <v>756</v>
      </c>
      <c r="Q22" s="31">
        <f>1850</f>
        <v>1850</v>
      </c>
      <c r="R22" s="32" t="s">
        <v>661</v>
      </c>
      <c r="S22" s="33">
        <f>1800.08</f>
        <v>1800.08</v>
      </c>
      <c r="T22" s="30">
        <f>20166330</f>
        <v>20166330</v>
      </c>
      <c r="U22" s="30">
        <f>8366760</f>
        <v>8366760</v>
      </c>
      <c r="V22" s="30">
        <f>36468478274</f>
        <v>36468478274</v>
      </c>
      <c r="W22" s="30">
        <f>15158027724</f>
        <v>15158027724</v>
      </c>
      <c r="X22" s="34">
        <f>19</f>
        <v>19</v>
      </c>
    </row>
    <row r="23" spans="1:24">
      <c r="A23" s="25" t="s">
        <v>1179</v>
      </c>
      <c r="B23" s="25" t="s">
        <v>84</v>
      </c>
      <c r="C23" s="25" t="s">
        <v>85</v>
      </c>
      <c r="D23" s="25" t="s">
        <v>940</v>
      </c>
      <c r="E23" s="26" t="s">
        <v>43</v>
      </c>
      <c r="F23" s="27" t="s">
        <v>43</v>
      </c>
      <c r="G23" s="28" t="s">
        <v>43</v>
      </c>
      <c r="H23" s="29"/>
      <c r="I23" s="29" t="s">
        <v>44</v>
      </c>
      <c r="J23" s="30">
        <v>100</v>
      </c>
      <c r="K23" s="31">
        <f>1705</f>
        <v>1705</v>
      </c>
      <c r="L23" s="32" t="s">
        <v>1085</v>
      </c>
      <c r="M23" s="31">
        <f>1745</f>
        <v>1745</v>
      </c>
      <c r="N23" s="32" t="s">
        <v>859</v>
      </c>
      <c r="O23" s="31">
        <f>1651.5</f>
        <v>1651.5</v>
      </c>
      <c r="P23" s="32" t="s">
        <v>756</v>
      </c>
      <c r="Q23" s="31">
        <f>1733</f>
        <v>1733</v>
      </c>
      <c r="R23" s="32" t="s">
        <v>661</v>
      </c>
      <c r="S23" s="33">
        <f>1686.08</f>
        <v>1686.08</v>
      </c>
      <c r="T23" s="30">
        <f>4087200</f>
        <v>4087200</v>
      </c>
      <c r="U23" s="30">
        <f>3028800</f>
        <v>3028800</v>
      </c>
      <c r="V23" s="30">
        <f>6936535553</f>
        <v>6936535553</v>
      </c>
      <c r="W23" s="30">
        <f>5147944253</f>
        <v>5147944253</v>
      </c>
      <c r="X23" s="34">
        <f>19</f>
        <v>19</v>
      </c>
    </row>
    <row r="24" spans="1:24">
      <c r="A24" s="25" t="s">
        <v>1179</v>
      </c>
      <c r="B24" s="25" t="s">
        <v>86</v>
      </c>
      <c r="C24" s="25" t="s">
        <v>87</v>
      </c>
      <c r="D24" s="25" t="s">
        <v>941</v>
      </c>
      <c r="E24" s="26" t="s">
        <v>43</v>
      </c>
      <c r="F24" s="27" t="s">
        <v>43</v>
      </c>
      <c r="G24" s="28" t="s">
        <v>43</v>
      </c>
      <c r="H24" s="29"/>
      <c r="I24" s="29" t="s">
        <v>44</v>
      </c>
      <c r="J24" s="30">
        <v>1</v>
      </c>
      <c r="K24" s="31">
        <f>41520</f>
        <v>41520</v>
      </c>
      <c r="L24" s="32" t="s">
        <v>1085</v>
      </c>
      <c r="M24" s="31">
        <f>41900</f>
        <v>41900</v>
      </c>
      <c r="N24" s="32" t="s">
        <v>1079</v>
      </c>
      <c r="O24" s="31">
        <f>39260</f>
        <v>39260</v>
      </c>
      <c r="P24" s="32" t="s">
        <v>662</v>
      </c>
      <c r="Q24" s="31">
        <f>40500</f>
        <v>40500</v>
      </c>
      <c r="R24" s="32" t="s">
        <v>661</v>
      </c>
      <c r="S24" s="33">
        <f>40606.32</f>
        <v>40606.32</v>
      </c>
      <c r="T24" s="30">
        <f>556217</f>
        <v>556217</v>
      </c>
      <c r="U24" s="30">
        <f>94287</f>
        <v>94287</v>
      </c>
      <c r="V24" s="30">
        <f>22656976860</f>
        <v>22656976860</v>
      </c>
      <c r="W24" s="30">
        <f>3893457870</f>
        <v>3893457870</v>
      </c>
      <c r="X24" s="34">
        <f>19</f>
        <v>19</v>
      </c>
    </row>
    <row r="25" spans="1:24">
      <c r="A25" s="25" t="s">
        <v>1179</v>
      </c>
      <c r="B25" s="25" t="s">
        <v>88</v>
      </c>
      <c r="C25" s="25" t="s">
        <v>89</v>
      </c>
      <c r="D25" s="25" t="s">
        <v>90</v>
      </c>
      <c r="E25" s="26" t="s">
        <v>43</v>
      </c>
      <c r="F25" s="27" t="s">
        <v>43</v>
      </c>
      <c r="G25" s="28" t="s">
        <v>43</v>
      </c>
      <c r="H25" s="29"/>
      <c r="I25" s="29" t="s">
        <v>44</v>
      </c>
      <c r="J25" s="30">
        <v>10</v>
      </c>
      <c r="K25" s="31">
        <f>2917</f>
        <v>2917</v>
      </c>
      <c r="L25" s="32" t="s">
        <v>1085</v>
      </c>
      <c r="M25" s="31">
        <f>2925.5</f>
        <v>2925.5</v>
      </c>
      <c r="N25" s="32" t="s">
        <v>1079</v>
      </c>
      <c r="O25" s="31">
        <f>2743.5</f>
        <v>2743.5</v>
      </c>
      <c r="P25" s="32" t="s">
        <v>662</v>
      </c>
      <c r="Q25" s="31">
        <f>2890</f>
        <v>2890</v>
      </c>
      <c r="R25" s="32" t="s">
        <v>661</v>
      </c>
      <c r="S25" s="33">
        <f>2844.34</f>
        <v>2844.34</v>
      </c>
      <c r="T25" s="30">
        <f>6322090</f>
        <v>6322090</v>
      </c>
      <c r="U25" s="30">
        <f>3769480</f>
        <v>3769480</v>
      </c>
      <c r="V25" s="30">
        <f>17994531888</f>
        <v>17994531888</v>
      </c>
      <c r="W25" s="30">
        <f>10749203968</f>
        <v>10749203968</v>
      </c>
      <c r="X25" s="34">
        <f>19</f>
        <v>19</v>
      </c>
    </row>
    <row r="26" spans="1:24">
      <c r="A26" s="25" t="s">
        <v>1179</v>
      </c>
      <c r="B26" s="25" t="s">
        <v>91</v>
      </c>
      <c r="C26" s="25" t="s">
        <v>92</v>
      </c>
      <c r="D26" s="25" t="s">
        <v>93</v>
      </c>
      <c r="E26" s="26" t="s">
        <v>43</v>
      </c>
      <c r="F26" s="27" t="s">
        <v>43</v>
      </c>
      <c r="G26" s="28" t="s">
        <v>43</v>
      </c>
      <c r="H26" s="29"/>
      <c r="I26" s="29" t="s">
        <v>44</v>
      </c>
      <c r="J26" s="30">
        <v>1</v>
      </c>
      <c r="K26" s="31">
        <f>17150</f>
        <v>17150</v>
      </c>
      <c r="L26" s="32" t="s">
        <v>1085</v>
      </c>
      <c r="M26" s="31">
        <f>18620</f>
        <v>18620</v>
      </c>
      <c r="N26" s="32" t="s">
        <v>850</v>
      </c>
      <c r="O26" s="31">
        <f>16485</f>
        <v>16485</v>
      </c>
      <c r="P26" s="32" t="s">
        <v>1076</v>
      </c>
      <c r="Q26" s="31">
        <f>16760</f>
        <v>16760</v>
      </c>
      <c r="R26" s="32" t="s">
        <v>755</v>
      </c>
      <c r="S26" s="33">
        <f>16974.38</f>
        <v>16974.38</v>
      </c>
      <c r="T26" s="30">
        <f>716</f>
        <v>716</v>
      </c>
      <c r="U26" s="30">
        <f>1</f>
        <v>1</v>
      </c>
      <c r="V26" s="30">
        <f>12321220</f>
        <v>12321220</v>
      </c>
      <c r="W26" s="30">
        <f>17140</f>
        <v>17140</v>
      </c>
      <c r="X26" s="34">
        <f>16</f>
        <v>16</v>
      </c>
    </row>
    <row r="27" spans="1:24">
      <c r="A27" s="25" t="s">
        <v>1179</v>
      </c>
      <c r="B27" s="25" t="s">
        <v>94</v>
      </c>
      <c r="C27" s="25" t="s">
        <v>95</v>
      </c>
      <c r="D27" s="25" t="s">
        <v>96</v>
      </c>
      <c r="E27" s="26" t="s">
        <v>43</v>
      </c>
      <c r="F27" s="27" t="s">
        <v>43</v>
      </c>
      <c r="G27" s="28" t="s">
        <v>43</v>
      </c>
      <c r="H27" s="29"/>
      <c r="I27" s="29" t="s">
        <v>44</v>
      </c>
      <c r="J27" s="30">
        <v>10</v>
      </c>
      <c r="K27" s="31">
        <f>307</f>
        <v>307</v>
      </c>
      <c r="L27" s="32" t="s">
        <v>1085</v>
      </c>
      <c r="M27" s="31">
        <f>339.6</f>
        <v>339.6</v>
      </c>
      <c r="N27" s="32" t="s">
        <v>662</v>
      </c>
      <c r="O27" s="31">
        <f>304.8</f>
        <v>304.8</v>
      </c>
      <c r="P27" s="32" t="s">
        <v>661</v>
      </c>
      <c r="Q27" s="31">
        <f>305.7</f>
        <v>305.7</v>
      </c>
      <c r="R27" s="32" t="s">
        <v>661</v>
      </c>
      <c r="S27" s="33">
        <f>318.06</f>
        <v>318.06</v>
      </c>
      <c r="T27" s="30">
        <f>30388360</f>
        <v>30388360</v>
      </c>
      <c r="U27" s="30">
        <f>2050</f>
        <v>2050</v>
      </c>
      <c r="V27" s="30">
        <f>9621900265</f>
        <v>9621900265</v>
      </c>
      <c r="W27" s="30">
        <f>648628</f>
        <v>648628</v>
      </c>
      <c r="X27" s="34">
        <f>19</f>
        <v>19</v>
      </c>
    </row>
    <row r="28" spans="1:24">
      <c r="A28" s="25" t="s">
        <v>1179</v>
      </c>
      <c r="B28" s="25" t="s">
        <v>97</v>
      </c>
      <c r="C28" s="25" t="s">
        <v>98</v>
      </c>
      <c r="D28" s="25" t="s">
        <v>942</v>
      </c>
      <c r="E28" s="26" t="s">
        <v>43</v>
      </c>
      <c r="F28" s="27" t="s">
        <v>43</v>
      </c>
      <c r="G28" s="28" t="s">
        <v>43</v>
      </c>
      <c r="H28" s="29"/>
      <c r="I28" s="29" t="s">
        <v>44</v>
      </c>
      <c r="J28" s="30">
        <v>1</v>
      </c>
      <c r="K28" s="31">
        <f>11435</f>
        <v>11435</v>
      </c>
      <c r="L28" s="32" t="s">
        <v>1085</v>
      </c>
      <c r="M28" s="31">
        <f>12520</f>
        <v>12520</v>
      </c>
      <c r="N28" s="32" t="s">
        <v>662</v>
      </c>
      <c r="O28" s="31">
        <f>11160</f>
        <v>11160</v>
      </c>
      <c r="P28" s="32" t="s">
        <v>663</v>
      </c>
      <c r="Q28" s="31">
        <f>11520</f>
        <v>11520</v>
      </c>
      <c r="R28" s="32" t="s">
        <v>661</v>
      </c>
      <c r="S28" s="33">
        <f>11746.58</f>
        <v>11746.58</v>
      </c>
      <c r="T28" s="30">
        <f>27035814</f>
        <v>27035814</v>
      </c>
      <c r="U28" s="30">
        <f>516689</f>
        <v>516689</v>
      </c>
      <c r="V28" s="30">
        <f>316037015979</f>
        <v>316037015979</v>
      </c>
      <c r="W28" s="30">
        <f>6032001159</f>
        <v>6032001159</v>
      </c>
      <c r="X28" s="34">
        <f>19</f>
        <v>19</v>
      </c>
    </row>
    <row r="29" spans="1:24">
      <c r="A29" s="25" t="s">
        <v>1179</v>
      </c>
      <c r="B29" s="25" t="s">
        <v>99</v>
      </c>
      <c r="C29" s="25" t="s">
        <v>100</v>
      </c>
      <c r="D29" s="25" t="s">
        <v>101</v>
      </c>
      <c r="E29" s="26" t="s">
        <v>43</v>
      </c>
      <c r="F29" s="27" t="s">
        <v>43</v>
      </c>
      <c r="G29" s="28" t="s">
        <v>43</v>
      </c>
      <c r="H29" s="29"/>
      <c r="I29" s="29" t="s">
        <v>44</v>
      </c>
      <c r="J29" s="30">
        <v>1</v>
      </c>
      <c r="K29" s="31">
        <f>53000</f>
        <v>53000</v>
      </c>
      <c r="L29" s="32" t="s">
        <v>1085</v>
      </c>
      <c r="M29" s="31">
        <f>53950</f>
        <v>53950</v>
      </c>
      <c r="N29" s="32" t="s">
        <v>1079</v>
      </c>
      <c r="O29" s="31">
        <f>48100</f>
        <v>48100</v>
      </c>
      <c r="P29" s="32" t="s">
        <v>662</v>
      </c>
      <c r="Q29" s="31">
        <f>52100</f>
        <v>52100</v>
      </c>
      <c r="R29" s="32" t="s">
        <v>661</v>
      </c>
      <c r="S29" s="33">
        <f>51275.26</f>
        <v>51275.26</v>
      </c>
      <c r="T29" s="30">
        <f>324199</f>
        <v>324199</v>
      </c>
      <c r="U29" s="30">
        <f>11</f>
        <v>11</v>
      </c>
      <c r="V29" s="30">
        <f>16674973210</f>
        <v>16674973210</v>
      </c>
      <c r="W29" s="30">
        <f>551750</f>
        <v>551750</v>
      </c>
      <c r="X29" s="34">
        <f>19</f>
        <v>19</v>
      </c>
    </row>
    <row r="30" spans="1:24">
      <c r="A30" s="25" t="s">
        <v>1179</v>
      </c>
      <c r="B30" s="25" t="s">
        <v>102</v>
      </c>
      <c r="C30" s="25" t="s">
        <v>103</v>
      </c>
      <c r="D30" s="25" t="s">
        <v>104</v>
      </c>
      <c r="E30" s="26" t="s">
        <v>43</v>
      </c>
      <c r="F30" s="27" t="s">
        <v>43</v>
      </c>
      <c r="G30" s="28" t="s">
        <v>43</v>
      </c>
      <c r="H30" s="29"/>
      <c r="I30" s="29" t="s">
        <v>44</v>
      </c>
      <c r="J30" s="30">
        <v>10</v>
      </c>
      <c r="K30" s="31">
        <f>280.2</f>
        <v>280.2</v>
      </c>
      <c r="L30" s="32" t="s">
        <v>1085</v>
      </c>
      <c r="M30" s="31">
        <f>307.4</f>
        <v>307.39999999999998</v>
      </c>
      <c r="N30" s="32" t="s">
        <v>662</v>
      </c>
      <c r="O30" s="31">
        <f>274.2</f>
        <v>274.2</v>
      </c>
      <c r="P30" s="32" t="s">
        <v>663</v>
      </c>
      <c r="Q30" s="31">
        <f>282.9</f>
        <v>282.89999999999998</v>
      </c>
      <c r="R30" s="32" t="s">
        <v>661</v>
      </c>
      <c r="S30" s="33">
        <f>288.38</f>
        <v>288.38</v>
      </c>
      <c r="T30" s="30">
        <f>1086225050</f>
        <v>1086225050</v>
      </c>
      <c r="U30" s="30">
        <f>1913360</f>
        <v>1913360</v>
      </c>
      <c r="V30" s="30">
        <f>311975225074</f>
        <v>311975225074</v>
      </c>
      <c r="W30" s="30">
        <f>548579318</f>
        <v>548579318</v>
      </c>
      <c r="X30" s="34">
        <f>19</f>
        <v>19</v>
      </c>
    </row>
    <row r="31" spans="1:24">
      <c r="A31" s="25" t="s">
        <v>1179</v>
      </c>
      <c r="B31" s="25" t="s">
        <v>105</v>
      </c>
      <c r="C31" s="25" t="s">
        <v>106</v>
      </c>
      <c r="D31" s="25" t="s">
        <v>107</v>
      </c>
      <c r="E31" s="26" t="s">
        <v>43</v>
      </c>
      <c r="F31" s="27" t="s">
        <v>43</v>
      </c>
      <c r="G31" s="28" t="s">
        <v>43</v>
      </c>
      <c r="H31" s="29"/>
      <c r="I31" s="29" t="s">
        <v>44</v>
      </c>
      <c r="J31" s="30">
        <v>1</v>
      </c>
      <c r="K31" s="31">
        <f>26150</f>
        <v>26150</v>
      </c>
      <c r="L31" s="32" t="s">
        <v>1085</v>
      </c>
      <c r="M31" s="31">
        <f>26150</f>
        <v>26150</v>
      </c>
      <c r="N31" s="32" t="s">
        <v>1085</v>
      </c>
      <c r="O31" s="31">
        <f>24740</f>
        <v>24740</v>
      </c>
      <c r="P31" s="32" t="s">
        <v>662</v>
      </c>
      <c r="Q31" s="31">
        <f>26020</f>
        <v>26020</v>
      </c>
      <c r="R31" s="32" t="s">
        <v>661</v>
      </c>
      <c r="S31" s="33">
        <f>25552.63</f>
        <v>25552.63</v>
      </c>
      <c r="T31" s="30">
        <f>17266</f>
        <v>17266</v>
      </c>
      <c r="U31" s="30">
        <f>782</f>
        <v>782</v>
      </c>
      <c r="V31" s="30">
        <f>439703343</f>
        <v>439703343</v>
      </c>
      <c r="W31" s="30">
        <f>19976923</f>
        <v>19976923</v>
      </c>
      <c r="X31" s="34">
        <f>19</f>
        <v>19</v>
      </c>
    </row>
    <row r="32" spans="1:24">
      <c r="A32" s="25" t="s">
        <v>1179</v>
      </c>
      <c r="B32" s="25" t="s">
        <v>108</v>
      </c>
      <c r="C32" s="25" t="s">
        <v>876</v>
      </c>
      <c r="D32" s="25" t="s">
        <v>877</v>
      </c>
      <c r="E32" s="26" t="s">
        <v>43</v>
      </c>
      <c r="F32" s="27" t="s">
        <v>43</v>
      </c>
      <c r="G32" s="28" t="s">
        <v>43</v>
      </c>
      <c r="H32" s="29"/>
      <c r="I32" s="29" t="s">
        <v>44</v>
      </c>
      <c r="J32" s="30">
        <v>1</v>
      </c>
      <c r="K32" s="31">
        <f>43250</f>
        <v>43250</v>
      </c>
      <c r="L32" s="32" t="s">
        <v>1085</v>
      </c>
      <c r="M32" s="31">
        <f>44130</f>
        <v>44130</v>
      </c>
      <c r="N32" s="32" t="s">
        <v>1079</v>
      </c>
      <c r="O32" s="31">
        <f>39310</f>
        <v>39310</v>
      </c>
      <c r="P32" s="32" t="s">
        <v>662</v>
      </c>
      <c r="Q32" s="31">
        <f>42480</f>
        <v>42480</v>
      </c>
      <c r="R32" s="32" t="s">
        <v>661</v>
      </c>
      <c r="S32" s="33">
        <f>41933.16</f>
        <v>41933.160000000003</v>
      </c>
      <c r="T32" s="30">
        <f>946163</f>
        <v>946163</v>
      </c>
      <c r="U32" s="30">
        <f>17103</f>
        <v>17103</v>
      </c>
      <c r="V32" s="30">
        <f>39713256358</f>
        <v>39713256358</v>
      </c>
      <c r="W32" s="30">
        <f>713462448</f>
        <v>713462448</v>
      </c>
      <c r="X32" s="34">
        <f>19</f>
        <v>19</v>
      </c>
    </row>
    <row r="33" spans="1:24">
      <c r="A33" s="25" t="s">
        <v>1179</v>
      </c>
      <c r="B33" s="25" t="s">
        <v>109</v>
      </c>
      <c r="C33" s="25" t="s">
        <v>878</v>
      </c>
      <c r="D33" s="25" t="s">
        <v>879</v>
      </c>
      <c r="E33" s="26" t="s">
        <v>43</v>
      </c>
      <c r="F33" s="27" t="s">
        <v>43</v>
      </c>
      <c r="G33" s="28" t="s">
        <v>43</v>
      </c>
      <c r="H33" s="29"/>
      <c r="I33" s="29" t="s">
        <v>44</v>
      </c>
      <c r="J33" s="30">
        <v>1</v>
      </c>
      <c r="K33" s="31">
        <f>288</f>
        <v>288</v>
      </c>
      <c r="L33" s="32" t="s">
        <v>1085</v>
      </c>
      <c r="M33" s="31">
        <f>315</f>
        <v>315</v>
      </c>
      <c r="N33" s="32" t="s">
        <v>662</v>
      </c>
      <c r="O33" s="31">
        <f>280</f>
        <v>280</v>
      </c>
      <c r="P33" s="32" t="s">
        <v>663</v>
      </c>
      <c r="Q33" s="31">
        <f>289</f>
        <v>289</v>
      </c>
      <c r="R33" s="32" t="s">
        <v>661</v>
      </c>
      <c r="S33" s="33">
        <f>295</f>
        <v>295</v>
      </c>
      <c r="T33" s="30">
        <f>41717895</f>
        <v>41717895</v>
      </c>
      <c r="U33" s="30">
        <f>814658</f>
        <v>814658</v>
      </c>
      <c r="V33" s="30">
        <f>12206661834</f>
        <v>12206661834</v>
      </c>
      <c r="W33" s="30">
        <f>237992897</f>
        <v>237992897</v>
      </c>
      <c r="X33" s="34">
        <f>19</f>
        <v>19</v>
      </c>
    </row>
    <row r="34" spans="1:24">
      <c r="A34" s="25" t="s">
        <v>1179</v>
      </c>
      <c r="B34" s="25" t="s">
        <v>110</v>
      </c>
      <c r="C34" s="25" t="s">
        <v>880</v>
      </c>
      <c r="D34" s="25" t="s">
        <v>881</v>
      </c>
      <c r="E34" s="26" t="s">
        <v>43</v>
      </c>
      <c r="F34" s="27" t="s">
        <v>43</v>
      </c>
      <c r="G34" s="28" t="s">
        <v>43</v>
      </c>
      <c r="H34" s="29"/>
      <c r="I34" s="29" t="s">
        <v>44</v>
      </c>
      <c r="J34" s="30">
        <v>1</v>
      </c>
      <c r="K34" s="31">
        <f>37600</f>
        <v>37600</v>
      </c>
      <c r="L34" s="32" t="s">
        <v>1085</v>
      </c>
      <c r="M34" s="31">
        <f>37710</f>
        <v>37710</v>
      </c>
      <c r="N34" s="32" t="s">
        <v>1085</v>
      </c>
      <c r="O34" s="31">
        <f>33800</f>
        <v>33800</v>
      </c>
      <c r="P34" s="32" t="s">
        <v>662</v>
      </c>
      <c r="Q34" s="31">
        <f>37350</f>
        <v>37350</v>
      </c>
      <c r="R34" s="32" t="s">
        <v>661</v>
      </c>
      <c r="S34" s="33">
        <f>36119.47</f>
        <v>36119.47</v>
      </c>
      <c r="T34" s="30">
        <f>144547</f>
        <v>144547</v>
      </c>
      <c r="U34" s="30">
        <f>2036</f>
        <v>2036</v>
      </c>
      <c r="V34" s="30">
        <f>5213659040</f>
        <v>5213659040</v>
      </c>
      <c r="W34" s="30">
        <f>74065030</f>
        <v>74065030</v>
      </c>
      <c r="X34" s="34">
        <f>19</f>
        <v>19</v>
      </c>
    </row>
    <row r="35" spans="1:24">
      <c r="A35" s="25" t="s">
        <v>1179</v>
      </c>
      <c r="B35" s="25" t="s">
        <v>111</v>
      </c>
      <c r="C35" s="25" t="s">
        <v>882</v>
      </c>
      <c r="D35" s="25" t="s">
        <v>883</v>
      </c>
      <c r="E35" s="26" t="s">
        <v>43</v>
      </c>
      <c r="F35" s="27" t="s">
        <v>43</v>
      </c>
      <c r="G35" s="28" t="s">
        <v>43</v>
      </c>
      <c r="H35" s="29"/>
      <c r="I35" s="29" t="s">
        <v>44</v>
      </c>
      <c r="J35" s="30">
        <v>1</v>
      </c>
      <c r="K35" s="31">
        <f>443</f>
        <v>443</v>
      </c>
      <c r="L35" s="32" t="s">
        <v>1085</v>
      </c>
      <c r="M35" s="31">
        <f>490</f>
        <v>490</v>
      </c>
      <c r="N35" s="32" t="s">
        <v>662</v>
      </c>
      <c r="O35" s="31">
        <f>439</f>
        <v>439</v>
      </c>
      <c r="P35" s="32" t="s">
        <v>661</v>
      </c>
      <c r="Q35" s="31">
        <f>440</f>
        <v>440</v>
      </c>
      <c r="R35" s="32" t="s">
        <v>661</v>
      </c>
      <c r="S35" s="33">
        <f>458.84</f>
        <v>458.84</v>
      </c>
      <c r="T35" s="30">
        <f>2658795</f>
        <v>2658795</v>
      </c>
      <c r="U35" s="30">
        <f>173</f>
        <v>173</v>
      </c>
      <c r="V35" s="30">
        <f>1214072456</f>
        <v>1214072456</v>
      </c>
      <c r="W35" s="30">
        <f>79317</f>
        <v>79317</v>
      </c>
      <c r="X35" s="34">
        <f>19</f>
        <v>19</v>
      </c>
    </row>
    <row r="36" spans="1:24">
      <c r="A36" s="25" t="s">
        <v>1179</v>
      </c>
      <c r="B36" s="25" t="s">
        <v>112</v>
      </c>
      <c r="C36" s="25" t="s">
        <v>113</v>
      </c>
      <c r="D36" s="25" t="s">
        <v>114</v>
      </c>
      <c r="E36" s="26" t="s">
        <v>43</v>
      </c>
      <c r="F36" s="27" t="s">
        <v>43</v>
      </c>
      <c r="G36" s="28" t="s">
        <v>43</v>
      </c>
      <c r="H36" s="29"/>
      <c r="I36" s="29" t="s">
        <v>44</v>
      </c>
      <c r="J36" s="30">
        <v>1</v>
      </c>
      <c r="K36" s="31">
        <f>40200</f>
        <v>40200</v>
      </c>
      <c r="L36" s="32" t="s">
        <v>1085</v>
      </c>
      <c r="M36" s="31">
        <f>40390</f>
        <v>40390</v>
      </c>
      <c r="N36" s="32" t="s">
        <v>1079</v>
      </c>
      <c r="O36" s="31">
        <f>38150</f>
        <v>38150</v>
      </c>
      <c r="P36" s="32" t="s">
        <v>662</v>
      </c>
      <c r="Q36" s="31">
        <f>39760</f>
        <v>39760</v>
      </c>
      <c r="R36" s="32" t="s">
        <v>661</v>
      </c>
      <c r="S36" s="33">
        <f>39398.42</f>
        <v>39398.42</v>
      </c>
      <c r="T36" s="30">
        <f>190644</f>
        <v>190644</v>
      </c>
      <c r="U36" s="30">
        <f>77935</f>
        <v>77935</v>
      </c>
      <c r="V36" s="30">
        <f>7507246766</f>
        <v>7507246766</v>
      </c>
      <c r="W36" s="30">
        <f>3064605496</f>
        <v>3064605496</v>
      </c>
      <c r="X36" s="34">
        <f>19</f>
        <v>19</v>
      </c>
    </row>
    <row r="37" spans="1:24">
      <c r="A37" s="25" t="s">
        <v>1179</v>
      </c>
      <c r="B37" s="25" t="s">
        <v>115</v>
      </c>
      <c r="C37" s="25" t="s">
        <v>116</v>
      </c>
      <c r="D37" s="25" t="s">
        <v>117</v>
      </c>
      <c r="E37" s="26" t="s">
        <v>43</v>
      </c>
      <c r="F37" s="27" t="s">
        <v>43</v>
      </c>
      <c r="G37" s="28" t="s">
        <v>43</v>
      </c>
      <c r="H37" s="29"/>
      <c r="I37" s="29" t="s">
        <v>44</v>
      </c>
      <c r="J37" s="30">
        <v>1</v>
      </c>
      <c r="K37" s="31">
        <f>40340</f>
        <v>40340</v>
      </c>
      <c r="L37" s="32" t="s">
        <v>1085</v>
      </c>
      <c r="M37" s="31">
        <f>40700</f>
        <v>40700</v>
      </c>
      <c r="N37" s="32" t="s">
        <v>1079</v>
      </c>
      <c r="O37" s="31">
        <f>38500</f>
        <v>38500</v>
      </c>
      <c r="P37" s="32" t="s">
        <v>662</v>
      </c>
      <c r="Q37" s="31">
        <f>40070</f>
        <v>40070</v>
      </c>
      <c r="R37" s="32" t="s">
        <v>661</v>
      </c>
      <c r="S37" s="33">
        <f>39757.37</f>
        <v>39757.370000000003</v>
      </c>
      <c r="T37" s="30">
        <f>48549</f>
        <v>48549</v>
      </c>
      <c r="U37" s="30">
        <f>1379</f>
        <v>1379</v>
      </c>
      <c r="V37" s="30">
        <f>1928640720</f>
        <v>1928640720</v>
      </c>
      <c r="W37" s="30">
        <f>54759820</f>
        <v>54759820</v>
      </c>
      <c r="X37" s="34">
        <f>19</f>
        <v>19</v>
      </c>
    </row>
    <row r="38" spans="1:24">
      <c r="A38" s="25" t="s">
        <v>1179</v>
      </c>
      <c r="B38" s="25" t="s">
        <v>118</v>
      </c>
      <c r="C38" s="25" t="s">
        <v>119</v>
      </c>
      <c r="D38" s="25" t="s">
        <v>120</v>
      </c>
      <c r="E38" s="26" t="s">
        <v>43</v>
      </c>
      <c r="F38" s="27" t="s">
        <v>43</v>
      </c>
      <c r="G38" s="28" t="s">
        <v>43</v>
      </c>
      <c r="H38" s="29"/>
      <c r="I38" s="29" t="s">
        <v>44</v>
      </c>
      <c r="J38" s="30">
        <v>10</v>
      </c>
      <c r="K38" s="31">
        <f>1721.5</f>
        <v>1721.5</v>
      </c>
      <c r="L38" s="32" t="s">
        <v>1085</v>
      </c>
      <c r="M38" s="31">
        <f>1775</f>
        <v>1775</v>
      </c>
      <c r="N38" s="32" t="s">
        <v>859</v>
      </c>
      <c r="O38" s="31">
        <f>1682.5</f>
        <v>1682.5</v>
      </c>
      <c r="P38" s="32" t="s">
        <v>756</v>
      </c>
      <c r="Q38" s="31">
        <f>1760</f>
        <v>1760</v>
      </c>
      <c r="R38" s="32" t="s">
        <v>661</v>
      </c>
      <c r="S38" s="33">
        <f>1713.63</f>
        <v>1713.63</v>
      </c>
      <c r="T38" s="30">
        <f>2141700</f>
        <v>2141700</v>
      </c>
      <c r="U38" s="30">
        <f>507440</f>
        <v>507440</v>
      </c>
      <c r="V38" s="30">
        <f>3690861360</f>
        <v>3690861360</v>
      </c>
      <c r="W38" s="30">
        <f>870242540</f>
        <v>870242540</v>
      </c>
      <c r="X38" s="34">
        <f>19</f>
        <v>19</v>
      </c>
    </row>
    <row r="39" spans="1:24">
      <c r="A39" s="25" t="s">
        <v>1179</v>
      </c>
      <c r="B39" s="25" t="s">
        <v>121</v>
      </c>
      <c r="C39" s="25" t="s">
        <v>122</v>
      </c>
      <c r="D39" s="25" t="s">
        <v>123</v>
      </c>
      <c r="E39" s="26" t="s">
        <v>43</v>
      </c>
      <c r="F39" s="27" t="s">
        <v>43</v>
      </c>
      <c r="G39" s="28" t="s">
        <v>43</v>
      </c>
      <c r="H39" s="29"/>
      <c r="I39" s="29" t="s">
        <v>44</v>
      </c>
      <c r="J39" s="30">
        <v>10</v>
      </c>
      <c r="K39" s="31">
        <f>2242</f>
        <v>2242</v>
      </c>
      <c r="L39" s="32" t="s">
        <v>1085</v>
      </c>
      <c r="M39" s="31">
        <f>2242</f>
        <v>2242</v>
      </c>
      <c r="N39" s="32" t="s">
        <v>1085</v>
      </c>
      <c r="O39" s="31">
        <f>2146</f>
        <v>2146</v>
      </c>
      <c r="P39" s="32" t="s">
        <v>662</v>
      </c>
      <c r="Q39" s="31">
        <f>2213</f>
        <v>2213</v>
      </c>
      <c r="R39" s="32" t="s">
        <v>661</v>
      </c>
      <c r="S39" s="33">
        <f>2185.95</f>
        <v>2185.9499999999998</v>
      </c>
      <c r="T39" s="30">
        <f>156090</f>
        <v>156090</v>
      </c>
      <c r="U39" s="30">
        <f>145000</f>
        <v>145000</v>
      </c>
      <c r="V39" s="30">
        <f>338305875</f>
        <v>338305875</v>
      </c>
      <c r="W39" s="30">
        <f>314075000</f>
        <v>314075000</v>
      </c>
      <c r="X39" s="34">
        <f>19</f>
        <v>19</v>
      </c>
    </row>
    <row r="40" spans="1:24">
      <c r="A40" s="25" t="s">
        <v>1179</v>
      </c>
      <c r="B40" s="25" t="s">
        <v>1082</v>
      </c>
      <c r="C40" s="25" t="s">
        <v>1083</v>
      </c>
      <c r="D40" s="25" t="s">
        <v>1084</v>
      </c>
      <c r="E40" s="26" t="s">
        <v>43</v>
      </c>
      <c r="F40" s="27" t="s">
        <v>43</v>
      </c>
      <c r="G40" s="28" t="s">
        <v>43</v>
      </c>
      <c r="H40" s="29"/>
      <c r="I40" s="29" t="s">
        <v>44</v>
      </c>
      <c r="J40" s="30">
        <v>1</v>
      </c>
      <c r="K40" s="31">
        <f>2034</f>
        <v>2034</v>
      </c>
      <c r="L40" s="32" t="s">
        <v>1085</v>
      </c>
      <c r="M40" s="31">
        <f>2059</f>
        <v>2059</v>
      </c>
      <c r="N40" s="32" t="s">
        <v>851</v>
      </c>
      <c r="O40" s="31">
        <f>2001</f>
        <v>2001</v>
      </c>
      <c r="P40" s="32" t="s">
        <v>661</v>
      </c>
      <c r="Q40" s="31">
        <f>2020</f>
        <v>2020</v>
      </c>
      <c r="R40" s="32" t="s">
        <v>661</v>
      </c>
      <c r="S40" s="33">
        <f>2033.63</f>
        <v>2033.63</v>
      </c>
      <c r="T40" s="30">
        <f>1056142</f>
        <v>1056142</v>
      </c>
      <c r="U40" s="30">
        <f>971800</f>
        <v>971800</v>
      </c>
      <c r="V40" s="30">
        <f>2157915920</f>
        <v>2157915920</v>
      </c>
      <c r="W40" s="30">
        <f>1986810514</f>
        <v>1986810514</v>
      </c>
      <c r="X40" s="34">
        <f>19</f>
        <v>19</v>
      </c>
    </row>
    <row r="41" spans="1:24">
      <c r="A41" s="25" t="s">
        <v>1179</v>
      </c>
      <c r="B41" s="25" t="s">
        <v>124</v>
      </c>
      <c r="C41" s="25" t="s">
        <v>884</v>
      </c>
      <c r="D41" s="25" t="s">
        <v>885</v>
      </c>
      <c r="E41" s="26" t="s">
        <v>43</v>
      </c>
      <c r="F41" s="27" t="s">
        <v>43</v>
      </c>
      <c r="G41" s="28" t="s">
        <v>43</v>
      </c>
      <c r="H41" s="29"/>
      <c r="I41" s="29" t="s">
        <v>44</v>
      </c>
      <c r="J41" s="30">
        <v>1</v>
      </c>
      <c r="K41" s="31">
        <f>2414</f>
        <v>2414</v>
      </c>
      <c r="L41" s="32" t="s">
        <v>1085</v>
      </c>
      <c r="M41" s="31">
        <f>2526</f>
        <v>2526</v>
      </c>
      <c r="N41" s="32" t="s">
        <v>662</v>
      </c>
      <c r="O41" s="31">
        <f>2386</f>
        <v>2386</v>
      </c>
      <c r="P41" s="32" t="s">
        <v>663</v>
      </c>
      <c r="Q41" s="31">
        <f>2423</f>
        <v>2423</v>
      </c>
      <c r="R41" s="32" t="s">
        <v>661</v>
      </c>
      <c r="S41" s="33">
        <f>2446.47</f>
        <v>2446.4699999999998</v>
      </c>
      <c r="T41" s="30">
        <f>2176113</f>
        <v>2176113</v>
      </c>
      <c r="U41" s="30">
        <f>1066870</f>
        <v>1066870</v>
      </c>
      <c r="V41" s="30">
        <f>5304980919</f>
        <v>5304980919</v>
      </c>
      <c r="W41" s="30">
        <f>2599653373</f>
        <v>2599653373</v>
      </c>
      <c r="X41" s="34">
        <f>19</f>
        <v>19</v>
      </c>
    </row>
    <row r="42" spans="1:24">
      <c r="A42" s="25" t="s">
        <v>1179</v>
      </c>
      <c r="B42" s="25" t="s">
        <v>125</v>
      </c>
      <c r="C42" s="25" t="s">
        <v>886</v>
      </c>
      <c r="D42" s="25" t="s">
        <v>887</v>
      </c>
      <c r="E42" s="26" t="s">
        <v>43</v>
      </c>
      <c r="F42" s="27" t="s">
        <v>43</v>
      </c>
      <c r="G42" s="28" t="s">
        <v>43</v>
      </c>
      <c r="H42" s="29"/>
      <c r="I42" s="29" t="s">
        <v>44</v>
      </c>
      <c r="J42" s="30">
        <v>1</v>
      </c>
      <c r="K42" s="31">
        <f>2884</f>
        <v>2884</v>
      </c>
      <c r="L42" s="32" t="s">
        <v>1085</v>
      </c>
      <c r="M42" s="31">
        <f>3030</f>
        <v>3030</v>
      </c>
      <c r="N42" s="32" t="s">
        <v>662</v>
      </c>
      <c r="O42" s="31">
        <f>2875</f>
        <v>2875</v>
      </c>
      <c r="P42" s="32" t="s">
        <v>661</v>
      </c>
      <c r="Q42" s="31">
        <f>2880</f>
        <v>2880</v>
      </c>
      <c r="R42" s="32" t="s">
        <v>661</v>
      </c>
      <c r="S42" s="33">
        <f>2936.26</f>
        <v>2936.26</v>
      </c>
      <c r="T42" s="30">
        <f>71405</f>
        <v>71405</v>
      </c>
      <c r="U42" s="30">
        <f>1</f>
        <v>1</v>
      </c>
      <c r="V42" s="30">
        <f>209340941</f>
        <v>209340941</v>
      </c>
      <c r="W42" s="30">
        <f>2903</f>
        <v>2903</v>
      </c>
      <c r="X42" s="34">
        <f>19</f>
        <v>19</v>
      </c>
    </row>
    <row r="43" spans="1:24">
      <c r="A43" s="25" t="s">
        <v>1179</v>
      </c>
      <c r="B43" s="25" t="s">
        <v>126</v>
      </c>
      <c r="C43" s="25" t="s">
        <v>127</v>
      </c>
      <c r="D43" s="25" t="s">
        <v>128</v>
      </c>
      <c r="E43" s="26" t="s">
        <v>43</v>
      </c>
      <c r="F43" s="27" t="s">
        <v>43</v>
      </c>
      <c r="G43" s="28" t="s">
        <v>43</v>
      </c>
      <c r="H43" s="29"/>
      <c r="I43" s="29" t="s">
        <v>44</v>
      </c>
      <c r="J43" s="30">
        <v>1</v>
      </c>
      <c r="K43" s="31">
        <f>33330</f>
        <v>33330</v>
      </c>
      <c r="L43" s="32" t="s">
        <v>1085</v>
      </c>
      <c r="M43" s="31">
        <f>33930</f>
        <v>33930</v>
      </c>
      <c r="N43" s="32" t="s">
        <v>1079</v>
      </c>
      <c r="O43" s="31">
        <f>30240</f>
        <v>30240</v>
      </c>
      <c r="P43" s="32" t="s">
        <v>662</v>
      </c>
      <c r="Q43" s="31">
        <f>32760</f>
        <v>32760</v>
      </c>
      <c r="R43" s="32" t="s">
        <v>661</v>
      </c>
      <c r="S43" s="33">
        <f>32261.58</f>
        <v>32261.58</v>
      </c>
      <c r="T43" s="30">
        <f>6970120</f>
        <v>6970120</v>
      </c>
      <c r="U43" s="30">
        <f>75905</f>
        <v>75905</v>
      </c>
      <c r="V43" s="30">
        <f>224944849940</f>
        <v>224944849940</v>
      </c>
      <c r="W43" s="30">
        <f>2450080480</f>
        <v>2450080480</v>
      </c>
      <c r="X43" s="34">
        <f>19</f>
        <v>19</v>
      </c>
    </row>
    <row r="44" spans="1:24">
      <c r="A44" s="25" t="s">
        <v>1179</v>
      </c>
      <c r="B44" s="25" t="s">
        <v>129</v>
      </c>
      <c r="C44" s="25" t="s">
        <v>130</v>
      </c>
      <c r="D44" s="25" t="s">
        <v>131</v>
      </c>
      <c r="E44" s="26" t="s">
        <v>43</v>
      </c>
      <c r="F44" s="27" t="s">
        <v>43</v>
      </c>
      <c r="G44" s="28" t="s">
        <v>43</v>
      </c>
      <c r="H44" s="29"/>
      <c r="I44" s="29" t="s">
        <v>44</v>
      </c>
      <c r="J44" s="30">
        <v>1</v>
      </c>
      <c r="K44" s="31">
        <f>461</f>
        <v>461</v>
      </c>
      <c r="L44" s="32" t="s">
        <v>1085</v>
      </c>
      <c r="M44" s="31">
        <f>505</f>
        <v>505</v>
      </c>
      <c r="N44" s="32" t="s">
        <v>662</v>
      </c>
      <c r="O44" s="31">
        <f>450</f>
        <v>450</v>
      </c>
      <c r="P44" s="32" t="s">
        <v>663</v>
      </c>
      <c r="Q44" s="31">
        <f>465</f>
        <v>465</v>
      </c>
      <c r="R44" s="32" t="s">
        <v>661</v>
      </c>
      <c r="S44" s="33">
        <f>473.84</f>
        <v>473.84</v>
      </c>
      <c r="T44" s="30">
        <f>289547769</f>
        <v>289547769</v>
      </c>
      <c r="U44" s="30">
        <f>1846049</f>
        <v>1846049</v>
      </c>
      <c r="V44" s="30">
        <f>136593045528</f>
        <v>136593045528</v>
      </c>
      <c r="W44" s="30">
        <f>878224813</f>
        <v>878224813</v>
      </c>
      <c r="X44" s="34">
        <f>19</f>
        <v>19</v>
      </c>
    </row>
    <row r="45" spans="1:24">
      <c r="A45" s="25" t="s">
        <v>1179</v>
      </c>
      <c r="B45" s="25" t="s">
        <v>132</v>
      </c>
      <c r="C45" s="25" t="s">
        <v>888</v>
      </c>
      <c r="D45" s="25" t="s">
        <v>889</v>
      </c>
      <c r="E45" s="26" t="s">
        <v>43</v>
      </c>
      <c r="F45" s="27" t="s">
        <v>43</v>
      </c>
      <c r="G45" s="28" t="s">
        <v>43</v>
      </c>
      <c r="H45" s="29"/>
      <c r="I45" s="29" t="s">
        <v>44</v>
      </c>
      <c r="J45" s="30">
        <v>1</v>
      </c>
      <c r="K45" s="31">
        <f>564</f>
        <v>564</v>
      </c>
      <c r="L45" s="32" t="s">
        <v>1085</v>
      </c>
      <c r="M45" s="31">
        <f>620</f>
        <v>620</v>
      </c>
      <c r="N45" s="32" t="s">
        <v>662</v>
      </c>
      <c r="O45" s="31">
        <f>558</f>
        <v>558</v>
      </c>
      <c r="P45" s="32" t="s">
        <v>1079</v>
      </c>
      <c r="Q45" s="31">
        <f>563</f>
        <v>563</v>
      </c>
      <c r="R45" s="32" t="s">
        <v>661</v>
      </c>
      <c r="S45" s="33">
        <f>585.11</f>
        <v>585.11</v>
      </c>
      <c r="T45" s="30">
        <f>91210</f>
        <v>91210</v>
      </c>
      <c r="U45" s="30" t="str">
        <f>"－"</f>
        <v>－</v>
      </c>
      <c r="V45" s="30">
        <f>54303974</f>
        <v>54303974</v>
      </c>
      <c r="W45" s="30" t="str">
        <f>"－"</f>
        <v>－</v>
      </c>
      <c r="X45" s="34">
        <f>19</f>
        <v>19</v>
      </c>
    </row>
    <row r="46" spans="1:24">
      <c r="A46" s="25" t="s">
        <v>1179</v>
      </c>
      <c r="B46" s="25" t="s">
        <v>133</v>
      </c>
      <c r="C46" s="25" t="s">
        <v>134</v>
      </c>
      <c r="D46" s="25" t="s">
        <v>135</v>
      </c>
      <c r="E46" s="26" t="s">
        <v>43</v>
      </c>
      <c r="F46" s="27" t="s">
        <v>43</v>
      </c>
      <c r="G46" s="28" t="s">
        <v>43</v>
      </c>
      <c r="H46" s="29"/>
      <c r="I46" s="29" t="s">
        <v>44</v>
      </c>
      <c r="J46" s="30">
        <v>10</v>
      </c>
      <c r="K46" s="31">
        <f>567.8</f>
        <v>567.79999999999995</v>
      </c>
      <c r="L46" s="32" t="s">
        <v>1085</v>
      </c>
      <c r="M46" s="31">
        <f>612</f>
        <v>612</v>
      </c>
      <c r="N46" s="32" t="s">
        <v>662</v>
      </c>
      <c r="O46" s="31">
        <f>557</f>
        <v>557</v>
      </c>
      <c r="P46" s="32" t="s">
        <v>1085</v>
      </c>
      <c r="Q46" s="31">
        <f>560</f>
        <v>560</v>
      </c>
      <c r="R46" s="32" t="s">
        <v>661</v>
      </c>
      <c r="S46" s="33">
        <f>577.1</f>
        <v>577.1</v>
      </c>
      <c r="T46" s="30">
        <f>81210</f>
        <v>81210</v>
      </c>
      <c r="U46" s="30" t="str">
        <f>"－"</f>
        <v>－</v>
      </c>
      <c r="V46" s="30">
        <f>47338883</f>
        <v>47338883</v>
      </c>
      <c r="W46" s="30" t="str">
        <f>"－"</f>
        <v>－</v>
      </c>
      <c r="X46" s="34">
        <f>19</f>
        <v>19</v>
      </c>
    </row>
    <row r="47" spans="1:24">
      <c r="A47" s="25" t="s">
        <v>1179</v>
      </c>
      <c r="B47" s="25" t="s">
        <v>136</v>
      </c>
      <c r="C47" s="25" t="s">
        <v>137</v>
      </c>
      <c r="D47" s="25" t="s">
        <v>138</v>
      </c>
      <c r="E47" s="26" t="s">
        <v>43</v>
      </c>
      <c r="F47" s="27" t="s">
        <v>43</v>
      </c>
      <c r="G47" s="28" t="s">
        <v>43</v>
      </c>
      <c r="H47" s="29"/>
      <c r="I47" s="29" t="s">
        <v>44</v>
      </c>
      <c r="J47" s="30">
        <v>1</v>
      </c>
      <c r="K47" s="31">
        <f>232</f>
        <v>232</v>
      </c>
      <c r="L47" s="32" t="s">
        <v>1085</v>
      </c>
      <c r="M47" s="31">
        <f>244</f>
        <v>244</v>
      </c>
      <c r="N47" s="32" t="s">
        <v>662</v>
      </c>
      <c r="O47" s="31">
        <f>227</f>
        <v>227</v>
      </c>
      <c r="P47" s="32" t="s">
        <v>1075</v>
      </c>
      <c r="Q47" s="31">
        <f>228</f>
        <v>228</v>
      </c>
      <c r="R47" s="32" t="s">
        <v>661</v>
      </c>
      <c r="S47" s="33">
        <f>234.32</f>
        <v>234.32</v>
      </c>
      <c r="T47" s="30">
        <f>110880</f>
        <v>110880</v>
      </c>
      <c r="U47" s="30" t="str">
        <f>"－"</f>
        <v>－</v>
      </c>
      <c r="V47" s="30">
        <f>26026261</f>
        <v>26026261</v>
      </c>
      <c r="W47" s="30" t="str">
        <f>"－"</f>
        <v>－</v>
      </c>
      <c r="X47" s="34">
        <f>19</f>
        <v>19</v>
      </c>
    </row>
    <row r="48" spans="1:24">
      <c r="A48" s="25" t="s">
        <v>1179</v>
      </c>
      <c r="B48" s="25" t="s">
        <v>139</v>
      </c>
      <c r="C48" s="25" t="s">
        <v>140</v>
      </c>
      <c r="D48" s="25" t="s">
        <v>141</v>
      </c>
      <c r="E48" s="26" t="s">
        <v>43</v>
      </c>
      <c r="F48" s="27" t="s">
        <v>43</v>
      </c>
      <c r="G48" s="28" t="s">
        <v>43</v>
      </c>
      <c r="H48" s="29"/>
      <c r="I48" s="29" t="s">
        <v>44</v>
      </c>
      <c r="J48" s="30">
        <v>10</v>
      </c>
      <c r="K48" s="31">
        <f>2870</f>
        <v>2870</v>
      </c>
      <c r="L48" s="32" t="s">
        <v>1085</v>
      </c>
      <c r="M48" s="31">
        <f>2870</f>
        <v>2870</v>
      </c>
      <c r="N48" s="32" t="s">
        <v>1085</v>
      </c>
      <c r="O48" s="31">
        <f>2693</f>
        <v>2693</v>
      </c>
      <c r="P48" s="32" t="s">
        <v>662</v>
      </c>
      <c r="Q48" s="31">
        <f>2838</f>
        <v>2838</v>
      </c>
      <c r="R48" s="32" t="s">
        <v>661</v>
      </c>
      <c r="S48" s="33">
        <f>2783.32</f>
        <v>2783.32</v>
      </c>
      <c r="T48" s="30">
        <f>649330</f>
        <v>649330</v>
      </c>
      <c r="U48" s="30">
        <f>195600</f>
        <v>195600</v>
      </c>
      <c r="V48" s="30">
        <f>1818710989</f>
        <v>1818710989</v>
      </c>
      <c r="W48" s="30">
        <f>546070769</f>
        <v>546070769</v>
      </c>
      <c r="X48" s="34">
        <f>19</f>
        <v>19</v>
      </c>
    </row>
    <row r="49" spans="1:24">
      <c r="A49" s="25" t="s">
        <v>1179</v>
      </c>
      <c r="B49" s="25" t="s">
        <v>142</v>
      </c>
      <c r="C49" s="25" t="s">
        <v>143</v>
      </c>
      <c r="D49" s="25" t="s">
        <v>144</v>
      </c>
      <c r="E49" s="26" t="s">
        <v>43</v>
      </c>
      <c r="F49" s="27" t="s">
        <v>43</v>
      </c>
      <c r="G49" s="28" t="s">
        <v>43</v>
      </c>
      <c r="H49" s="29"/>
      <c r="I49" s="29" t="s">
        <v>44</v>
      </c>
      <c r="J49" s="30">
        <v>1</v>
      </c>
      <c r="K49" s="31">
        <f>25660</f>
        <v>25660</v>
      </c>
      <c r="L49" s="32" t="s">
        <v>1085</v>
      </c>
      <c r="M49" s="31">
        <f>25775</f>
        <v>25775</v>
      </c>
      <c r="N49" s="32" t="s">
        <v>1085</v>
      </c>
      <c r="O49" s="31">
        <f>24285</f>
        <v>24285</v>
      </c>
      <c r="P49" s="32" t="s">
        <v>662</v>
      </c>
      <c r="Q49" s="31">
        <f>25510</f>
        <v>25510</v>
      </c>
      <c r="R49" s="32" t="s">
        <v>661</v>
      </c>
      <c r="S49" s="33">
        <f>25027.37</f>
        <v>25027.37</v>
      </c>
      <c r="T49" s="30">
        <f>5593</f>
        <v>5593</v>
      </c>
      <c r="U49" s="30" t="str">
        <f>"－"</f>
        <v>－</v>
      </c>
      <c r="V49" s="30">
        <f>142699050</f>
        <v>142699050</v>
      </c>
      <c r="W49" s="30" t="str">
        <f>"－"</f>
        <v>－</v>
      </c>
      <c r="X49" s="34">
        <f>19</f>
        <v>19</v>
      </c>
    </row>
    <row r="50" spans="1:24">
      <c r="A50" s="25" t="s">
        <v>1179</v>
      </c>
      <c r="B50" s="25" t="s">
        <v>145</v>
      </c>
      <c r="C50" s="25" t="s">
        <v>146</v>
      </c>
      <c r="D50" s="25" t="s">
        <v>147</v>
      </c>
      <c r="E50" s="26" t="s">
        <v>43</v>
      </c>
      <c r="F50" s="27" t="s">
        <v>43</v>
      </c>
      <c r="G50" s="28" t="s">
        <v>43</v>
      </c>
      <c r="H50" s="29"/>
      <c r="I50" s="29" t="s">
        <v>44</v>
      </c>
      <c r="J50" s="30">
        <v>10</v>
      </c>
      <c r="K50" s="31">
        <f>288.3</f>
        <v>288.3</v>
      </c>
      <c r="L50" s="32" t="s">
        <v>1085</v>
      </c>
      <c r="M50" s="31">
        <f>289.4</f>
        <v>289.39999999999998</v>
      </c>
      <c r="N50" s="32" t="s">
        <v>661</v>
      </c>
      <c r="O50" s="31">
        <f>273.8</f>
        <v>273.8</v>
      </c>
      <c r="P50" s="32" t="s">
        <v>662</v>
      </c>
      <c r="Q50" s="31">
        <f>289.4</f>
        <v>289.39999999999998</v>
      </c>
      <c r="R50" s="32" t="s">
        <v>661</v>
      </c>
      <c r="S50" s="33">
        <f>283.22</f>
        <v>283.22000000000003</v>
      </c>
      <c r="T50" s="30">
        <f>62714960</f>
        <v>62714960</v>
      </c>
      <c r="U50" s="30">
        <f>22356630</f>
        <v>22356630</v>
      </c>
      <c r="V50" s="30">
        <f>17767057542</f>
        <v>17767057542</v>
      </c>
      <c r="W50" s="30">
        <f>6342388049</f>
        <v>6342388049</v>
      </c>
      <c r="X50" s="34">
        <f>19</f>
        <v>19</v>
      </c>
    </row>
    <row r="51" spans="1:24">
      <c r="A51" s="25" t="s">
        <v>1179</v>
      </c>
      <c r="B51" s="25" t="s">
        <v>148</v>
      </c>
      <c r="C51" s="25" t="s">
        <v>149</v>
      </c>
      <c r="D51" s="25" t="s">
        <v>150</v>
      </c>
      <c r="E51" s="26" t="s">
        <v>43</v>
      </c>
      <c r="F51" s="27" t="s">
        <v>43</v>
      </c>
      <c r="G51" s="28" t="s">
        <v>43</v>
      </c>
      <c r="H51" s="29"/>
      <c r="I51" s="29" t="s">
        <v>44</v>
      </c>
      <c r="J51" s="30">
        <v>1</v>
      </c>
      <c r="K51" s="31">
        <f>1733</f>
        <v>1733</v>
      </c>
      <c r="L51" s="32" t="s">
        <v>1085</v>
      </c>
      <c r="M51" s="31">
        <f>1789</f>
        <v>1789</v>
      </c>
      <c r="N51" s="32" t="s">
        <v>859</v>
      </c>
      <c r="O51" s="31">
        <f>1693</f>
        <v>1693</v>
      </c>
      <c r="P51" s="32" t="s">
        <v>756</v>
      </c>
      <c r="Q51" s="31">
        <f>1777</f>
        <v>1777</v>
      </c>
      <c r="R51" s="32" t="s">
        <v>661</v>
      </c>
      <c r="S51" s="33">
        <f>1726.21</f>
        <v>1726.21</v>
      </c>
      <c r="T51" s="30">
        <f>7546771</f>
        <v>7546771</v>
      </c>
      <c r="U51" s="30">
        <f>4215562</f>
        <v>4215562</v>
      </c>
      <c r="V51" s="30">
        <f>13162642222</f>
        <v>13162642222</v>
      </c>
      <c r="W51" s="30">
        <f>7358275545</f>
        <v>7358275545</v>
      </c>
      <c r="X51" s="34">
        <f>19</f>
        <v>19</v>
      </c>
    </row>
    <row r="52" spans="1:24">
      <c r="A52" s="25" t="s">
        <v>1179</v>
      </c>
      <c r="B52" s="25" t="s">
        <v>151</v>
      </c>
      <c r="C52" s="25" t="s">
        <v>152</v>
      </c>
      <c r="D52" s="25" t="s">
        <v>153</v>
      </c>
      <c r="E52" s="26" t="s">
        <v>43</v>
      </c>
      <c r="F52" s="27" t="s">
        <v>43</v>
      </c>
      <c r="G52" s="28" t="s">
        <v>43</v>
      </c>
      <c r="H52" s="29"/>
      <c r="I52" s="29" t="s">
        <v>44</v>
      </c>
      <c r="J52" s="30">
        <v>1</v>
      </c>
      <c r="K52" s="31">
        <f>2622</f>
        <v>2622</v>
      </c>
      <c r="L52" s="32" t="s">
        <v>1085</v>
      </c>
      <c r="M52" s="31">
        <f>2622</f>
        <v>2622</v>
      </c>
      <c r="N52" s="32" t="s">
        <v>1085</v>
      </c>
      <c r="O52" s="31">
        <f>2489</f>
        <v>2489</v>
      </c>
      <c r="P52" s="32" t="s">
        <v>662</v>
      </c>
      <c r="Q52" s="31">
        <f>2615</f>
        <v>2615</v>
      </c>
      <c r="R52" s="32" t="s">
        <v>661</v>
      </c>
      <c r="S52" s="33">
        <f>2560.16</f>
        <v>2560.16</v>
      </c>
      <c r="T52" s="30">
        <f>26834</f>
        <v>26834</v>
      </c>
      <c r="U52" s="30">
        <f>7777</f>
        <v>7777</v>
      </c>
      <c r="V52" s="30">
        <f>68364977</f>
        <v>68364977</v>
      </c>
      <c r="W52" s="30">
        <f>20306813</f>
        <v>20306813</v>
      </c>
      <c r="X52" s="34">
        <f>19</f>
        <v>19</v>
      </c>
    </row>
    <row r="53" spans="1:24">
      <c r="A53" s="25" t="s">
        <v>1179</v>
      </c>
      <c r="B53" s="25" t="s">
        <v>154</v>
      </c>
      <c r="C53" s="25" t="s">
        <v>155</v>
      </c>
      <c r="D53" s="25" t="s">
        <v>156</v>
      </c>
      <c r="E53" s="26" t="s">
        <v>43</v>
      </c>
      <c r="F53" s="27" t="s">
        <v>43</v>
      </c>
      <c r="G53" s="28" t="s">
        <v>43</v>
      </c>
      <c r="H53" s="29"/>
      <c r="I53" s="29" t="s">
        <v>44</v>
      </c>
      <c r="J53" s="30">
        <v>1</v>
      </c>
      <c r="K53" s="31">
        <f>3870</f>
        <v>3870</v>
      </c>
      <c r="L53" s="32" t="s">
        <v>1085</v>
      </c>
      <c r="M53" s="31">
        <f>3875</f>
        <v>3875</v>
      </c>
      <c r="N53" s="32" t="s">
        <v>1085</v>
      </c>
      <c r="O53" s="31">
        <f>3615</f>
        <v>3615</v>
      </c>
      <c r="P53" s="32" t="s">
        <v>662</v>
      </c>
      <c r="Q53" s="31">
        <f>3810</f>
        <v>3810</v>
      </c>
      <c r="R53" s="32" t="s">
        <v>661</v>
      </c>
      <c r="S53" s="33">
        <f>3738.95</f>
        <v>3738.95</v>
      </c>
      <c r="T53" s="30">
        <f>1722644</f>
        <v>1722644</v>
      </c>
      <c r="U53" s="30">
        <f>628277</f>
        <v>628277</v>
      </c>
      <c r="V53" s="30">
        <f>6420234973</f>
        <v>6420234973</v>
      </c>
      <c r="W53" s="30">
        <f>2332995173</f>
        <v>2332995173</v>
      </c>
      <c r="X53" s="34">
        <f>19</f>
        <v>19</v>
      </c>
    </row>
    <row r="54" spans="1:24">
      <c r="A54" s="25" t="s">
        <v>1179</v>
      </c>
      <c r="B54" s="25" t="s">
        <v>157</v>
      </c>
      <c r="C54" s="25" t="s">
        <v>890</v>
      </c>
      <c r="D54" s="25" t="s">
        <v>891</v>
      </c>
      <c r="E54" s="26" t="s">
        <v>43</v>
      </c>
      <c r="F54" s="27" t="s">
        <v>43</v>
      </c>
      <c r="G54" s="28" t="s">
        <v>43</v>
      </c>
      <c r="H54" s="29"/>
      <c r="I54" s="29" t="s">
        <v>44</v>
      </c>
      <c r="J54" s="30">
        <v>1</v>
      </c>
      <c r="K54" s="31">
        <f>37120</f>
        <v>37120</v>
      </c>
      <c r="L54" s="32" t="s">
        <v>1085</v>
      </c>
      <c r="M54" s="31">
        <f>37120</f>
        <v>37120</v>
      </c>
      <c r="N54" s="32" t="s">
        <v>1085</v>
      </c>
      <c r="O54" s="31">
        <f>35610</f>
        <v>35610</v>
      </c>
      <c r="P54" s="32" t="s">
        <v>1081</v>
      </c>
      <c r="Q54" s="31">
        <f>35640</f>
        <v>35640</v>
      </c>
      <c r="R54" s="32" t="s">
        <v>1081</v>
      </c>
      <c r="S54" s="33">
        <f>36230</f>
        <v>36230</v>
      </c>
      <c r="T54" s="30">
        <f>14</f>
        <v>14</v>
      </c>
      <c r="U54" s="30" t="str">
        <f>"－"</f>
        <v>－</v>
      </c>
      <c r="V54" s="30">
        <f>500400</f>
        <v>500400</v>
      </c>
      <c r="W54" s="30" t="str">
        <f>"－"</f>
        <v>－</v>
      </c>
      <c r="X54" s="34">
        <f>3</f>
        <v>3</v>
      </c>
    </row>
    <row r="55" spans="1:24">
      <c r="A55" s="25" t="s">
        <v>1179</v>
      </c>
      <c r="B55" s="25" t="s">
        <v>158</v>
      </c>
      <c r="C55" s="25" t="s">
        <v>159</v>
      </c>
      <c r="D55" s="25" t="s">
        <v>160</v>
      </c>
      <c r="E55" s="26" t="s">
        <v>43</v>
      </c>
      <c r="F55" s="27" t="s">
        <v>43</v>
      </c>
      <c r="G55" s="28" t="s">
        <v>43</v>
      </c>
      <c r="H55" s="29"/>
      <c r="I55" s="29" t="s">
        <v>44</v>
      </c>
      <c r="J55" s="30">
        <v>1</v>
      </c>
      <c r="K55" s="31">
        <f>27995</f>
        <v>27995</v>
      </c>
      <c r="L55" s="32" t="s">
        <v>1079</v>
      </c>
      <c r="M55" s="31">
        <f>32980</f>
        <v>32980</v>
      </c>
      <c r="N55" s="32" t="s">
        <v>1075</v>
      </c>
      <c r="O55" s="31">
        <f>27295</f>
        <v>27295</v>
      </c>
      <c r="P55" s="32" t="s">
        <v>738</v>
      </c>
      <c r="Q55" s="31">
        <f>27660</f>
        <v>27660</v>
      </c>
      <c r="R55" s="32" t="s">
        <v>661</v>
      </c>
      <c r="S55" s="33">
        <f>28864.44</f>
        <v>28864.44</v>
      </c>
      <c r="T55" s="30">
        <f>317</f>
        <v>317</v>
      </c>
      <c r="U55" s="30">
        <f>100</f>
        <v>100</v>
      </c>
      <c r="V55" s="30">
        <f>9345732</f>
        <v>9345732</v>
      </c>
      <c r="W55" s="30">
        <f>2750482</f>
        <v>2750482</v>
      </c>
      <c r="X55" s="34">
        <f>9</f>
        <v>9</v>
      </c>
    </row>
    <row r="56" spans="1:24">
      <c r="A56" s="25" t="s">
        <v>1179</v>
      </c>
      <c r="B56" s="25" t="s">
        <v>161</v>
      </c>
      <c r="C56" s="25" t="s">
        <v>162</v>
      </c>
      <c r="D56" s="25" t="s">
        <v>163</v>
      </c>
      <c r="E56" s="26" t="s">
        <v>43</v>
      </c>
      <c r="F56" s="27" t="s">
        <v>43</v>
      </c>
      <c r="G56" s="28" t="s">
        <v>43</v>
      </c>
      <c r="H56" s="29"/>
      <c r="I56" s="29" t="s">
        <v>44</v>
      </c>
      <c r="J56" s="30">
        <v>1</v>
      </c>
      <c r="K56" s="31">
        <f>2924</f>
        <v>2924</v>
      </c>
      <c r="L56" s="32" t="s">
        <v>1085</v>
      </c>
      <c r="M56" s="31">
        <f>2924</f>
        <v>2924</v>
      </c>
      <c r="N56" s="32" t="s">
        <v>1085</v>
      </c>
      <c r="O56" s="31">
        <f>2709</f>
        <v>2709</v>
      </c>
      <c r="P56" s="32" t="s">
        <v>662</v>
      </c>
      <c r="Q56" s="31">
        <f>2840</f>
        <v>2840</v>
      </c>
      <c r="R56" s="32" t="s">
        <v>661</v>
      </c>
      <c r="S56" s="33">
        <f>2799.37</f>
        <v>2799.37</v>
      </c>
      <c r="T56" s="30">
        <f>5212</f>
        <v>5212</v>
      </c>
      <c r="U56" s="30">
        <f>4</f>
        <v>4</v>
      </c>
      <c r="V56" s="30">
        <f>14610526</f>
        <v>14610526</v>
      </c>
      <c r="W56" s="30">
        <f>11289</f>
        <v>11289</v>
      </c>
      <c r="X56" s="34">
        <f>19</f>
        <v>19</v>
      </c>
    </row>
    <row r="57" spans="1:24">
      <c r="A57" s="25" t="s">
        <v>1179</v>
      </c>
      <c r="B57" s="25" t="s">
        <v>164</v>
      </c>
      <c r="C57" s="25" t="s">
        <v>165</v>
      </c>
      <c r="D57" s="25" t="s">
        <v>166</v>
      </c>
      <c r="E57" s="26" t="s">
        <v>43</v>
      </c>
      <c r="F57" s="27" t="s">
        <v>43</v>
      </c>
      <c r="G57" s="28" t="s">
        <v>43</v>
      </c>
      <c r="H57" s="29"/>
      <c r="I57" s="29" t="s">
        <v>44</v>
      </c>
      <c r="J57" s="30">
        <v>1</v>
      </c>
      <c r="K57" s="31">
        <f>1639</f>
        <v>1639</v>
      </c>
      <c r="L57" s="32" t="s">
        <v>1085</v>
      </c>
      <c r="M57" s="31">
        <f>1643</f>
        <v>1643</v>
      </c>
      <c r="N57" s="32" t="s">
        <v>1079</v>
      </c>
      <c r="O57" s="31">
        <f>1603</f>
        <v>1603</v>
      </c>
      <c r="P57" s="32" t="s">
        <v>1080</v>
      </c>
      <c r="Q57" s="31">
        <f>1632</f>
        <v>1632</v>
      </c>
      <c r="R57" s="32" t="s">
        <v>661</v>
      </c>
      <c r="S57" s="33">
        <f>1626.05</f>
        <v>1626.05</v>
      </c>
      <c r="T57" s="30">
        <f>7223693</f>
        <v>7223693</v>
      </c>
      <c r="U57" s="30">
        <f>5557049</f>
        <v>5557049</v>
      </c>
      <c r="V57" s="30">
        <f>11727398505</f>
        <v>11727398505</v>
      </c>
      <c r="W57" s="30">
        <f>9019170269</f>
        <v>9019170269</v>
      </c>
      <c r="X57" s="34">
        <f>19</f>
        <v>19</v>
      </c>
    </row>
    <row r="58" spans="1:24">
      <c r="A58" s="25" t="s">
        <v>1179</v>
      </c>
      <c r="B58" s="25" t="s">
        <v>167</v>
      </c>
      <c r="C58" s="25" t="s">
        <v>168</v>
      </c>
      <c r="D58" s="25" t="s">
        <v>169</v>
      </c>
      <c r="E58" s="26" t="s">
        <v>43</v>
      </c>
      <c r="F58" s="27" t="s">
        <v>43</v>
      </c>
      <c r="G58" s="28" t="s">
        <v>43</v>
      </c>
      <c r="H58" s="29"/>
      <c r="I58" s="29" t="s">
        <v>44</v>
      </c>
      <c r="J58" s="30">
        <v>1</v>
      </c>
      <c r="K58" s="31">
        <f>2883</f>
        <v>2883</v>
      </c>
      <c r="L58" s="32" t="s">
        <v>1085</v>
      </c>
      <c r="M58" s="31">
        <f>2883</f>
        <v>2883</v>
      </c>
      <c r="N58" s="32" t="s">
        <v>1085</v>
      </c>
      <c r="O58" s="31">
        <f>2747</f>
        <v>2747</v>
      </c>
      <c r="P58" s="32" t="s">
        <v>739</v>
      </c>
      <c r="Q58" s="31">
        <f>2837</f>
        <v>2837</v>
      </c>
      <c r="R58" s="32" t="s">
        <v>755</v>
      </c>
      <c r="S58" s="33">
        <f>2801.38</f>
        <v>2801.38</v>
      </c>
      <c r="T58" s="30">
        <f>223</f>
        <v>223</v>
      </c>
      <c r="U58" s="30">
        <f>2</f>
        <v>2</v>
      </c>
      <c r="V58" s="30">
        <f>623806</f>
        <v>623806</v>
      </c>
      <c r="W58" s="30">
        <f>5591</f>
        <v>5591</v>
      </c>
      <c r="X58" s="34">
        <f>16</f>
        <v>16</v>
      </c>
    </row>
    <row r="59" spans="1:24">
      <c r="A59" s="25" t="s">
        <v>1179</v>
      </c>
      <c r="B59" s="25" t="s">
        <v>170</v>
      </c>
      <c r="C59" s="25" t="s">
        <v>171</v>
      </c>
      <c r="D59" s="25" t="s">
        <v>172</v>
      </c>
      <c r="E59" s="26" t="s">
        <v>43</v>
      </c>
      <c r="F59" s="27" t="s">
        <v>43</v>
      </c>
      <c r="G59" s="28" t="s">
        <v>43</v>
      </c>
      <c r="H59" s="29"/>
      <c r="I59" s="29" t="s">
        <v>44</v>
      </c>
      <c r="J59" s="30">
        <v>10</v>
      </c>
      <c r="K59" s="31">
        <f>2827.5</f>
        <v>2827.5</v>
      </c>
      <c r="L59" s="32" t="s">
        <v>1085</v>
      </c>
      <c r="M59" s="31">
        <f>2827.5</f>
        <v>2827.5</v>
      </c>
      <c r="N59" s="32" t="s">
        <v>1085</v>
      </c>
      <c r="O59" s="31">
        <f>2685</f>
        <v>2685</v>
      </c>
      <c r="P59" s="32" t="s">
        <v>662</v>
      </c>
      <c r="Q59" s="31">
        <f>2820.5</f>
        <v>2820.5</v>
      </c>
      <c r="R59" s="32" t="s">
        <v>661</v>
      </c>
      <c r="S59" s="33">
        <f>2764.16</f>
        <v>2764.16</v>
      </c>
      <c r="T59" s="30">
        <f>2610</f>
        <v>2610</v>
      </c>
      <c r="U59" s="30" t="str">
        <f>"－"</f>
        <v>－</v>
      </c>
      <c r="V59" s="30">
        <f>7231065</f>
        <v>7231065</v>
      </c>
      <c r="W59" s="30" t="str">
        <f>"－"</f>
        <v>－</v>
      </c>
      <c r="X59" s="34">
        <f>19</f>
        <v>19</v>
      </c>
    </row>
    <row r="60" spans="1:24">
      <c r="A60" s="25" t="s">
        <v>1179</v>
      </c>
      <c r="B60" s="25" t="s">
        <v>173</v>
      </c>
      <c r="C60" s="25" t="s">
        <v>174</v>
      </c>
      <c r="D60" s="25" t="s">
        <v>175</v>
      </c>
      <c r="E60" s="26" t="s">
        <v>43</v>
      </c>
      <c r="F60" s="27" t="s">
        <v>43</v>
      </c>
      <c r="G60" s="28" t="s">
        <v>43</v>
      </c>
      <c r="H60" s="29"/>
      <c r="I60" s="29" t="s">
        <v>44</v>
      </c>
      <c r="J60" s="30">
        <v>1</v>
      </c>
      <c r="K60" s="31">
        <f>40520</f>
        <v>40520</v>
      </c>
      <c r="L60" s="32" t="s">
        <v>755</v>
      </c>
      <c r="M60" s="31">
        <f>40890</f>
        <v>40890</v>
      </c>
      <c r="N60" s="32" t="s">
        <v>755</v>
      </c>
      <c r="O60" s="31">
        <f>40190</f>
        <v>40190</v>
      </c>
      <c r="P60" s="32" t="s">
        <v>755</v>
      </c>
      <c r="Q60" s="31">
        <f>40190</f>
        <v>40190</v>
      </c>
      <c r="R60" s="32" t="s">
        <v>755</v>
      </c>
      <c r="S60" s="33">
        <f>40190</f>
        <v>40190</v>
      </c>
      <c r="T60" s="30">
        <f>23</f>
        <v>23</v>
      </c>
      <c r="U60" s="30" t="str">
        <f>"－"</f>
        <v>－</v>
      </c>
      <c r="V60" s="30">
        <f>934900</f>
        <v>934900</v>
      </c>
      <c r="W60" s="30" t="str">
        <f>"－"</f>
        <v>－</v>
      </c>
      <c r="X60" s="34">
        <f>1</f>
        <v>1</v>
      </c>
    </row>
    <row r="61" spans="1:24">
      <c r="A61" s="25" t="s">
        <v>1179</v>
      </c>
      <c r="B61" s="25" t="s">
        <v>176</v>
      </c>
      <c r="C61" s="25" t="s">
        <v>177</v>
      </c>
      <c r="D61" s="25" t="s">
        <v>178</v>
      </c>
      <c r="E61" s="26" t="s">
        <v>43</v>
      </c>
      <c r="F61" s="27" t="s">
        <v>43</v>
      </c>
      <c r="G61" s="28" t="s">
        <v>43</v>
      </c>
      <c r="H61" s="29"/>
      <c r="I61" s="29" t="s">
        <v>44</v>
      </c>
      <c r="J61" s="30">
        <v>1</v>
      </c>
      <c r="K61" s="31">
        <f>24265</f>
        <v>24265</v>
      </c>
      <c r="L61" s="32" t="s">
        <v>1085</v>
      </c>
      <c r="M61" s="31">
        <f>26240</f>
        <v>26240</v>
      </c>
      <c r="N61" s="32" t="s">
        <v>1077</v>
      </c>
      <c r="O61" s="31">
        <f>23290</f>
        <v>23290</v>
      </c>
      <c r="P61" s="32" t="s">
        <v>739</v>
      </c>
      <c r="Q61" s="31">
        <f>23415</f>
        <v>23415</v>
      </c>
      <c r="R61" s="32" t="s">
        <v>661</v>
      </c>
      <c r="S61" s="33">
        <f>23601.84</f>
        <v>23601.84</v>
      </c>
      <c r="T61" s="30">
        <f>22250</f>
        <v>22250</v>
      </c>
      <c r="U61" s="30">
        <f>1502</f>
        <v>1502</v>
      </c>
      <c r="V61" s="30">
        <f>530702325</f>
        <v>530702325</v>
      </c>
      <c r="W61" s="30">
        <f>35137725</f>
        <v>35137725</v>
      </c>
      <c r="X61" s="34">
        <f>19</f>
        <v>19</v>
      </c>
    </row>
    <row r="62" spans="1:24">
      <c r="A62" s="25" t="s">
        <v>1179</v>
      </c>
      <c r="B62" s="25" t="s">
        <v>179</v>
      </c>
      <c r="C62" s="25" t="s">
        <v>180</v>
      </c>
      <c r="D62" s="25" t="s">
        <v>181</v>
      </c>
      <c r="E62" s="26" t="s">
        <v>43</v>
      </c>
      <c r="F62" s="27" t="s">
        <v>43</v>
      </c>
      <c r="G62" s="28" t="s">
        <v>43</v>
      </c>
      <c r="H62" s="29"/>
      <c r="I62" s="29" t="s">
        <v>44</v>
      </c>
      <c r="J62" s="30">
        <v>1</v>
      </c>
      <c r="K62" s="31">
        <f>12695</f>
        <v>12695</v>
      </c>
      <c r="L62" s="32" t="s">
        <v>1085</v>
      </c>
      <c r="M62" s="31">
        <f>12710</f>
        <v>12710</v>
      </c>
      <c r="N62" s="32" t="s">
        <v>1085</v>
      </c>
      <c r="O62" s="31">
        <f>12315</f>
        <v>12315</v>
      </c>
      <c r="P62" s="32" t="s">
        <v>851</v>
      </c>
      <c r="Q62" s="31">
        <f>12535</f>
        <v>12535</v>
      </c>
      <c r="R62" s="32" t="s">
        <v>661</v>
      </c>
      <c r="S62" s="33">
        <f>12506.05</f>
        <v>12506.05</v>
      </c>
      <c r="T62" s="30">
        <f>117346</f>
        <v>117346</v>
      </c>
      <c r="U62" s="30">
        <f>47198</f>
        <v>47198</v>
      </c>
      <c r="V62" s="30">
        <f>1452290572</f>
        <v>1452290572</v>
      </c>
      <c r="W62" s="30">
        <f>582835962</f>
        <v>582835962</v>
      </c>
      <c r="X62" s="34">
        <f>19</f>
        <v>19</v>
      </c>
    </row>
    <row r="63" spans="1:24">
      <c r="A63" s="25" t="s">
        <v>1179</v>
      </c>
      <c r="B63" s="25" t="s">
        <v>182</v>
      </c>
      <c r="C63" s="25" t="s">
        <v>892</v>
      </c>
      <c r="D63" s="25" t="s">
        <v>893</v>
      </c>
      <c r="E63" s="26" t="s">
        <v>43</v>
      </c>
      <c r="F63" s="27" t="s">
        <v>43</v>
      </c>
      <c r="G63" s="28" t="s">
        <v>43</v>
      </c>
      <c r="H63" s="29"/>
      <c r="I63" s="29" t="s">
        <v>44</v>
      </c>
      <c r="J63" s="30">
        <v>1</v>
      </c>
      <c r="K63" s="31">
        <f>1730</f>
        <v>1730</v>
      </c>
      <c r="L63" s="32" t="s">
        <v>1085</v>
      </c>
      <c r="M63" s="31">
        <f>1786</f>
        <v>1786</v>
      </c>
      <c r="N63" s="32" t="s">
        <v>859</v>
      </c>
      <c r="O63" s="31">
        <f>1692</f>
        <v>1692</v>
      </c>
      <c r="P63" s="32" t="s">
        <v>851</v>
      </c>
      <c r="Q63" s="31">
        <f>1773</f>
        <v>1773</v>
      </c>
      <c r="R63" s="32" t="s">
        <v>661</v>
      </c>
      <c r="S63" s="33">
        <f>1724.58</f>
        <v>1724.58</v>
      </c>
      <c r="T63" s="30">
        <f>2669130</f>
        <v>2669130</v>
      </c>
      <c r="U63" s="30">
        <f>1056915</f>
        <v>1056915</v>
      </c>
      <c r="V63" s="30">
        <f>4653726736</f>
        <v>4653726736</v>
      </c>
      <c r="W63" s="30">
        <f>1850575296</f>
        <v>1850575296</v>
      </c>
      <c r="X63" s="34">
        <f>19</f>
        <v>19</v>
      </c>
    </row>
    <row r="64" spans="1:24">
      <c r="A64" s="25" t="s">
        <v>1179</v>
      </c>
      <c r="B64" s="25" t="s">
        <v>183</v>
      </c>
      <c r="C64" s="25" t="s">
        <v>184</v>
      </c>
      <c r="D64" s="25" t="s">
        <v>185</v>
      </c>
      <c r="E64" s="26" t="s">
        <v>43</v>
      </c>
      <c r="F64" s="27" t="s">
        <v>43</v>
      </c>
      <c r="G64" s="28" t="s">
        <v>43</v>
      </c>
      <c r="H64" s="29"/>
      <c r="I64" s="29" t="s">
        <v>44</v>
      </c>
      <c r="J64" s="30">
        <v>1</v>
      </c>
      <c r="K64" s="31">
        <f>2330</f>
        <v>2330</v>
      </c>
      <c r="L64" s="32" t="s">
        <v>1085</v>
      </c>
      <c r="M64" s="31">
        <f>2331</f>
        <v>2331</v>
      </c>
      <c r="N64" s="32" t="s">
        <v>1085</v>
      </c>
      <c r="O64" s="31">
        <f>2204</f>
        <v>2204</v>
      </c>
      <c r="P64" s="32" t="s">
        <v>662</v>
      </c>
      <c r="Q64" s="31">
        <f>2304</f>
        <v>2304</v>
      </c>
      <c r="R64" s="32" t="s">
        <v>661</v>
      </c>
      <c r="S64" s="33">
        <f>2269.68</f>
        <v>2269.6799999999998</v>
      </c>
      <c r="T64" s="30">
        <f>10239966</f>
        <v>10239966</v>
      </c>
      <c r="U64" s="30">
        <f>400554</f>
        <v>400554</v>
      </c>
      <c r="V64" s="30">
        <f>23228824125</f>
        <v>23228824125</v>
      </c>
      <c r="W64" s="30">
        <f>905642437</f>
        <v>905642437</v>
      </c>
      <c r="X64" s="34">
        <f>19</f>
        <v>19</v>
      </c>
    </row>
    <row r="65" spans="1:24">
      <c r="A65" s="25" t="s">
        <v>1179</v>
      </c>
      <c r="B65" s="25" t="s">
        <v>186</v>
      </c>
      <c r="C65" s="25" t="s">
        <v>187</v>
      </c>
      <c r="D65" s="25" t="s">
        <v>188</v>
      </c>
      <c r="E65" s="26" t="s">
        <v>43</v>
      </c>
      <c r="F65" s="27" t="s">
        <v>43</v>
      </c>
      <c r="G65" s="28" t="s">
        <v>43</v>
      </c>
      <c r="H65" s="29"/>
      <c r="I65" s="29" t="s">
        <v>44</v>
      </c>
      <c r="J65" s="30">
        <v>10</v>
      </c>
      <c r="K65" s="31">
        <f>7380</f>
        <v>7380</v>
      </c>
      <c r="L65" s="32" t="s">
        <v>1081</v>
      </c>
      <c r="M65" s="31">
        <f>7680</f>
        <v>7680</v>
      </c>
      <c r="N65" s="32" t="s">
        <v>1078</v>
      </c>
      <c r="O65" s="31">
        <f>7380</f>
        <v>7380</v>
      </c>
      <c r="P65" s="32" t="s">
        <v>1081</v>
      </c>
      <c r="Q65" s="31">
        <f>7680</f>
        <v>7680</v>
      </c>
      <c r="R65" s="32" t="s">
        <v>1078</v>
      </c>
      <c r="S65" s="33">
        <f>7530</f>
        <v>7530</v>
      </c>
      <c r="T65" s="30">
        <f>20</f>
        <v>20</v>
      </c>
      <c r="U65" s="30" t="str">
        <f>"－"</f>
        <v>－</v>
      </c>
      <c r="V65" s="30">
        <f>150600</f>
        <v>150600</v>
      </c>
      <c r="W65" s="30" t="str">
        <f>"－"</f>
        <v>－</v>
      </c>
      <c r="X65" s="34">
        <f>2</f>
        <v>2</v>
      </c>
    </row>
    <row r="66" spans="1:24">
      <c r="A66" s="25" t="s">
        <v>1179</v>
      </c>
      <c r="B66" s="25" t="s">
        <v>189</v>
      </c>
      <c r="C66" s="25" t="s">
        <v>190</v>
      </c>
      <c r="D66" s="25" t="s">
        <v>191</v>
      </c>
      <c r="E66" s="26" t="s">
        <v>43</v>
      </c>
      <c r="F66" s="27" t="s">
        <v>43</v>
      </c>
      <c r="G66" s="28" t="s">
        <v>43</v>
      </c>
      <c r="H66" s="29"/>
      <c r="I66" s="29" t="s">
        <v>44</v>
      </c>
      <c r="J66" s="30">
        <v>1</v>
      </c>
      <c r="K66" s="31">
        <f>20455</f>
        <v>20455</v>
      </c>
      <c r="L66" s="32" t="s">
        <v>1085</v>
      </c>
      <c r="M66" s="31">
        <f>20455</f>
        <v>20455</v>
      </c>
      <c r="N66" s="32" t="s">
        <v>1085</v>
      </c>
      <c r="O66" s="31">
        <f>19000</f>
        <v>19000</v>
      </c>
      <c r="P66" s="32" t="s">
        <v>662</v>
      </c>
      <c r="Q66" s="31">
        <f>19985</f>
        <v>19985</v>
      </c>
      <c r="R66" s="32" t="s">
        <v>661</v>
      </c>
      <c r="S66" s="33">
        <f>19617.63</f>
        <v>19617.63</v>
      </c>
      <c r="T66" s="30">
        <f>837</f>
        <v>837</v>
      </c>
      <c r="U66" s="30">
        <f>2</f>
        <v>2</v>
      </c>
      <c r="V66" s="30">
        <f>16498000</f>
        <v>16498000</v>
      </c>
      <c r="W66" s="30">
        <f>38315</f>
        <v>38315</v>
      </c>
      <c r="X66" s="34">
        <f>19</f>
        <v>19</v>
      </c>
    </row>
    <row r="67" spans="1:24">
      <c r="A67" s="25" t="s">
        <v>1179</v>
      </c>
      <c r="B67" s="25" t="s">
        <v>192</v>
      </c>
      <c r="C67" s="25" t="s">
        <v>193</v>
      </c>
      <c r="D67" s="25" t="s">
        <v>194</v>
      </c>
      <c r="E67" s="26" t="s">
        <v>43</v>
      </c>
      <c r="F67" s="27" t="s">
        <v>43</v>
      </c>
      <c r="G67" s="28" t="s">
        <v>43</v>
      </c>
      <c r="H67" s="29"/>
      <c r="I67" s="29" t="s">
        <v>44</v>
      </c>
      <c r="J67" s="30">
        <v>1</v>
      </c>
      <c r="K67" s="31">
        <f>31770</f>
        <v>31770</v>
      </c>
      <c r="L67" s="32" t="s">
        <v>1085</v>
      </c>
      <c r="M67" s="31">
        <f>32060</f>
        <v>32060</v>
      </c>
      <c r="N67" s="32" t="s">
        <v>1079</v>
      </c>
      <c r="O67" s="31">
        <f>30020</f>
        <v>30020</v>
      </c>
      <c r="P67" s="32" t="s">
        <v>662</v>
      </c>
      <c r="Q67" s="31">
        <f>31390</f>
        <v>31390</v>
      </c>
      <c r="R67" s="32" t="s">
        <v>661</v>
      </c>
      <c r="S67" s="33">
        <f>30834.21</f>
        <v>30834.21</v>
      </c>
      <c r="T67" s="30">
        <f>55596</f>
        <v>55596</v>
      </c>
      <c r="U67" s="30">
        <f>32282</f>
        <v>32282</v>
      </c>
      <c r="V67" s="30">
        <f>1703496600</f>
        <v>1703496600</v>
      </c>
      <c r="W67" s="30">
        <f>985397620</f>
        <v>985397620</v>
      </c>
      <c r="X67" s="34">
        <f>19</f>
        <v>19</v>
      </c>
    </row>
    <row r="68" spans="1:24">
      <c r="A68" s="25" t="s">
        <v>1179</v>
      </c>
      <c r="B68" s="25" t="s">
        <v>195</v>
      </c>
      <c r="C68" s="25" t="s">
        <v>196</v>
      </c>
      <c r="D68" s="25" t="s">
        <v>197</v>
      </c>
      <c r="E68" s="26" t="s">
        <v>43</v>
      </c>
      <c r="F68" s="27" t="s">
        <v>43</v>
      </c>
      <c r="G68" s="28" t="s">
        <v>43</v>
      </c>
      <c r="H68" s="29"/>
      <c r="I68" s="29" t="s">
        <v>44</v>
      </c>
      <c r="J68" s="30">
        <v>10</v>
      </c>
      <c r="K68" s="31">
        <f>10500</f>
        <v>10500</v>
      </c>
      <c r="L68" s="32" t="s">
        <v>1085</v>
      </c>
      <c r="M68" s="31">
        <f>10595</f>
        <v>10595</v>
      </c>
      <c r="N68" s="32" t="s">
        <v>1077</v>
      </c>
      <c r="O68" s="31">
        <f>10045</f>
        <v>10045</v>
      </c>
      <c r="P68" s="32" t="s">
        <v>662</v>
      </c>
      <c r="Q68" s="31">
        <f>10070</f>
        <v>10070</v>
      </c>
      <c r="R68" s="32" t="s">
        <v>661</v>
      </c>
      <c r="S68" s="33">
        <f>10190.26</f>
        <v>10190.26</v>
      </c>
      <c r="T68" s="30">
        <f>11880</f>
        <v>11880</v>
      </c>
      <c r="U68" s="30">
        <f>80</f>
        <v>80</v>
      </c>
      <c r="V68" s="30">
        <f>121963150</f>
        <v>121963150</v>
      </c>
      <c r="W68" s="30">
        <f>814800</f>
        <v>814800</v>
      </c>
      <c r="X68" s="34">
        <f>19</f>
        <v>19</v>
      </c>
    </row>
    <row r="69" spans="1:24">
      <c r="A69" s="25" t="s">
        <v>1179</v>
      </c>
      <c r="B69" s="25" t="s">
        <v>198</v>
      </c>
      <c r="C69" s="25" t="s">
        <v>199</v>
      </c>
      <c r="D69" s="25" t="s">
        <v>200</v>
      </c>
      <c r="E69" s="26" t="s">
        <v>43</v>
      </c>
      <c r="F69" s="27" t="s">
        <v>43</v>
      </c>
      <c r="G69" s="28" t="s">
        <v>43</v>
      </c>
      <c r="H69" s="29"/>
      <c r="I69" s="29" t="s">
        <v>44</v>
      </c>
      <c r="J69" s="30">
        <v>1</v>
      </c>
      <c r="K69" s="31">
        <f>1767</f>
        <v>1767</v>
      </c>
      <c r="L69" s="32" t="s">
        <v>1085</v>
      </c>
      <c r="M69" s="31">
        <f>1774</f>
        <v>1774</v>
      </c>
      <c r="N69" s="32" t="s">
        <v>1085</v>
      </c>
      <c r="O69" s="31">
        <f>1712</f>
        <v>1712</v>
      </c>
      <c r="P69" s="32" t="s">
        <v>1080</v>
      </c>
      <c r="Q69" s="31">
        <f>1751</f>
        <v>1751</v>
      </c>
      <c r="R69" s="32" t="s">
        <v>661</v>
      </c>
      <c r="S69" s="33">
        <f>1741.89</f>
        <v>1741.89</v>
      </c>
      <c r="T69" s="30">
        <f>1438988</f>
        <v>1438988</v>
      </c>
      <c r="U69" s="30">
        <f>984646</f>
        <v>984646</v>
      </c>
      <c r="V69" s="30">
        <f>2509407385</f>
        <v>2509407385</v>
      </c>
      <c r="W69" s="30">
        <f>1717278183</f>
        <v>1717278183</v>
      </c>
      <c r="X69" s="34">
        <f>19</f>
        <v>19</v>
      </c>
    </row>
    <row r="70" spans="1:24">
      <c r="A70" s="25" t="s">
        <v>1179</v>
      </c>
      <c r="B70" s="25" t="s">
        <v>201</v>
      </c>
      <c r="C70" s="25" t="s">
        <v>202</v>
      </c>
      <c r="D70" s="25" t="s">
        <v>203</v>
      </c>
      <c r="E70" s="26" t="s">
        <v>43</v>
      </c>
      <c r="F70" s="27" t="s">
        <v>43</v>
      </c>
      <c r="G70" s="28" t="s">
        <v>43</v>
      </c>
      <c r="H70" s="29"/>
      <c r="I70" s="29" t="s">
        <v>44</v>
      </c>
      <c r="J70" s="30">
        <v>1</v>
      </c>
      <c r="K70" s="31">
        <f>1855</f>
        <v>1855</v>
      </c>
      <c r="L70" s="32" t="s">
        <v>1085</v>
      </c>
      <c r="M70" s="31">
        <f>1860</f>
        <v>1860</v>
      </c>
      <c r="N70" s="32" t="s">
        <v>1085</v>
      </c>
      <c r="O70" s="31">
        <f>1812</f>
        <v>1812</v>
      </c>
      <c r="P70" s="32" t="s">
        <v>851</v>
      </c>
      <c r="Q70" s="31">
        <f>1843</f>
        <v>1843</v>
      </c>
      <c r="R70" s="32" t="s">
        <v>661</v>
      </c>
      <c r="S70" s="33">
        <f>1837.21</f>
        <v>1837.21</v>
      </c>
      <c r="T70" s="30">
        <f>574619</f>
        <v>574619</v>
      </c>
      <c r="U70" s="30">
        <f>22</f>
        <v>22</v>
      </c>
      <c r="V70" s="30">
        <f>1055135736</f>
        <v>1055135736</v>
      </c>
      <c r="W70" s="30">
        <f>37765</f>
        <v>37765</v>
      </c>
      <c r="X70" s="34">
        <f>19</f>
        <v>19</v>
      </c>
    </row>
    <row r="71" spans="1:24">
      <c r="A71" s="25" t="s">
        <v>1179</v>
      </c>
      <c r="B71" s="25" t="s">
        <v>204</v>
      </c>
      <c r="C71" s="25" t="s">
        <v>205</v>
      </c>
      <c r="D71" s="25" t="s">
        <v>206</v>
      </c>
      <c r="E71" s="26" t="s">
        <v>43</v>
      </c>
      <c r="F71" s="27" t="s">
        <v>43</v>
      </c>
      <c r="G71" s="28" t="s">
        <v>43</v>
      </c>
      <c r="H71" s="29"/>
      <c r="I71" s="29" t="s">
        <v>44</v>
      </c>
      <c r="J71" s="30">
        <v>1</v>
      </c>
      <c r="K71" s="31">
        <f>22515</f>
        <v>22515</v>
      </c>
      <c r="L71" s="32" t="s">
        <v>1085</v>
      </c>
      <c r="M71" s="31">
        <f>22515</f>
        <v>22515</v>
      </c>
      <c r="N71" s="32" t="s">
        <v>1085</v>
      </c>
      <c r="O71" s="31">
        <f>21075</f>
        <v>21075</v>
      </c>
      <c r="P71" s="32" t="s">
        <v>662</v>
      </c>
      <c r="Q71" s="31">
        <f>22145</f>
        <v>22145</v>
      </c>
      <c r="R71" s="32" t="s">
        <v>661</v>
      </c>
      <c r="S71" s="33">
        <f>21755.53</f>
        <v>21755.53</v>
      </c>
      <c r="T71" s="30">
        <f>3212</f>
        <v>3212</v>
      </c>
      <c r="U71" s="30" t="str">
        <f>"－"</f>
        <v>－</v>
      </c>
      <c r="V71" s="30">
        <f>70269435</f>
        <v>70269435</v>
      </c>
      <c r="W71" s="30" t="str">
        <f>"－"</f>
        <v>－</v>
      </c>
      <c r="X71" s="34">
        <f>19</f>
        <v>19</v>
      </c>
    </row>
    <row r="72" spans="1:24">
      <c r="A72" s="25" t="s">
        <v>1179</v>
      </c>
      <c r="B72" s="25" t="s">
        <v>207</v>
      </c>
      <c r="C72" s="25" t="s">
        <v>208</v>
      </c>
      <c r="D72" s="25" t="s">
        <v>209</v>
      </c>
      <c r="E72" s="26" t="s">
        <v>43</v>
      </c>
      <c r="F72" s="27" t="s">
        <v>43</v>
      </c>
      <c r="G72" s="28" t="s">
        <v>43</v>
      </c>
      <c r="H72" s="29"/>
      <c r="I72" s="29" t="s">
        <v>44</v>
      </c>
      <c r="J72" s="30">
        <v>1</v>
      </c>
      <c r="K72" s="31">
        <f>9293</f>
        <v>9293</v>
      </c>
      <c r="L72" s="32" t="s">
        <v>1085</v>
      </c>
      <c r="M72" s="31">
        <f>9294</f>
        <v>9294</v>
      </c>
      <c r="N72" s="32" t="s">
        <v>1085</v>
      </c>
      <c r="O72" s="31">
        <f>8961</f>
        <v>8961</v>
      </c>
      <c r="P72" s="32" t="s">
        <v>756</v>
      </c>
      <c r="Q72" s="31">
        <f>9090</f>
        <v>9090</v>
      </c>
      <c r="R72" s="32" t="s">
        <v>661</v>
      </c>
      <c r="S72" s="33">
        <f>9113.37</f>
        <v>9113.3700000000008</v>
      </c>
      <c r="T72" s="30">
        <f>4706</f>
        <v>4706</v>
      </c>
      <c r="U72" s="30">
        <f>649</f>
        <v>649</v>
      </c>
      <c r="V72" s="30">
        <f>42631625</f>
        <v>42631625</v>
      </c>
      <c r="W72" s="30">
        <f>5856256</f>
        <v>5856256</v>
      </c>
      <c r="X72" s="34">
        <f>19</f>
        <v>19</v>
      </c>
    </row>
    <row r="73" spans="1:24">
      <c r="A73" s="25" t="s">
        <v>1179</v>
      </c>
      <c r="B73" s="25" t="s">
        <v>210</v>
      </c>
      <c r="C73" s="25" t="s">
        <v>211</v>
      </c>
      <c r="D73" s="25" t="s">
        <v>212</v>
      </c>
      <c r="E73" s="26" t="s">
        <v>43</v>
      </c>
      <c r="F73" s="27" t="s">
        <v>43</v>
      </c>
      <c r="G73" s="28" t="s">
        <v>43</v>
      </c>
      <c r="H73" s="29"/>
      <c r="I73" s="29" t="s">
        <v>44</v>
      </c>
      <c r="J73" s="30">
        <v>1</v>
      </c>
      <c r="K73" s="31">
        <f>12555</f>
        <v>12555</v>
      </c>
      <c r="L73" s="32" t="s">
        <v>1085</v>
      </c>
      <c r="M73" s="31">
        <f>13075</f>
        <v>13075</v>
      </c>
      <c r="N73" s="32" t="s">
        <v>663</v>
      </c>
      <c r="O73" s="31">
        <f>12550</f>
        <v>12550</v>
      </c>
      <c r="P73" s="32" t="s">
        <v>1085</v>
      </c>
      <c r="Q73" s="31">
        <f>13060</f>
        <v>13060</v>
      </c>
      <c r="R73" s="32" t="s">
        <v>661</v>
      </c>
      <c r="S73" s="33">
        <f>12837.63</f>
        <v>12837.63</v>
      </c>
      <c r="T73" s="30">
        <f>4598036</f>
        <v>4598036</v>
      </c>
      <c r="U73" s="30">
        <f>864244</f>
        <v>864244</v>
      </c>
      <c r="V73" s="30">
        <f>59049649467</f>
        <v>59049649467</v>
      </c>
      <c r="W73" s="30">
        <f>11143783937</f>
        <v>11143783937</v>
      </c>
      <c r="X73" s="34">
        <f>19</f>
        <v>19</v>
      </c>
    </row>
    <row r="74" spans="1:24">
      <c r="A74" s="25" t="s">
        <v>1179</v>
      </c>
      <c r="B74" s="25" t="s">
        <v>213</v>
      </c>
      <c r="C74" s="25" t="s">
        <v>214</v>
      </c>
      <c r="D74" s="25" t="s">
        <v>215</v>
      </c>
      <c r="E74" s="26" t="s">
        <v>43</v>
      </c>
      <c r="F74" s="27" t="s">
        <v>43</v>
      </c>
      <c r="G74" s="28" t="s">
        <v>43</v>
      </c>
      <c r="H74" s="29"/>
      <c r="I74" s="29" t="s">
        <v>44</v>
      </c>
      <c r="J74" s="30">
        <v>1</v>
      </c>
      <c r="K74" s="31">
        <f>4300</f>
        <v>4300</v>
      </c>
      <c r="L74" s="32" t="s">
        <v>1085</v>
      </c>
      <c r="M74" s="31">
        <f>4500</f>
        <v>4500</v>
      </c>
      <c r="N74" s="32" t="s">
        <v>661</v>
      </c>
      <c r="O74" s="31">
        <f>4290</f>
        <v>4290</v>
      </c>
      <c r="P74" s="32" t="s">
        <v>1085</v>
      </c>
      <c r="Q74" s="31">
        <f>4460</f>
        <v>4460</v>
      </c>
      <c r="R74" s="32" t="s">
        <v>661</v>
      </c>
      <c r="S74" s="33">
        <f>4376.32</f>
        <v>4376.32</v>
      </c>
      <c r="T74" s="30">
        <f>347311</f>
        <v>347311</v>
      </c>
      <c r="U74" s="30">
        <f>83</f>
        <v>83</v>
      </c>
      <c r="V74" s="30">
        <f>1520897410</f>
        <v>1520897410</v>
      </c>
      <c r="W74" s="30">
        <f>360660</f>
        <v>360660</v>
      </c>
      <c r="X74" s="34">
        <f>19</f>
        <v>19</v>
      </c>
    </row>
    <row r="75" spans="1:24">
      <c r="A75" s="25" t="s">
        <v>1179</v>
      </c>
      <c r="B75" s="25" t="s">
        <v>216</v>
      </c>
      <c r="C75" s="25" t="s">
        <v>217</v>
      </c>
      <c r="D75" s="25" t="s">
        <v>218</v>
      </c>
      <c r="E75" s="26" t="s">
        <v>43</v>
      </c>
      <c r="F75" s="27" t="s">
        <v>43</v>
      </c>
      <c r="G75" s="28" t="s">
        <v>43</v>
      </c>
      <c r="H75" s="29"/>
      <c r="I75" s="29" t="s">
        <v>44</v>
      </c>
      <c r="J75" s="30">
        <v>1</v>
      </c>
      <c r="K75" s="31">
        <f>13850</f>
        <v>13850</v>
      </c>
      <c r="L75" s="32" t="s">
        <v>1085</v>
      </c>
      <c r="M75" s="31">
        <f>14490</f>
        <v>14490</v>
      </c>
      <c r="N75" s="32" t="s">
        <v>661</v>
      </c>
      <c r="O75" s="31">
        <f>13785</f>
        <v>13785</v>
      </c>
      <c r="P75" s="32" t="s">
        <v>1085</v>
      </c>
      <c r="Q75" s="31">
        <f>14435</f>
        <v>14435</v>
      </c>
      <c r="R75" s="32" t="s">
        <v>661</v>
      </c>
      <c r="S75" s="33">
        <f>14104.21</f>
        <v>14104.21</v>
      </c>
      <c r="T75" s="30">
        <f>330189</f>
        <v>330189</v>
      </c>
      <c r="U75" s="30">
        <f>1368</f>
        <v>1368</v>
      </c>
      <c r="V75" s="30">
        <f>4668669160</f>
        <v>4668669160</v>
      </c>
      <c r="W75" s="30">
        <f>18335480</f>
        <v>18335480</v>
      </c>
      <c r="X75" s="34">
        <f>19</f>
        <v>19</v>
      </c>
    </row>
    <row r="76" spans="1:24">
      <c r="A76" s="25" t="s">
        <v>1179</v>
      </c>
      <c r="B76" s="25" t="s">
        <v>219</v>
      </c>
      <c r="C76" s="25" t="s">
        <v>220</v>
      </c>
      <c r="D76" s="25" t="s">
        <v>221</v>
      </c>
      <c r="E76" s="26" t="s">
        <v>43</v>
      </c>
      <c r="F76" s="27" t="s">
        <v>43</v>
      </c>
      <c r="G76" s="28" t="s">
        <v>43</v>
      </c>
      <c r="H76" s="29"/>
      <c r="I76" s="29" t="s">
        <v>44</v>
      </c>
      <c r="J76" s="30">
        <v>1</v>
      </c>
      <c r="K76" s="31">
        <f>42280</f>
        <v>42280</v>
      </c>
      <c r="L76" s="32" t="s">
        <v>1085</v>
      </c>
      <c r="M76" s="31">
        <f>46690</f>
        <v>46690</v>
      </c>
      <c r="N76" s="32" t="s">
        <v>663</v>
      </c>
      <c r="O76" s="31">
        <f>42100</f>
        <v>42100</v>
      </c>
      <c r="P76" s="32" t="s">
        <v>1085</v>
      </c>
      <c r="Q76" s="31">
        <f>45660</f>
        <v>45660</v>
      </c>
      <c r="R76" s="32" t="s">
        <v>661</v>
      </c>
      <c r="S76" s="33">
        <f>43989.47</f>
        <v>43989.47</v>
      </c>
      <c r="T76" s="30">
        <f>22686</f>
        <v>22686</v>
      </c>
      <c r="U76" s="30">
        <f>8</f>
        <v>8</v>
      </c>
      <c r="V76" s="30">
        <f>1011315320</f>
        <v>1011315320</v>
      </c>
      <c r="W76" s="30">
        <f>351460</f>
        <v>351460</v>
      </c>
      <c r="X76" s="34">
        <f>19</f>
        <v>19</v>
      </c>
    </row>
    <row r="77" spans="1:24">
      <c r="A77" s="25" t="s">
        <v>1179</v>
      </c>
      <c r="B77" s="25" t="s">
        <v>222</v>
      </c>
      <c r="C77" s="25" t="s">
        <v>757</v>
      </c>
      <c r="D77" s="25" t="s">
        <v>758</v>
      </c>
      <c r="E77" s="26" t="s">
        <v>43</v>
      </c>
      <c r="F77" s="27" t="s">
        <v>43</v>
      </c>
      <c r="G77" s="28" t="s">
        <v>43</v>
      </c>
      <c r="H77" s="29"/>
      <c r="I77" s="29" t="s">
        <v>44</v>
      </c>
      <c r="J77" s="30">
        <v>1</v>
      </c>
      <c r="K77" s="31">
        <f>33950</f>
        <v>33950</v>
      </c>
      <c r="L77" s="32" t="s">
        <v>1085</v>
      </c>
      <c r="M77" s="31">
        <f>34600</f>
        <v>34600</v>
      </c>
      <c r="N77" s="32" t="s">
        <v>663</v>
      </c>
      <c r="O77" s="31">
        <f>33030</f>
        <v>33030</v>
      </c>
      <c r="P77" s="32" t="s">
        <v>851</v>
      </c>
      <c r="Q77" s="31">
        <f>33820</f>
        <v>33820</v>
      </c>
      <c r="R77" s="32" t="s">
        <v>661</v>
      </c>
      <c r="S77" s="33">
        <f>33795.79</f>
        <v>33795.79</v>
      </c>
      <c r="T77" s="30">
        <f>725132</f>
        <v>725132</v>
      </c>
      <c r="U77" s="30">
        <f>6991</f>
        <v>6991</v>
      </c>
      <c r="V77" s="30">
        <f>24450565255</f>
        <v>24450565255</v>
      </c>
      <c r="W77" s="30">
        <f>233029975</f>
        <v>233029975</v>
      </c>
      <c r="X77" s="34">
        <f>19</f>
        <v>19</v>
      </c>
    </row>
    <row r="78" spans="1:24">
      <c r="A78" s="25" t="s">
        <v>1179</v>
      </c>
      <c r="B78" s="25" t="s">
        <v>223</v>
      </c>
      <c r="C78" s="25" t="s">
        <v>759</v>
      </c>
      <c r="D78" s="25" t="s">
        <v>760</v>
      </c>
      <c r="E78" s="26" t="s">
        <v>43</v>
      </c>
      <c r="F78" s="27" t="s">
        <v>43</v>
      </c>
      <c r="G78" s="28" t="s">
        <v>43</v>
      </c>
      <c r="H78" s="29"/>
      <c r="I78" s="29" t="s">
        <v>44</v>
      </c>
      <c r="J78" s="30">
        <v>1</v>
      </c>
      <c r="K78" s="31">
        <f>65670</f>
        <v>65670</v>
      </c>
      <c r="L78" s="32" t="s">
        <v>1085</v>
      </c>
      <c r="M78" s="31">
        <f>68060</f>
        <v>68060</v>
      </c>
      <c r="N78" s="32" t="s">
        <v>859</v>
      </c>
      <c r="O78" s="31">
        <f>64880</f>
        <v>64880</v>
      </c>
      <c r="P78" s="32" t="s">
        <v>1080</v>
      </c>
      <c r="Q78" s="31">
        <f>67710</f>
        <v>67710</v>
      </c>
      <c r="R78" s="32" t="s">
        <v>661</v>
      </c>
      <c r="S78" s="33">
        <f>66446.32</f>
        <v>66446.320000000007</v>
      </c>
      <c r="T78" s="30">
        <f>39283</f>
        <v>39283</v>
      </c>
      <c r="U78" s="30">
        <f>4004</f>
        <v>4004</v>
      </c>
      <c r="V78" s="30">
        <f>2619449400</f>
        <v>2619449400</v>
      </c>
      <c r="W78" s="30">
        <f>269547590</f>
        <v>269547590</v>
      </c>
      <c r="X78" s="34">
        <f>19</f>
        <v>19</v>
      </c>
    </row>
    <row r="79" spans="1:24">
      <c r="A79" s="25" t="s">
        <v>1179</v>
      </c>
      <c r="B79" s="25" t="s">
        <v>224</v>
      </c>
      <c r="C79" s="25" t="s">
        <v>225</v>
      </c>
      <c r="D79" s="25" t="s">
        <v>226</v>
      </c>
      <c r="E79" s="26" t="s">
        <v>43</v>
      </c>
      <c r="F79" s="27" t="s">
        <v>43</v>
      </c>
      <c r="G79" s="28" t="s">
        <v>43</v>
      </c>
      <c r="H79" s="29"/>
      <c r="I79" s="29" t="s">
        <v>44</v>
      </c>
      <c r="J79" s="30">
        <v>10</v>
      </c>
      <c r="K79" s="31">
        <f>10240</f>
        <v>10240</v>
      </c>
      <c r="L79" s="32" t="s">
        <v>1085</v>
      </c>
      <c r="M79" s="31">
        <f>10360</f>
        <v>10360</v>
      </c>
      <c r="N79" s="32" t="s">
        <v>663</v>
      </c>
      <c r="O79" s="31">
        <f>9970</f>
        <v>9970</v>
      </c>
      <c r="P79" s="32" t="s">
        <v>662</v>
      </c>
      <c r="Q79" s="31">
        <f>10240</f>
        <v>10240</v>
      </c>
      <c r="R79" s="32" t="s">
        <v>661</v>
      </c>
      <c r="S79" s="33">
        <f>10197.89</f>
        <v>10197.89</v>
      </c>
      <c r="T79" s="30">
        <f>1251450</f>
        <v>1251450</v>
      </c>
      <c r="U79" s="30">
        <f>424480</f>
        <v>424480</v>
      </c>
      <c r="V79" s="30">
        <f>12759624935</f>
        <v>12759624935</v>
      </c>
      <c r="W79" s="30">
        <f>4335674745</f>
        <v>4335674745</v>
      </c>
      <c r="X79" s="34">
        <f>19</f>
        <v>19</v>
      </c>
    </row>
    <row r="80" spans="1:24">
      <c r="A80" s="25" t="s">
        <v>1179</v>
      </c>
      <c r="B80" s="25" t="s">
        <v>227</v>
      </c>
      <c r="C80" s="25" t="s">
        <v>228</v>
      </c>
      <c r="D80" s="25" t="s">
        <v>229</v>
      </c>
      <c r="E80" s="26" t="s">
        <v>43</v>
      </c>
      <c r="F80" s="27" t="s">
        <v>43</v>
      </c>
      <c r="G80" s="28" t="s">
        <v>43</v>
      </c>
      <c r="H80" s="29"/>
      <c r="I80" s="29" t="s">
        <v>44</v>
      </c>
      <c r="J80" s="30">
        <v>10</v>
      </c>
      <c r="K80" s="31">
        <f>6103</f>
        <v>6103</v>
      </c>
      <c r="L80" s="32" t="s">
        <v>1085</v>
      </c>
      <c r="M80" s="31">
        <f>6299</f>
        <v>6299</v>
      </c>
      <c r="N80" s="32" t="s">
        <v>663</v>
      </c>
      <c r="O80" s="31">
        <f>6042</f>
        <v>6042</v>
      </c>
      <c r="P80" s="32" t="s">
        <v>1080</v>
      </c>
      <c r="Q80" s="31">
        <f>6229</f>
        <v>6229</v>
      </c>
      <c r="R80" s="32" t="s">
        <v>661</v>
      </c>
      <c r="S80" s="33">
        <f>6158.32</f>
        <v>6158.32</v>
      </c>
      <c r="T80" s="30">
        <f>122870</f>
        <v>122870</v>
      </c>
      <c r="U80" s="30">
        <f>4640</f>
        <v>4640</v>
      </c>
      <c r="V80" s="30">
        <f>755181580</f>
        <v>755181580</v>
      </c>
      <c r="W80" s="30">
        <f>28472760</f>
        <v>28472760</v>
      </c>
      <c r="X80" s="34">
        <f>19</f>
        <v>19</v>
      </c>
    </row>
    <row r="81" spans="1:24">
      <c r="A81" s="25" t="s">
        <v>1179</v>
      </c>
      <c r="B81" s="25" t="s">
        <v>230</v>
      </c>
      <c r="C81" s="25" t="s">
        <v>830</v>
      </c>
      <c r="D81" s="25" t="s">
        <v>831</v>
      </c>
      <c r="E81" s="26" t="s">
        <v>43</v>
      </c>
      <c r="F81" s="27" t="s">
        <v>43</v>
      </c>
      <c r="G81" s="28" t="s">
        <v>43</v>
      </c>
      <c r="H81" s="29"/>
      <c r="I81" s="29" t="s">
        <v>44</v>
      </c>
      <c r="J81" s="30">
        <v>10</v>
      </c>
      <c r="K81" s="31">
        <f>5300</f>
        <v>5300</v>
      </c>
      <c r="L81" s="32" t="s">
        <v>1085</v>
      </c>
      <c r="M81" s="31">
        <f>5401</f>
        <v>5401</v>
      </c>
      <c r="N81" s="32" t="s">
        <v>1078</v>
      </c>
      <c r="O81" s="31">
        <f>5100</f>
        <v>5100</v>
      </c>
      <c r="P81" s="32" t="s">
        <v>1080</v>
      </c>
      <c r="Q81" s="31">
        <f>5341</f>
        <v>5341</v>
      </c>
      <c r="R81" s="32" t="s">
        <v>661</v>
      </c>
      <c r="S81" s="33">
        <f>5281.63</f>
        <v>5281.63</v>
      </c>
      <c r="T81" s="30">
        <f>8240</f>
        <v>8240</v>
      </c>
      <c r="U81" s="30">
        <f>260</f>
        <v>260</v>
      </c>
      <c r="V81" s="30">
        <f>43462980</f>
        <v>43462980</v>
      </c>
      <c r="W81" s="30">
        <f>1371750</f>
        <v>1371750</v>
      </c>
      <c r="X81" s="34">
        <f>19</f>
        <v>19</v>
      </c>
    </row>
    <row r="82" spans="1:24">
      <c r="A82" s="25" t="s">
        <v>1179</v>
      </c>
      <c r="B82" s="25" t="s">
        <v>231</v>
      </c>
      <c r="C82" s="25" t="s">
        <v>232</v>
      </c>
      <c r="D82" s="25" t="s">
        <v>233</v>
      </c>
      <c r="E82" s="26" t="s">
        <v>43</v>
      </c>
      <c r="F82" s="27" t="s">
        <v>43</v>
      </c>
      <c r="G82" s="28" t="s">
        <v>43</v>
      </c>
      <c r="H82" s="29"/>
      <c r="I82" s="29" t="s">
        <v>44</v>
      </c>
      <c r="J82" s="30">
        <v>10</v>
      </c>
      <c r="K82" s="31">
        <f>5076</f>
        <v>5076</v>
      </c>
      <c r="L82" s="32" t="s">
        <v>1085</v>
      </c>
      <c r="M82" s="31">
        <f>5125</f>
        <v>5125</v>
      </c>
      <c r="N82" s="32" t="s">
        <v>1079</v>
      </c>
      <c r="O82" s="31">
        <f>4934</f>
        <v>4934</v>
      </c>
      <c r="P82" s="32" t="s">
        <v>662</v>
      </c>
      <c r="Q82" s="31">
        <f>5067</f>
        <v>5067</v>
      </c>
      <c r="R82" s="32" t="s">
        <v>661</v>
      </c>
      <c r="S82" s="33">
        <f>5046.32</f>
        <v>5046.32</v>
      </c>
      <c r="T82" s="30">
        <f>166470</f>
        <v>166470</v>
      </c>
      <c r="U82" s="30">
        <f>10</f>
        <v>10</v>
      </c>
      <c r="V82" s="30">
        <f>841003190</f>
        <v>841003190</v>
      </c>
      <c r="W82" s="30">
        <f>50100</f>
        <v>50100</v>
      </c>
      <c r="X82" s="34">
        <f>19</f>
        <v>19</v>
      </c>
    </row>
    <row r="83" spans="1:24">
      <c r="A83" s="25" t="s">
        <v>1179</v>
      </c>
      <c r="B83" s="25" t="s">
        <v>234</v>
      </c>
      <c r="C83" s="25" t="s">
        <v>943</v>
      </c>
      <c r="D83" s="25" t="s">
        <v>235</v>
      </c>
      <c r="E83" s="26" t="s">
        <v>43</v>
      </c>
      <c r="F83" s="27" t="s">
        <v>43</v>
      </c>
      <c r="G83" s="28" t="s">
        <v>43</v>
      </c>
      <c r="H83" s="29"/>
      <c r="I83" s="29" t="s">
        <v>44</v>
      </c>
      <c r="J83" s="30">
        <v>10</v>
      </c>
      <c r="K83" s="31">
        <f>2311</f>
        <v>2311</v>
      </c>
      <c r="L83" s="32" t="s">
        <v>1085</v>
      </c>
      <c r="M83" s="31">
        <f>2360</f>
        <v>2360</v>
      </c>
      <c r="N83" s="32" t="s">
        <v>850</v>
      </c>
      <c r="O83" s="31">
        <f>2250</f>
        <v>2250</v>
      </c>
      <c r="P83" s="32" t="s">
        <v>1078</v>
      </c>
      <c r="Q83" s="31">
        <f>2299.5</f>
        <v>2299.5</v>
      </c>
      <c r="R83" s="32" t="s">
        <v>661</v>
      </c>
      <c r="S83" s="33">
        <f>2303.32</f>
        <v>2303.3200000000002</v>
      </c>
      <c r="T83" s="30">
        <f>55290</f>
        <v>55290</v>
      </c>
      <c r="U83" s="30">
        <f>50</f>
        <v>50</v>
      </c>
      <c r="V83" s="30">
        <f>127540585</f>
        <v>127540585</v>
      </c>
      <c r="W83" s="30">
        <f>111850</f>
        <v>111850</v>
      </c>
      <c r="X83" s="34">
        <f>19</f>
        <v>19</v>
      </c>
    </row>
    <row r="84" spans="1:24">
      <c r="A84" s="25" t="s">
        <v>1179</v>
      </c>
      <c r="B84" s="25" t="s">
        <v>236</v>
      </c>
      <c r="C84" s="25" t="s">
        <v>237</v>
      </c>
      <c r="D84" s="25" t="s">
        <v>238</v>
      </c>
      <c r="E84" s="26" t="s">
        <v>43</v>
      </c>
      <c r="F84" s="27" t="s">
        <v>43</v>
      </c>
      <c r="G84" s="28" t="s">
        <v>43</v>
      </c>
      <c r="H84" s="29"/>
      <c r="I84" s="29" t="s">
        <v>44</v>
      </c>
      <c r="J84" s="30">
        <v>1</v>
      </c>
      <c r="K84" s="31">
        <f>93340</f>
        <v>93340</v>
      </c>
      <c r="L84" s="32" t="s">
        <v>1085</v>
      </c>
      <c r="M84" s="31">
        <f>95340</f>
        <v>95340</v>
      </c>
      <c r="N84" s="32" t="s">
        <v>663</v>
      </c>
      <c r="O84" s="31">
        <f>91590</f>
        <v>91590</v>
      </c>
      <c r="P84" s="32" t="s">
        <v>851</v>
      </c>
      <c r="Q84" s="31">
        <f>93970</f>
        <v>93970</v>
      </c>
      <c r="R84" s="32" t="s">
        <v>661</v>
      </c>
      <c r="S84" s="33">
        <f>93376.32</f>
        <v>93376.320000000007</v>
      </c>
      <c r="T84" s="30">
        <f>59594</f>
        <v>59594</v>
      </c>
      <c r="U84" s="30">
        <f>91</f>
        <v>91</v>
      </c>
      <c r="V84" s="30">
        <f>5570242084</f>
        <v>5570242084</v>
      </c>
      <c r="W84" s="30">
        <f>8420594</f>
        <v>8420594</v>
      </c>
      <c r="X84" s="34">
        <f>19</f>
        <v>19</v>
      </c>
    </row>
    <row r="85" spans="1:24">
      <c r="A85" s="25" t="s">
        <v>1179</v>
      </c>
      <c r="B85" s="25" t="s">
        <v>239</v>
      </c>
      <c r="C85" s="25" t="s">
        <v>240</v>
      </c>
      <c r="D85" s="25" t="s">
        <v>241</v>
      </c>
      <c r="E85" s="26" t="s">
        <v>43</v>
      </c>
      <c r="F85" s="27" t="s">
        <v>43</v>
      </c>
      <c r="G85" s="28" t="s">
        <v>43</v>
      </c>
      <c r="H85" s="29"/>
      <c r="I85" s="29" t="s">
        <v>44</v>
      </c>
      <c r="J85" s="30">
        <v>1</v>
      </c>
      <c r="K85" s="31">
        <f>3725</f>
        <v>3725</v>
      </c>
      <c r="L85" s="32" t="s">
        <v>1085</v>
      </c>
      <c r="M85" s="31">
        <f>3735</f>
        <v>3735</v>
      </c>
      <c r="N85" s="32" t="s">
        <v>1085</v>
      </c>
      <c r="O85" s="31">
        <f>3500</f>
        <v>3500</v>
      </c>
      <c r="P85" s="32" t="s">
        <v>1076</v>
      </c>
      <c r="Q85" s="31">
        <f>3650</f>
        <v>3650</v>
      </c>
      <c r="R85" s="32" t="s">
        <v>661</v>
      </c>
      <c r="S85" s="33">
        <f>3647.63</f>
        <v>3647.63</v>
      </c>
      <c r="T85" s="30">
        <f>4922</f>
        <v>4922</v>
      </c>
      <c r="U85" s="30" t="str">
        <f>"－"</f>
        <v>－</v>
      </c>
      <c r="V85" s="30">
        <f>17959900</f>
        <v>17959900</v>
      </c>
      <c r="W85" s="30" t="str">
        <f>"－"</f>
        <v>－</v>
      </c>
      <c r="X85" s="34">
        <f>19</f>
        <v>19</v>
      </c>
    </row>
    <row r="86" spans="1:24">
      <c r="A86" s="25" t="s">
        <v>1179</v>
      </c>
      <c r="B86" s="25" t="s">
        <v>242</v>
      </c>
      <c r="C86" s="25" t="s">
        <v>243</v>
      </c>
      <c r="D86" s="25" t="s">
        <v>244</v>
      </c>
      <c r="E86" s="26" t="s">
        <v>43</v>
      </c>
      <c r="F86" s="27" t="s">
        <v>43</v>
      </c>
      <c r="G86" s="28" t="s">
        <v>43</v>
      </c>
      <c r="H86" s="29"/>
      <c r="I86" s="29" t="s">
        <v>44</v>
      </c>
      <c r="J86" s="30">
        <v>1</v>
      </c>
      <c r="K86" s="31">
        <f>5380</f>
        <v>5380</v>
      </c>
      <c r="L86" s="32" t="s">
        <v>1085</v>
      </c>
      <c r="M86" s="31">
        <f>5460</f>
        <v>5460</v>
      </c>
      <c r="N86" s="32" t="s">
        <v>1077</v>
      </c>
      <c r="O86" s="31">
        <f>5220</f>
        <v>5220</v>
      </c>
      <c r="P86" s="32" t="s">
        <v>755</v>
      </c>
      <c r="Q86" s="31">
        <f>5330</f>
        <v>5330</v>
      </c>
      <c r="R86" s="32" t="s">
        <v>661</v>
      </c>
      <c r="S86" s="33">
        <f>5338.42</f>
        <v>5338.42</v>
      </c>
      <c r="T86" s="30">
        <f>4729</f>
        <v>4729</v>
      </c>
      <c r="U86" s="30" t="str">
        <f>"－"</f>
        <v>－</v>
      </c>
      <c r="V86" s="30">
        <f>25315310</f>
        <v>25315310</v>
      </c>
      <c r="W86" s="30" t="str">
        <f>"－"</f>
        <v>－</v>
      </c>
      <c r="X86" s="34">
        <f>19</f>
        <v>19</v>
      </c>
    </row>
    <row r="87" spans="1:24">
      <c r="A87" s="25" t="s">
        <v>1179</v>
      </c>
      <c r="B87" s="25" t="s">
        <v>245</v>
      </c>
      <c r="C87" s="25" t="s">
        <v>832</v>
      </c>
      <c r="D87" s="25" t="s">
        <v>833</v>
      </c>
      <c r="E87" s="26" t="s">
        <v>43</v>
      </c>
      <c r="F87" s="27" t="s">
        <v>43</v>
      </c>
      <c r="G87" s="28" t="s">
        <v>43</v>
      </c>
      <c r="H87" s="29"/>
      <c r="I87" s="29" t="s">
        <v>44</v>
      </c>
      <c r="J87" s="30">
        <v>1</v>
      </c>
      <c r="K87" s="31">
        <f>2455</f>
        <v>2455</v>
      </c>
      <c r="L87" s="32" t="s">
        <v>1085</v>
      </c>
      <c r="M87" s="31">
        <f>2520</f>
        <v>2520</v>
      </c>
      <c r="N87" s="32" t="s">
        <v>755</v>
      </c>
      <c r="O87" s="31">
        <f>2336</f>
        <v>2336</v>
      </c>
      <c r="P87" s="32" t="s">
        <v>662</v>
      </c>
      <c r="Q87" s="31">
        <f>2495</f>
        <v>2495</v>
      </c>
      <c r="R87" s="32" t="s">
        <v>661</v>
      </c>
      <c r="S87" s="33">
        <f>2423.42</f>
        <v>2423.42</v>
      </c>
      <c r="T87" s="30">
        <f>328629</f>
        <v>328629</v>
      </c>
      <c r="U87" s="30">
        <f>1</f>
        <v>1</v>
      </c>
      <c r="V87" s="30">
        <f>795639293</f>
        <v>795639293</v>
      </c>
      <c r="W87" s="30">
        <f>2385</f>
        <v>2385</v>
      </c>
      <c r="X87" s="34">
        <f>19</f>
        <v>19</v>
      </c>
    </row>
    <row r="88" spans="1:24">
      <c r="A88" s="25" t="s">
        <v>1179</v>
      </c>
      <c r="B88" s="25" t="s">
        <v>246</v>
      </c>
      <c r="C88" s="25" t="s">
        <v>247</v>
      </c>
      <c r="D88" s="25" t="s">
        <v>248</v>
      </c>
      <c r="E88" s="26" t="s">
        <v>43</v>
      </c>
      <c r="F88" s="27" t="s">
        <v>43</v>
      </c>
      <c r="G88" s="28" t="s">
        <v>43</v>
      </c>
      <c r="H88" s="29"/>
      <c r="I88" s="29" t="s">
        <v>44</v>
      </c>
      <c r="J88" s="30">
        <v>1</v>
      </c>
      <c r="K88" s="31">
        <f>49900</f>
        <v>49900</v>
      </c>
      <c r="L88" s="32" t="s">
        <v>1085</v>
      </c>
      <c r="M88" s="31">
        <f>50070</f>
        <v>50070</v>
      </c>
      <c r="N88" s="32" t="s">
        <v>1077</v>
      </c>
      <c r="O88" s="31">
        <f>48720</f>
        <v>48720</v>
      </c>
      <c r="P88" s="32" t="s">
        <v>662</v>
      </c>
      <c r="Q88" s="31">
        <f>49500</f>
        <v>49500</v>
      </c>
      <c r="R88" s="32" t="s">
        <v>661</v>
      </c>
      <c r="S88" s="33">
        <f>49430.53</f>
        <v>49430.53</v>
      </c>
      <c r="T88" s="30">
        <f>8976</f>
        <v>8976</v>
      </c>
      <c r="U88" s="30">
        <f>262</f>
        <v>262</v>
      </c>
      <c r="V88" s="30">
        <f>444142670</f>
        <v>444142670</v>
      </c>
      <c r="W88" s="30">
        <f>12876870</f>
        <v>12876870</v>
      </c>
      <c r="X88" s="34">
        <f>19</f>
        <v>19</v>
      </c>
    </row>
    <row r="89" spans="1:24">
      <c r="A89" s="25" t="s">
        <v>1179</v>
      </c>
      <c r="B89" s="25" t="s">
        <v>249</v>
      </c>
      <c r="C89" s="25" t="s">
        <v>250</v>
      </c>
      <c r="D89" s="25" t="s">
        <v>251</v>
      </c>
      <c r="E89" s="26" t="s">
        <v>43</v>
      </c>
      <c r="F89" s="27" t="s">
        <v>43</v>
      </c>
      <c r="G89" s="28" t="s">
        <v>43</v>
      </c>
      <c r="H89" s="29"/>
      <c r="I89" s="29" t="s">
        <v>44</v>
      </c>
      <c r="J89" s="30">
        <v>10</v>
      </c>
      <c r="K89" s="31">
        <f>484.6</f>
        <v>484.6</v>
      </c>
      <c r="L89" s="32" t="s">
        <v>1085</v>
      </c>
      <c r="M89" s="31">
        <f>488.3</f>
        <v>488.3</v>
      </c>
      <c r="N89" s="32" t="s">
        <v>1085</v>
      </c>
      <c r="O89" s="31">
        <f>436.7</f>
        <v>436.7</v>
      </c>
      <c r="P89" s="32" t="s">
        <v>662</v>
      </c>
      <c r="Q89" s="31">
        <f>486.3</f>
        <v>486.3</v>
      </c>
      <c r="R89" s="32" t="s">
        <v>661</v>
      </c>
      <c r="S89" s="33">
        <f>467.03</f>
        <v>467.03</v>
      </c>
      <c r="T89" s="30">
        <f>119548600</f>
        <v>119548600</v>
      </c>
      <c r="U89" s="30">
        <f>5260</f>
        <v>5260</v>
      </c>
      <c r="V89" s="30">
        <f>55850617138</f>
        <v>55850617138</v>
      </c>
      <c r="W89" s="30">
        <f>2450364</f>
        <v>2450364</v>
      </c>
      <c r="X89" s="34">
        <f>19</f>
        <v>19</v>
      </c>
    </row>
    <row r="90" spans="1:24">
      <c r="A90" s="25" t="s">
        <v>1179</v>
      </c>
      <c r="B90" s="25" t="s">
        <v>252</v>
      </c>
      <c r="C90" s="25" t="s">
        <v>253</v>
      </c>
      <c r="D90" s="25" t="s">
        <v>254</v>
      </c>
      <c r="E90" s="26" t="s">
        <v>43</v>
      </c>
      <c r="F90" s="27" t="s">
        <v>43</v>
      </c>
      <c r="G90" s="28" t="s">
        <v>43</v>
      </c>
      <c r="H90" s="29"/>
      <c r="I90" s="29" t="s">
        <v>44</v>
      </c>
      <c r="J90" s="30">
        <v>10</v>
      </c>
      <c r="K90" s="31">
        <f>1208.5</f>
        <v>1208.5</v>
      </c>
      <c r="L90" s="32" t="s">
        <v>1085</v>
      </c>
      <c r="M90" s="31">
        <f>1273</f>
        <v>1273</v>
      </c>
      <c r="N90" s="32" t="s">
        <v>662</v>
      </c>
      <c r="O90" s="31">
        <f>1206</f>
        <v>1206</v>
      </c>
      <c r="P90" s="32" t="s">
        <v>661</v>
      </c>
      <c r="Q90" s="31">
        <f>1209</f>
        <v>1209</v>
      </c>
      <c r="R90" s="32" t="s">
        <v>661</v>
      </c>
      <c r="S90" s="33">
        <f>1232.13</f>
        <v>1232.1300000000001</v>
      </c>
      <c r="T90" s="30">
        <f>764560</f>
        <v>764560</v>
      </c>
      <c r="U90" s="30">
        <f>2560</f>
        <v>2560</v>
      </c>
      <c r="V90" s="30">
        <f>940458935</f>
        <v>940458935</v>
      </c>
      <c r="W90" s="30">
        <f>3131325</f>
        <v>3131325</v>
      </c>
      <c r="X90" s="34">
        <f>19</f>
        <v>19</v>
      </c>
    </row>
    <row r="91" spans="1:24">
      <c r="A91" s="25" t="s">
        <v>1179</v>
      </c>
      <c r="B91" s="25" t="s">
        <v>255</v>
      </c>
      <c r="C91" s="25" t="s">
        <v>256</v>
      </c>
      <c r="D91" s="25" t="s">
        <v>257</v>
      </c>
      <c r="E91" s="26" t="s">
        <v>43</v>
      </c>
      <c r="F91" s="27" t="s">
        <v>43</v>
      </c>
      <c r="G91" s="28" t="s">
        <v>43</v>
      </c>
      <c r="H91" s="29"/>
      <c r="I91" s="29" t="s">
        <v>44</v>
      </c>
      <c r="J91" s="30">
        <v>1</v>
      </c>
      <c r="K91" s="31">
        <f>28070</f>
        <v>28070</v>
      </c>
      <c r="L91" s="32" t="s">
        <v>1085</v>
      </c>
      <c r="M91" s="31">
        <f>28665</f>
        <v>28665</v>
      </c>
      <c r="N91" s="32" t="s">
        <v>1079</v>
      </c>
      <c r="O91" s="31">
        <f>25545</f>
        <v>25545</v>
      </c>
      <c r="P91" s="32" t="s">
        <v>662</v>
      </c>
      <c r="Q91" s="31">
        <f>27650</f>
        <v>27650</v>
      </c>
      <c r="R91" s="32" t="s">
        <v>661</v>
      </c>
      <c r="S91" s="33">
        <f>27247.63</f>
        <v>27247.63</v>
      </c>
      <c r="T91" s="30">
        <f>102537165</f>
        <v>102537165</v>
      </c>
      <c r="U91" s="30">
        <f>478187</f>
        <v>478187</v>
      </c>
      <c r="V91" s="30">
        <f>2796575517617</f>
        <v>2796575517617</v>
      </c>
      <c r="W91" s="30">
        <f>13073986812</f>
        <v>13073986812</v>
      </c>
      <c r="X91" s="34">
        <f>19</f>
        <v>19</v>
      </c>
    </row>
    <row r="92" spans="1:24">
      <c r="A92" s="25" t="s">
        <v>1179</v>
      </c>
      <c r="B92" s="25" t="s">
        <v>258</v>
      </c>
      <c r="C92" s="25" t="s">
        <v>259</v>
      </c>
      <c r="D92" s="25" t="s">
        <v>260</v>
      </c>
      <c r="E92" s="26" t="s">
        <v>43</v>
      </c>
      <c r="F92" s="27" t="s">
        <v>43</v>
      </c>
      <c r="G92" s="28" t="s">
        <v>43</v>
      </c>
      <c r="H92" s="29"/>
      <c r="I92" s="29" t="s">
        <v>44</v>
      </c>
      <c r="J92" s="30">
        <v>1</v>
      </c>
      <c r="K92" s="31">
        <f>568</f>
        <v>568</v>
      </c>
      <c r="L92" s="32" t="s">
        <v>1085</v>
      </c>
      <c r="M92" s="31">
        <f>594</f>
        <v>594</v>
      </c>
      <c r="N92" s="32" t="s">
        <v>662</v>
      </c>
      <c r="O92" s="31">
        <f>560</f>
        <v>560</v>
      </c>
      <c r="P92" s="32" t="s">
        <v>663</v>
      </c>
      <c r="Q92" s="31">
        <f>571</f>
        <v>571</v>
      </c>
      <c r="R92" s="32" t="s">
        <v>661</v>
      </c>
      <c r="S92" s="33">
        <f>575.26</f>
        <v>575.26</v>
      </c>
      <c r="T92" s="30">
        <f>29338675</f>
        <v>29338675</v>
      </c>
      <c r="U92" s="30">
        <f>3173977</f>
        <v>3173977</v>
      </c>
      <c r="V92" s="30">
        <f>16893205692</f>
        <v>16893205692</v>
      </c>
      <c r="W92" s="30">
        <f>1805302887</f>
        <v>1805302887</v>
      </c>
      <c r="X92" s="34">
        <f>19</f>
        <v>19</v>
      </c>
    </row>
    <row r="93" spans="1:24">
      <c r="A93" s="25" t="s">
        <v>1179</v>
      </c>
      <c r="B93" s="25" t="s">
        <v>261</v>
      </c>
      <c r="C93" s="25" t="s">
        <v>262</v>
      </c>
      <c r="D93" s="25" t="s">
        <v>263</v>
      </c>
      <c r="E93" s="26" t="s">
        <v>43</v>
      </c>
      <c r="F93" s="27" t="s">
        <v>43</v>
      </c>
      <c r="G93" s="28" t="s">
        <v>43</v>
      </c>
      <c r="H93" s="29"/>
      <c r="I93" s="29" t="s">
        <v>44</v>
      </c>
      <c r="J93" s="30">
        <v>10</v>
      </c>
      <c r="K93" s="31">
        <f>5490</f>
        <v>5490</v>
      </c>
      <c r="L93" s="32" t="s">
        <v>1085</v>
      </c>
      <c r="M93" s="31">
        <f>6100</f>
        <v>6100</v>
      </c>
      <c r="N93" s="32" t="s">
        <v>661</v>
      </c>
      <c r="O93" s="31">
        <f>5007</f>
        <v>5007</v>
      </c>
      <c r="P93" s="32" t="s">
        <v>1080</v>
      </c>
      <c r="Q93" s="31">
        <f>6030</f>
        <v>6030</v>
      </c>
      <c r="R93" s="32" t="s">
        <v>661</v>
      </c>
      <c r="S93" s="33">
        <f>5467.53</f>
        <v>5467.53</v>
      </c>
      <c r="T93" s="30">
        <f>355060</f>
        <v>355060</v>
      </c>
      <c r="U93" s="30" t="str">
        <f>"－"</f>
        <v>－</v>
      </c>
      <c r="V93" s="30">
        <f>1966477710</f>
        <v>1966477710</v>
      </c>
      <c r="W93" s="30" t="str">
        <f>"－"</f>
        <v>－</v>
      </c>
      <c r="X93" s="34">
        <f>19</f>
        <v>19</v>
      </c>
    </row>
    <row r="94" spans="1:24">
      <c r="A94" s="25" t="s">
        <v>1179</v>
      </c>
      <c r="B94" s="25" t="s">
        <v>264</v>
      </c>
      <c r="C94" s="25" t="s">
        <v>265</v>
      </c>
      <c r="D94" s="25" t="s">
        <v>266</v>
      </c>
      <c r="E94" s="26" t="s">
        <v>43</v>
      </c>
      <c r="F94" s="27" t="s">
        <v>43</v>
      </c>
      <c r="G94" s="28" t="s">
        <v>43</v>
      </c>
      <c r="H94" s="29"/>
      <c r="I94" s="29" t="s">
        <v>44</v>
      </c>
      <c r="J94" s="30">
        <v>10</v>
      </c>
      <c r="K94" s="31">
        <f>10495</f>
        <v>10495</v>
      </c>
      <c r="L94" s="32" t="s">
        <v>1085</v>
      </c>
      <c r="M94" s="31">
        <f>11085</f>
        <v>11085</v>
      </c>
      <c r="N94" s="32" t="s">
        <v>1080</v>
      </c>
      <c r="O94" s="31">
        <f>9731</f>
        <v>9731</v>
      </c>
      <c r="P94" s="32" t="s">
        <v>661</v>
      </c>
      <c r="Q94" s="31">
        <f>9812</f>
        <v>9812</v>
      </c>
      <c r="R94" s="32" t="s">
        <v>661</v>
      </c>
      <c r="S94" s="33">
        <f>10408.26</f>
        <v>10408.26</v>
      </c>
      <c r="T94" s="30">
        <f>44140</f>
        <v>44140</v>
      </c>
      <c r="U94" s="30">
        <f>10</f>
        <v>10</v>
      </c>
      <c r="V94" s="30">
        <f>459166510</f>
        <v>459166510</v>
      </c>
      <c r="W94" s="30">
        <f>99710</f>
        <v>99710</v>
      </c>
      <c r="X94" s="34">
        <f>19</f>
        <v>19</v>
      </c>
    </row>
    <row r="95" spans="1:24">
      <c r="A95" s="25" t="s">
        <v>1179</v>
      </c>
      <c r="B95" s="25" t="s">
        <v>267</v>
      </c>
      <c r="C95" s="25" t="s">
        <v>268</v>
      </c>
      <c r="D95" s="25" t="s">
        <v>944</v>
      </c>
      <c r="E95" s="26" t="s">
        <v>43</v>
      </c>
      <c r="F95" s="27" t="s">
        <v>43</v>
      </c>
      <c r="G95" s="28" t="s">
        <v>43</v>
      </c>
      <c r="H95" s="29"/>
      <c r="I95" s="29" t="s">
        <v>44</v>
      </c>
      <c r="J95" s="30">
        <v>1</v>
      </c>
      <c r="K95" s="31">
        <f>38760</f>
        <v>38760</v>
      </c>
      <c r="L95" s="32" t="s">
        <v>1085</v>
      </c>
      <c r="M95" s="31">
        <f>38850</f>
        <v>38850</v>
      </c>
      <c r="N95" s="32" t="s">
        <v>1079</v>
      </c>
      <c r="O95" s="31">
        <f>36870</f>
        <v>36870</v>
      </c>
      <c r="P95" s="32" t="s">
        <v>662</v>
      </c>
      <c r="Q95" s="31">
        <f>38700</f>
        <v>38700</v>
      </c>
      <c r="R95" s="32" t="s">
        <v>661</v>
      </c>
      <c r="S95" s="33">
        <f>37965.26</f>
        <v>37965.26</v>
      </c>
      <c r="T95" s="30">
        <f>68196</f>
        <v>68196</v>
      </c>
      <c r="U95" s="30">
        <f>28406</f>
        <v>28406</v>
      </c>
      <c r="V95" s="30">
        <f>2590691441</f>
        <v>2590691441</v>
      </c>
      <c r="W95" s="30">
        <f>1080315131</f>
        <v>1080315131</v>
      </c>
      <c r="X95" s="34">
        <f>19</f>
        <v>19</v>
      </c>
    </row>
    <row r="96" spans="1:24">
      <c r="A96" s="25" t="s">
        <v>1179</v>
      </c>
      <c r="B96" s="25" t="s">
        <v>269</v>
      </c>
      <c r="C96" s="25" t="s">
        <v>270</v>
      </c>
      <c r="D96" s="25" t="s">
        <v>271</v>
      </c>
      <c r="E96" s="26" t="s">
        <v>43</v>
      </c>
      <c r="F96" s="27" t="s">
        <v>43</v>
      </c>
      <c r="G96" s="28" t="s">
        <v>43</v>
      </c>
      <c r="H96" s="29"/>
      <c r="I96" s="29" t="s">
        <v>44</v>
      </c>
      <c r="J96" s="30">
        <v>1</v>
      </c>
      <c r="K96" s="31">
        <f>3195</f>
        <v>3195</v>
      </c>
      <c r="L96" s="32" t="s">
        <v>1085</v>
      </c>
      <c r="M96" s="31">
        <f>3215</f>
        <v>3215</v>
      </c>
      <c r="N96" s="32" t="s">
        <v>1085</v>
      </c>
      <c r="O96" s="31">
        <f>3030</f>
        <v>3030</v>
      </c>
      <c r="P96" s="32" t="s">
        <v>662</v>
      </c>
      <c r="Q96" s="31">
        <f>3145</f>
        <v>3145</v>
      </c>
      <c r="R96" s="32" t="s">
        <v>661</v>
      </c>
      <c r="S96" s="33">
        <f>3131.84</f>
        <v>3131.84</v>
      </c>
      <c r="T96" s="30">
        <f>95501</f>
        <v>95501</v>
      </c>
      <c r="U96" s="30">
        <f>72</f>
        <v>72</v>
      </c>
      <c r="V96" s="30">
        <f>299538150</f>
        <v>299538150</v>
      </c>
      <c r="W96" s="30">
        <f>226870</f>
        <v>226870</v>
      </c>
      <c r="X96" s="34">
        <f>19</f>
        <v>19</v>
      </c>
    </row>
    <row r="97" spans="1:24">
      <c r="A97" s="25" t="s">
        <v>1179</v>
      </c>
      <c r="B97" s="25" t="s">
        <v>272</v>
      </c>
      <c r="C97" s="25" t="s">
        <v>273</v>
      </c>
      <c r="D97" s="25" t="s">
        <v>274</v>
      </c>
      <c r="E97" s="26" t="s">
        <v>43</v>
      </c>
      <c r="F97" s="27" t="s">
        <v>43</v>
      </c>
      <c r="G97" s="28" t="s">
        <v>43</v>
      </c>
      <c r="H97" s="29"/>
      <c r="I97" s="29" t="s">
        <v>44</v>
      </c>
      <c r="J97" s="30">
        <v>10</v>
      </c>
      <c r="K97" s="31">
        <f>302.7</f>
        <v>302.7</v>
      </c>
      <c r="L97" s="32" t="s">
        <v>1085</v>
      </c>
      <c r="M97" s="31">
        <f>308.2</f>
        <v>308.2</v>
      </c>
      <c r="N97" s="32" t="s">
        <v>1079</v>
      </c>
      <c r="O97" s="31">
        <f>274.6</f>
        <v>274.60000000000002</v>
      </c>
      <c r="P97" s="32" t="s">
        <v>662</v>
      </c>
      <c r="Q97" s="31">
        <f>297.4</f>
        <v>297.39999999999998</v>
      </c>
      <c r="R97" s="32" t="s">
        <v>661</v>
      </c>
      <c r="S97" s="33">
        <f>292.96</f>
        <v>292.95999999999998</v>
      </c>
      <c r="T97" s="30">
        <f>727417720</f>
        <v>727417720</v>
      </c>
      <c r="U97" s="30">
        <f>16633720</f>
        <v>16633720</v>
      </c>
      <c r="V97" s="30">
        <f>213012410798</f>
        <v>213012410798</v>
      </c>
      <c r="W97" s="30">
        <f>4870347790</f>
        <v>4870347790</v>
      </c>
      <c r="X97" s="34">
        <f>19</f>
        <v>19</v>
      </c>
    </row>
    <row r="98" spans="1:24">
      <c r="A98" s="25" t="s">
        <v>1179</v>
      </c>
      <c r="B98" s="25" t="s">
        <v>275</v>
      </c>
      <c r="C98" s="25" t="s">
        <v>276</v>
      </c>
      <c r="D98" s="25" t="s">
        <v>277</v>
      </c>
      <c r="E98" s="26" t="s">
        <v>43</v>
      </c>
      <c r="F98" s="27" t="s">
        <v>43</v>
      </c>
      <c r="G98" s="28" t="s">
        <v>43</v>
      </c>
      <c r="H98" s="29"/>
      <c r="I98" s="29" t="s">
        <v>44</v>
      </c>
      <c r="J98" s="30">
        <v>10</v>
      </c>
      <c r="K98" s="31">
        <f>1508</f>
        <v>1508</v>
      </c>
      <c r="L98" s="32" t="s">
        <v>1085</v>
      </c>
      <c r="M98" s="31">
        <f>1576</f>
        <v>1576</v>
      </c>
      <c r="N98" s="32" t="s">
        <v>662</v>
      </c>
      <c r="O98" s="31">
        <f>1488.5</f>
        <v>1488.5</v>
      </c>
      <c r="P98" s="32" t="s">
        <v>663</v>
      </c>
      <c r="Q98" s="31">
        <f>1512</f>
        <v>1512</v>
      </c>
      <c r="R98" s="32" t="s">
        <v>661</v>
      </c>
      <c r="S98" s="33">
        <f>1526.68</f>
        <v>1526.68</v>
      </c>
      <c r="T98" s="30">
        <f>11485610</f>
        <v>11485610</v>
      </c>
      <c r="U98" s="30">
        <f>4140640</f>
        <v>4140640</v>
      </c>
      <c r="V98" s="30">
        <f>17455842035</f>
        <v>17455842035</v>
      </c>
      <c r="W98" s="30">
        <f>6236208570</f>
        <v>6236208570</v>
      </c>
      <c r="X98" s="34">
        <f>19</f>
        <v>19</v>
      </c>
    </row>
    <row r="99" spans="1:24">
      <c r="A99" s="25" t="s">
        <v>1179</v>
      </c>
      <c r="B99" s="25" t="s">
        <v>278</v>
      </c>
      <c r="C99" s="25" t="s">
        <v>894</v>
      </c>
      <c r="D99" s="25" t="s">
        <v>895</v>
      </c>
      <c r="E99" s="26" t="s">
        <v>43</v>
      </c>
      <c r="F99" s="27" t="s">
        <v>43</v>
      </c>
      <c r="G99" s="28" t="s">
        <v>43</v>
      </c>
      <c r="H99" s="29"/>
      <c r="I99" s="29" t="s">
        <v>44</v>
      </c>
      <c r="J99" s="30">
        <v>10</v>
      </c>
      <c r="K99" s="31">
        <f>1854.5</f>
        <v>1854.5</v>
      </c>
      <c r="L99" s="32" t="s">
        <v>1085</v>
      </c>
      <c r="M99" s="31">
        <f>1930</f>
        <v>1930</v>
      </c>
      <c r="N99" s="32" t="s">
        <v>1085</v>
      </c>
      <c r="O99" s="31">
        <f>1787.5</f>
        <v>1787.5</v>
      </c>
      <c r="P99" s="32" t="s">
        <v>662</v>
      </c>
      <c r="Q99" s="31">
        <f>1880</f>
        <v>1880</v>
      </c>
      <c r="R99" s="32" t="s">
        <v>661</v>
      </c>
      <c r="S99" s="33">
        <f>1850.15</f>
        <v>1850.15</v>
      </c>
      <c r="T99" s="30">
        <f>6180</f>
        <v>6180</v>
      </c>
      <c r="U99" s="30">
        <f>20</f>
        <v>20</v>
      </c>
      <c r="V99" s="30">
        <f>11349865</f>
        <v>11349865</v>
      </c>
      <c r="W99" s="30">
        <f>37395</f>
        <v>37395</v>
      </c>
      <c r="X99" s="34">
        <f>17</f>
        <v>17</v>
      </c>
    </row>
    <row r="100" spans="1:24">
      <c r="A100" s="25" t="s">
        <v>1179</v>
      </c>
      <c r="B100" s="25" t="s">
        <v>279</v>
      </c>
      <c r="C100" s="25" t="s">
        <v>280</v>
      </c>
      <c r="D100" s="25" t="s">
        <v>281</v>
      </c>
      <c r="E100" s="26" t="s">
        <v>43</v>
      </c>
      <c r="F100" s="27" t="s">
        <v>43</v>
      </c>
      <c r="G100" s="28" t="s">
        <v>43</v>
      </c>
      <c r="H100" s="29"/>
      <c r="I100" s="29" t="s">
        <v>44</v>
      </c>
      <c r="J100" s="30">
        <v>1</v>
      </c>
      <c r="K100" s="31">
        <f>2212</f>
        <v>2212</v>
      </c>
      <c r="L100" s="32" t="s">
        <v>1085</v>
      </c>
      <c r="M100" s="31">
        <f>2221</f>
        <v>2221</v>
      </c>
      <c r="N100" s="32" t="s">
        <v>1085</v>
      </c>
      <c r="O100" s="31">
        <f>2088</f>
        <v>2088</v>
      </c>
      <c r="P100" s="32" t="s">
        <v>662</v>
      </c>
      <c r="Q100" s="31">
        <f>2200</f>
        <v>2200</v>
      </c>
      <c r="R100" s="32" t="s">
        <v>661</v>
      </c>
      <c r="S100" s="33">
        <f>2156.58</f>
        <v>2156.58</v>
      </c>
      <c r="T100" s="30">
        <f>1926</f>
        <v>1926</v>
      </c>
      <c r="U100" s="30">
        <f>3</f>
        <v>3</v>
      </c>
      <c r="V100" s="30">
        <f>4132241</f>
        <v>4132241</v>
      </c>
      <c r="W100" s="30">
        <f>6065</f>
        <v>6065</v>
      </c>
      <c r="X100" s="34">
        <f>19</f>
        <v>19</v>
      </c>
    </row>
    <row r="101" spans="1:24">
      <c r="A101" s="25" t="s">
        <v>1179</v>
      </c>
      <c r="B101" s="25" t="s">
        <v>282</v>
      </c>
      <c r="C101" s="25" t="s">
        <v>283</v>
      </c>
      <c r="D101" s="25" t="s">
        <v>284</v>
      </c>
      <c r="E101" s="26" t="s">
        <v>43</v>
      </c>
      <c r="F101" s="27" t="s">
        <v>43</v>
      </c>
      <c r="G101" s="28" t="s">
        <v>43</v>
      </c>
      <c r="H101" s="29"/>
      <c r="I101" s="29" t="s">
        <v>44</v>
      </c>
      <c r="J101" s="30">
        <v>1</v>
      </c>
      <c r="K101" s="31">
        <f>25465</f>
        <v>25465</v>
      </c>
      <c r="L101" s="32" t="s">
        <v>1085</v>
      </c>
      <c r="M101" s="31">
        <f>25465</f>
        <v>25465</v>
      </c>
      <c r="N101" s="32" t="s">
        <v>1085</v>
      </c>
      <c r="O101" s="31">
        <f>24130</f>
        <v>24130</v>
      </c>
      <c r="P101" s="32" t="s">
        <v>662</v>
      </c>
      <c r="Q101" s="31">
        <f>25115</f>
        <v>25115</v>
      </c>
      <c r="R101" s="32" t="s">
        <v>661</v>
      </c>
      <c r="S101" s="33">
        <f>24879.47</f>
        <v>24879.47</v>
      </c>
      <c r="T101" s="30">
        <f>77013</f>
        <v>77013</v>
      </c>
      <c r="U101" s="30">
        <f>50007</f>
        <v>50007</v>
      </c>
      <c r="V101" s="30">
        <f>1898129737</f>
        <v>1898129737</v>
      </c>
      <c r="W101" s="30">
        <f>1223517337</f>
        <v>1223517337</v>
      </c>
      <c r="X101" s="34">
        <f>19</f>
        <v>19</v>
      </c>
    </row>
    <row r="102" spans="1:24">
      <c r="A102" s="25" t="s">
        <v>1179</v>
      </c>
      <c r="B102" s="25" t="s">
        <v>285</v>
      </c>
      <c r="C102" s="25" t="s">
        <v>286</v>
      </c>
      <c r="D102" s="25" t="s">
        <v>287</v>
      </c>
      <c r="E102" s="26" t="s">
        <v>43</v>
      </c>
      <c r="F102" s="27" t="s">
        <v>43</v>
      </c>
      <c r="G102" s="28" t="s">
        <v>43</v>
      </c>
      <c r="H102" s="29"/>
      <c r="I102" s="29" t="s">
        <v>44</v>
      </c>
      <c r="J102" s="30">
        <v>1</v>
      </c>
      <c r="K102" s="31">
        <f>2346</f>
        <v>2346</v>
      </c>
      <c r="L102" s="32" t="s">
        <v>1085</v>
      </c>
      <c r="M102" s="31">
        <f>2346</f>
        <v>2346</v>
      </c>
      <c r="N102" s="32" t="s">
        <v>1085</v>
      </c>
      <c r="O102" s="31">
        <f>2177</f>
        <v>2177</v>
      </c>
      <c r="P102" s="32" t="s">
        <v>662</v>
      </c>
      <c r="Q102" s="31">
        <f>2318</f>
        <v>2318</v>
      </c>
      <c r="R102" s="32" t="s">
        <v>661</v>
      </c>
      <c r="S102" s="33">
        <f>2272.42</f>
        <v>2272.42</v>
      </c>
      <c r="T102" s="30">
        <f>54801</f>
        <v>54801</v>
      </c>
      <c r="U102" s="30">
        <f>12</f>
        <v>12</v>
      </c>
      <c r="V102" s="30">
        <f>124252126</f>
        <v>124252126</v>
      </c>
      <c r="W102" s="30">
        <f>27333</f>
        <v>27333</v>
      </c>
      <c r="X102" s="34">
        <f>19</f>
        <v>19</v>
      </c>
    </row>
    <row r="103" spans="1:24">
      <c r="A103" s="25" t="s">
        <v>1179</v>
      </c>
      <c r="B103" s="25" t="s">
        <v>288</v>
      </c>
      <c r="C103" s="25" t="s">
        <v>289</v>
      </c>
      <c r="D103" s="25" t="s">
        <v>290</v>
      </c>
      <c r="E103" s="26" t="s">
        <v>43</v>
      </c>
      <c r="F103" s="27" t="s">
        <v>43</v>
      </c>
      <c r="G103" s="28" t="s">
        <v>43</v>
      </c>
      <c r="H103" s="29"/>
      <c r="I103" s="29" t="s">
        <v>44</v>
      </c>
      <c r="J103" s="30">
        <v>1</v>
      </c>
      <c r="K103" s="31">
        <f>26290</f>
        <v>26290</v>
      </c>
      <c r="L103" s="32" t="s">
        <v>1085</v>
      </c>
      <c r="M103" s="31">
        <f>26290</f>
        <v>26290</v>
      </c>
      <c r="N103" s="32" t="s">
        <v>1085</v>
      </c>
      <c r="O103" s="31">
        <f>24650</f>
        <v>24650</v>
      </c>
      <c r="P103" s="32" t="s">
        <v>662</v>
      </c>
      <c r="Q103" s="31">
        <f>25900</f>
        <v>25900</v>
      </c>
      <c r="R103" s="32" t="s">
        <v>661</v>
      </c>
      <c r="S103" s="33">
        <f>25569.21</f>
        <v>25569.21</v>
      </c>
      <c r="T103" s="30">
        <f>90193</f>
        <v>90193</v>
      </c>
      <c r="U103" s="30">
        <f>66225</f>
        <v>66225</v>
      </c>
      <c r="V103" s="30">
        <f>2262419656</f>
        <v>2262419656</v>
      </c>
      <c r="W103" s="30">
        <f>1655829656</f>
        <v>1655829656</v>
      </c>
      <c r="X103" s="34">
        <f>19</f>
        <v>19</v>
      </c>
    </row>
    <row r="104" spans="1:24">
      <c r="A104" s="25" t="s">
        <v>1179</v>
      </c>
      <c r="B104" s="25" t="s">
        <v>291</v>
      </c>
      <c r="C104" s="25" t="s">
        <v>292</v>
      </c>
      <c r="D104" s="25" t="s">
        <v>293</v>
      </c>
      <c r="E104" s="26" t="s">
        <v>43</v>
      </c>
      <c r="F104" s="27" t="s">
        <v>43</v>
      </c>
      <c r="G104" s="28" t="s">
        <v>43</v>
      </c>
      <c r="H104" s="29"/>
      <c r="I104" s="29" t="s">
        <v>44</v>
      </c>
      <c r="J104" s="30">
        <v>10</v>
      </c>
      <c r="K104" s="31">
        <f>1710</f>
        <v>1710</v>
      </c>
      <c r="L104" s="32" t="s">
        <v>1085</v>
      </c>
      <c r="M104" s="31">
        <f>1752.5</f>
        <v>1752.5</v>
      </c>
      <c r="N104" s="32" t="s">
        <v>859</v>
      </c>
      <c r="O104" s="31">
        <f>1660.5</f>
        <v>1660.5</v>
      </c>
      <c r="P104" s="32" t="s">
        <v>756</v>
      </c>
      <c r="Q104" s="31">
        <f>1738</f>
        <v>1738</v>
      </c>
      <c r="R104" s="32" t="s">
        <v>661</v>
      </c>
      <c r="S104" s="33">
        <f>1701.79</f>
        <v>1701.79</v>
      </c>
      <c r="T104" s="30">
        <f>1891730</f>
        <v>1891730</v>
      </c>
      <c r="U104" s="30">
        <f>590830</f>
        <v>590830</v>
      </c>
      <c r="V104" s="30">
        <f>3218627404</f>
        <v>3218627404</v>
      </c>
      <c r="W104" s="30">
        <f>1000755519</f>
        <v>1000755519</v>
      </c>
      <c r="X104" s="34">
        <f>19</f>
        <v>19</v>
      </c>
    </row>
    <row r="105" spans="1:24">
      <c r="A105" s="25" t="s">
        <v>1179</v>
      </c>
      <c r="B105" s="25" t="s">
        <v>294</v>
      </c>
      <c r="C105" s="25" t="s">
        <v>295</v>
      </c>
      <c r="D105" s="25" t="s">
        <v>296</v>
      </c>
      <c r="E105" s="26" t="s">
        <v>43</v>
      </c>
      <c r="F105" s="27" t="s">
        <v>43</v>
      </c>
      <c r="G105" s="28" t="s">
        <v>43</v>
      </c>
      <c r="H105" s="29"/>
      <c r="I105" s="29" t="s">
        <v>44</v>
      </c>
      <c r="J105" s="30">
        <v>10</v>
      </c>
      <c r="K105" s="31">
        <f>2260</f>
        <v>2260</v>
      </c>
      <c r="L105" s="32" t="s">
        <v>738</v>
      </c>
      <c r="M105" s="31">
        <f>2260</f>
        <v>2260</v>
      </c>
      <c r="N105" s="32" t="s">
        <v>738</v>
      </c>
      <c r="O105" s="31">
        <f>2204.5</f>
        <v>2204.5</v>
      </c>
      <c r="P105" s="32" t="s">
        <v>1080</v>
      </c>
      <c r="Q105" s="31">
        <f>2204.5</f>
        <v>2204.5</v>
      </c>
      <c r="R105" s="32" t="s">
        <v>1080</v>
      </c>
      <c r="S105" s="33">
        <f>2232.25</f>
        <v>2232.25</v>
      </c>
      <c r="T105" s="30">
        <f>220</f>
        <v>220</v>
      </c>
      <c r="U105" s="30" t="str">
        <f>"－"</f>
        <v>－</v>
      </c>
      <c r="V105" s="30">
        <f>491650</f>
        <v>491650</v>
      </c>
      <c r="W105" s="30" t="str">
        <f>"－"</f>
        <v>－</v>
      </c>
      <c r="X105" s="34">
        <f>2</f>
        <v>2</v>
      </c>
    </row>
    <row r="106" spans="1:24">
      <c r="A106" s="25" t="s">
        <v>1179</v>
      </c>
      <c r="B106" s="25" t="s">
        <v>297</v>
      </c>
      <c r="C106" s="25" t="s">
        <v>298</v>
      </c>
      <c r="D106" s="25" t="s">
        <v>299</v>
      </c>
      <c r="E106" s="26" t="s">
        <v>43</v>
      </c>
      <c r="F106" s="27" t="s">
        <v>43</v>
      </c>
      <c r="G106" s="28" t="s">
        <v>43</v>
      </c>
      <c r="H106" s="29"/>
      <c r="I106" s="29" t="s">
        <v>44</v>
      </c>
      <c r="J106" s="30">
        <v>10</v>
      </c>
      <c r="K106" s="31">
        <f>1723</f>
        <v>1723</v>
      </c>
      <c r="L106" s="32" t="s">
        <v>1085</v>
      </c>
      <c r="M106" s="31">
        <f>1773.5</f>
        <v>1773.5</v>
      </c>
      <c r="N106" s="32" t="s">
        <v>859</v>
      </c>
      <c r="O106" s="31">
        <f>1682.5</f>
        <v>1682.5</v>
      </c>
      <c r="P106" s="32" t="s">
        <v>756</v>
      </c>
      <c r="Q106" s="31">
        <f>1760.5</f>
        <v>1760.5</v>
      </c>
      <c r="R106" s="32" t="s">
        <v>661</v>
      </c>
      <c r="S106" s="33">
        <f>1718.34</f>
        <v>1718.34</v>
      </c>
      <c r="T106" s="30">
        <f>10695030</f>
        <v>10695030</v>
      </c>
      <c r="U106" s="30">
        <f>3942010</f>
        <v>3942010</v>
      </c>
      <c r="V106" s="30">
        <f>18666331415</f>
        <v>18666331415</v>
      </c>
      <c r="W106" s="30">
        <f>6793359765</f>
        <v>6793359765</v>
      </c>
      <c r="X106" s="34">
        <f>19</f>
        <v>19</v>
      </c>
    </row>
    <row r="107" spans="1:24">
      <c r="A107" s="25" t="s">
        <v>1179</v>
      </c>
      <c r="B107" s="25" t="s">
        <v>300</v>
      </c>
      <c r="C107" s="25" t="s">
        <v>896</v>
      </c>
      <c r="D107" s="25" t="s">
        <v>897</v>
      </c>
      <c r="E107" s="26" t="s">
        <v>43</v>
      </c>
      <c r="F107" s="27" t="s">
        <v>43</v>
      </c>
      <c r="G107" s="28" t="s">
        <v>43</v>
      </c>
      <c r="H107" s="29"/>
      <c r="I107" s="29" t="s">
        <v>44</v>
      </c>
      <c r="J107" s="30">
        <v>1</v>
      </c>
      <c r="K107" s="31">
        <f>26015</f>
        <v>26015</v>
      </c>
      <c r="L107" s="32" t="s">
        <v>1085</v>
      </c>
      <c r="M107" s="31">
        <f>26050</f>
        <v>26050</v>
      </c>
      <c r="N107" s="32" t="s">
        <v>1079</v>
      </c>
      <c r="O107" s="31">
        <f>24490</f>
        <v>24490</v>
      </c>
      <c r="P107" s="32" t="s">
        <v>662</v>
      </c>
      <c r="Q107" s="31">
        <f>25660</f>
        <v>25660</v>
      </c>
      <c r="R107" s="32" t="s">
        <v>661</v>
      </c>
      <c r="S107" s="33">
        <f>25317.78</f>
        <v>25317.78</v>
      </c>
      <c r="T107" s="30">
        <f>1503</f>
        <v>1503</v>
      </c>
      <c r="U107" s="30">
        <f>4</f>
        <v>4</v>
      </c>
      <c r="V107" s="30">
        <f>38265085</f>
        <v>38265085</v>
      </c>
      <c r="W107" s="30">
        <f>101150</f>
        <v>101150</v>
      </c>
      <c r="X107" s="34">
        <f>18</f>
        <v>18</v>
      </c>
    </row>
    <row r="108" spans="1:24">
      <c r="A108" s="25" t="s">
        <v>1179</v>
      </c>
      <c r="B108" s="25" t="s">
        <v>1097</v>
      </c>
      <c r="C108" s="25" t="s">
        <v>1096</v>
      </c>
      <c r="D108" s="25" t="s">
        <v>1095</v>
      </c>
      <c r="E108" s="26" t="s">
        <v>43</v>
      </c>
      <c r="F108" s="27" t="s">
        <v>43</v>
      </c>
      <c r="G108" s="28" t="s">
        <v>43</v>
      </c>
      <c r="H108" s="29"/>
      <c r="I108" s="29" t="s">
        <v>44</v>
      </c>
      <c r="J108" s="30">
        <v>10</v>
      </c>
      <c r="K108" s="31">
        <f>535.3</f>
        <v>535.29999999999995</v>
      </c>
      <c r="L108" s="32" t="s">
        <v>1085</v>
      </c>
      <c r="M108" s="31">
        <f>535.3</f>
        <v>535.29999999999995</v>
      </c>
      <c r="N108" s="32" t="s">
        <v>1085</v>
      </c>
      <c r="O108" s="31">
        <f>504</f>
        <v>504</v>
      </c>
      <c r="P108" s="32" t="s">
        <v>662</v>
      </c>
      <c r="Q108" s="31">
        <f>531.2</f>
        <v>531.20000000000005</v>
      </c>
      <c r="R108" s="32" t="s">
        <v>661</v>
      </c>
      <c r="S108" s="33">
        <f>521.81</f>
        <v>521.80999999999995</v>
      </c>
      <c r="T108" s="30">
        <f>798030</f>
        <v>798030</v>
      </c>
      <c r="U108" s="30">
        <f>492730</f>
        <v>492730</v>
      </c>
      <c r="V108" s="30">
        <f>411031651</f>
        <v>411031651</v>
      </c>
      <c r="W108" s="30">
        <f>252752728</f>
        <v>252752728</v>
      </c>
      <c r="X108" s="34">
        <f>19</f>
        <v>19</v>
      </c>
    </row>
    <row r="109" spans="1:24">
      <c r="A109" s="25" t="s">
        <v>1179</v>
      </c>
      <c r="B109" s="25" t="s">
        <v>301</v>
      </c>
      <c r="C109" s="25" t="s">
        <v>302</v>
      </c>
      <c r="D109" s="25" t="s">
        <v>303</v>
      </c>
      <c r="E109" s="26" t="s">
        <v>43</v>
      </c>
      <c r="F109" s="27" t="s">
        <v>43</v>
      </c>
      <c r="G109" s="28" t="s">
        <v>43</v>
      </c>
      <c r="H109" s="29"/>
      <c r="I109" s="29" t="s">
        <v>44</v>
      </c>
      <c r="J109" s="30">
        <v>100</v>
      </c>
      <c r="K109" s="31">
        <f>384.8</f>
        <v>384.8</v>
      </c>
      <c r="L109" s="32" t="s">
        <v>1085</v>
      </c>
      <c r="M109" s="31">
        <f>406.6</f>
        <v>406.6</v>
      </c>
      <c r="N109" s="32" t="s">
        <v>661</v>
      </c>
      <c r="O109" s="31">
        <f>376.7</f>
        <v>376.7</v>
      </c>
      <c r="P109" s="32" t="s">
        <v>1080</v>
      </c>
      <c r="Q109" s="31">
        <f>405.5</f>
        <v>405.5</v>
      </c>
      <c r="R109" s="32" t="s">
        <v>661</v>
      </c>
      <c r="S109" s="33">
        <f>391.45</f>
        <v>391.45</v>
      </c>
      <c r="T109" s="30">
        <f>108006800</f>
        <v>108006800</v>
      </c>
      <c r="U109" s="30">
        <f>41360400</f>
        <v>41360400</v>
      </c>
      <c r="V109" s="30">
        <f>42437660362</f>
        <v>42437660362</v>
      </c>
      <c r="W109" s="30">
        <f>16416504142</f>
        <v>16416504142</v>
      </c>
      <c r="X109" s="34">
        <f>19</f>
        <v>19</v>
      </c>
    </row>
    <row r="110" spans="1:24">
      <c r="A110" s="25" t="s">
        <v>1179</v>
      </c>
      <c r="B110" s="25" t="s">
        <v>304</v>
      </c>
      <c r="C110" s="25" t="s">
        <v>305</v>
      </c>
      <c r="D110" s="25" t="s">
        <v>306</v>
      </c>
      <c r="E110" s="26" t="s">
        <v>43</v>
      </c>
      <c r="F110" s="27" t="s">
        <v>43</v>
      </c>
      <c r="G110" s="28" t="s">
        <v>43</v>
      </c>
      <c r="H110" s="29"/>
      <c r="I110" s="29" t="s">
        <v>44</v>
      </c>
      <c r="J110" s="30">
        <v>1</v>
      </c>
      <c r="K110" s="31">
        <f>38250</f>
        <v>38250</v>
      </c>
      <c r="L110" s="32" t="s">
        <v>1085</v>
      </c>
      <c r="M110" s="31">
        <f>38250</f>
        <v>38250</v>
      </c>
      <c r="N110" s="32" t="s">
        <v>1085</v>
      </c>
      <c r="O110" s="31">
        <f>35750</f>
        <v>35750</v>
      </c>
      <c r="P110" s="32" t="s">
        <v>662</v>
      </c>
      <c r="Q110" s="31">
        <f>36820</f>
        <v>36820</v>
      </c>
      <c r="R110" s="32" t="s">
        <v>661</v>
      </c>
      <c r="S110" s="33">
        <f>36593.68</f>
        <v>36593.68</v>
      </c>
      <c r="T110" s="30">
        <f>10621</f>
        <v>10621</v>
      </c>
      <c r="U110" s="30">
        <f>8077</f>
        <v>8077</v>
      </c>
      <c r="V110" s="30">
        <f>385559577</f>
        <v>385559577</v>
      </c>
      <c r="W110" s="30">
        <f>292105767</f>
        <v>292105767</v>
      </c>
      <c r="X110" s="34">
        <f>19</f>
        <v>19</v>
      </c>
    </row>
    <row r="111" spans="1:24">
      <c r="A111" s="25" t="s">
        <v>1179</v>
      </c>
      <c r="B111" s="25" t="s">
        <v>307</v>
      </c>
      <c r="C111" s="25" t="s">
        <v>308</v>
      </c>
      <c r="D111" s="25" t="s">
        <v>309</v>
      </c>
      <c r="E111" s="26" t="s">
        <v>43</v>
      </c>
      <c r="F111" s="27" t="s">
        <v>43</v>
      </c>
      <c r="G111" s="28" t="s">
        <v>43</v>
      </c>
      <c r="H111" s="29"/>
      <c r="I111" s="29" t="s">
        <v>44</v>
      </c>
      <c r="J111" s="30">
        <v>1</v>
      </c>
      <c r="K111" s="31">
        <f>21800</f>
        <v>21800</v>
      </c>
      <c r="L111" s="32" t="s">
        <v>1085</v>
      </c>
      <c r="M111" s="31">
        <f>21995</f>
        <v>21995</v>
      </c>
      <c r="N111" s="32" t="s">
        <v>1085</v>
      </c>
      <c r="O111" s="31">
        <f>20585</f>
        <v>20585</v>
      </c>
      <c r="P111" s="32" t="s">
        <v>859</v>
      </c>
      <c r="Q111" s="31">
        <f>20995</f>
        <v>20995</v>
      </c>
      <c r="R111" s="32" t="s">
        <v>661</v>
      </c>
      <c r="S111" s="33">
        <f>21250.53</f>
        <v>21250.53</v>
      </c>
      <c r="T111" s="30">
        <f>5572</f>
        <v>5572</v>
      </c>
      <c r="U111" s="30">
        <f>6</f>
        <v>6</v>
      </c>
      <c r="V111" s="30">
        <f>118014850</f>
        <v>118014850</v>
      </c>
      <c r="W111" s="30">
        <f>123765</f>
        <v>123765</v>
      </c>
      <c r="X111" s="34">
        <f>19</f>
        <v>19</v>
      </c>
    </row>
    <row r="112" spans="1:24">
      <c r="A112" s="25" t="s">
        <v>1179</v>
      </c>
      <c r="B112" s="25" t="s">
        <v>310</v>
      </c>
      <c r="C112" s="25" t="s">
        <v>311</v>
      </c>
      <c r="D112" s="25" t="s">
        <v>312</v>
      </c>
      <c r="E112" s="26" t="s">
        <v>43</v>
      </c>
      <c r="F112" s="27" t="s">
        <v>43</v>
      </c>
      <c r="G112" s="28" t="s">
        <v>43</v>
      </c>
      <c r="H112" s="29"/>
      <c r="I112" s="29" t="s">
        <v>44</v>
      </c>
      <c r="J112" s="30">
        <v>1</v>
      </c>
      <c r="K112" s="31">
        <f>31400</f>
        <v>31400</v>
      </c>
      <c r="L112" s="32" t="s">
        <v>1085</v>
      </c>
      <c r="M112" s="31">
        <f>31750</f>
        <v>31750</v>
      </c>
      <c r="N112" s="32" t="s">
        <v>1079</v>
      </c>
      <c r="O112" s="31">
        <f>29785</f>
        <v>29785</v>
      </c>
      <c r="P112" s="32" t="s">
        <v>662</v>
      </c>
      <c r="Q112" s="31">
        <f>31300</f>
        <v>31300</v>
      </c>
      <c r="R112" s="32" t="s">
        <v>661</v>
      </c>
      <c r="S112" s="33">
        <f>30675.79</f>
        <v>30675.79</v>
      </c>
      <c r="T112" s="30">
        <f>3203</f>
        <v>3203</v>
      </c>
      <c r="U112" s="30">
        <f>3</f>
        <v>3</v>
      </c>
      <c r="V112" s="30">
        <f>97876035</f>
        <v>97876035</v>
      </c>
      <c r="W112" s="30">
        <f>89600</f>
        <v>89600</v>
      </c>
      <c r="X112" s="34">
        <f>19</f>
        <v>19</v>
      </c>
    </row>
    <row r="113" spans="1:24">
      <c r="A113" s="25" t="s">
        <v>1179</v>
      </c>
      <c r="B113" s="25" t="s">
        <v>313</v>
      </c>
      <c r="C113" s="25" t="s">
        <v>314</v>
      </c>
      <c r="D113" s="25" t="s">
        <v>315</v>
      </c>
      <c r="E113" s="26" t="s">
        <v>43</v>
      </c>
      <c r="F113" s="27" t="s">
        <v>43</v>
      </c>
      <c r="G113" s="28" t="s">
        <v>43</v>
      </c>
      <c r="H113" s="29"/>
      <c r="I113" s="29" t="s">
        <v>44</v>
      </c>
      <c r="J113" s="30">
        <v>1</v>
      </c>
      <c r="K113" s="31">
        <f>29570</f>
        <v>29570</v>
      </c>
      <c r="L113" s="32" t="s">
        <v>1085</v>
      </c>
      <c r="M113" s="31">
        <f>29570</f>
        <v>29570</v>
      </c>
      <c r="N113" s="32" t="s">
        <v>1085</v>
      </c>
      <c r="O113" s="31">
        <f>28140</f>
        <v>28140</v>
      </c>
      <c r="P113" s="32" t="s">
        <v>662</v>
      </c>
      <c r="Q113" s="31">
        <f>28785</f>
        <v>28785</v>
      </c>
      <c r="R113" s="32" t="s">
        <v>661</v>
      </c>
      <c r="S113" s="33">
        <f>28787.37</f>
        <v>28787.37</v>
      </c>
      <c r="T113" s="30">
        <f>37648</f>
        <v>37648</v>
      </c>
      <c r="U113" s="30">
        <f>33000</f>
        <v>33000</v>
      </c>
      <c r="V113" s="30">
        <f>1070265137</f>
        <v>1070265137</v>
      </c>
      <c r="W113" s="30">
        <f>937319542</f>
        <v>937319542</v>
      </c>
      <c r="X113" s="34">
        <f>19</f>
        <v>19</v>
      </c>
    </row>
    <row r="114" spans="1:24">
      <c r="A114" s="25" t="s">
        <v>1179</v>
      </c>
      <c r="B114" s="25" t="s">
        <v>316</v>
      </c>
      <c r="C114" s="25" t="s">
        <v>317</v>
      </c>
      <c r="D114" s="25" t="s">
        <v>318</v>
      </c>
      <c r="E114" s="26" t="s">
        <v>43</v>
      </c>
      <c r="F114" s="27" t="s">
        <v>43</v>
      </c>
      <c r="G114" s="28" t="s">
        <v>43</v>
      </c>
      <c r="H114" s="29"/>
      <c r="I114" s="29" t="s">
        <v>44</v>
      </c>
      <c r="J114" s="30">
        <v>1</v>
      </c>
      <c r="K114" s="31">
        <f>27685</f>
        <v>27685</v>
      </c>
      <c r="L114" s="32" t="s">
        <v>1085</v>
      </c>
      <c r="M114" s="31">
        <f>27685</f>
        <v>27685</v>
      </c>
      <c r="N114" s="32" t="s">
        <v>1085</v>
      </c>
      <c r="O114" s="31">
        <f>26120</f>
        <v>26120</v>
      </c>
      <c r="P114" s="32" t="s">
        <v>662</v>
      </c>
      <c r="Q114" s="31">
        <f>27060</f>
        <v>27060</v>
      </c>
      <c r="R114" s="32" t="s">
        <v>661</v>
      </c>
      <c r="S114" s="33">
        <f>26899.74</f>
        <v>26899.74</v>
      </c>
      <c r="T114" s="30">
        <f>39929</f>
        <v>39929</v>
      </c>
      <c r="U114" s="30">
        <f>34012</f>
        <v>34012</v>
      </c>
      <c r="V114" s="30">
        <f>1090126069</f>
        <v>1090126069</v>
      </c>
      <c r="W114" s="30">
        <f>930072714</f>
        <v>930072714</v>
      </c>
      <c r="X114" s="34">
        <f>19</f>
        <v>19</v>
      </c>
    </row>
    <row r="115" spans="1:24">
      <c r="A115" s="25" t="s">
        <v>1179</v>
      </c>
      <c r="B115" s="25" t="s">
        <v>319</v>
      </c>
      <c r="C115" s="25" t="s">
        <v>320</v>
      </c>
      <c r="D115" s="25" t="s">
        <v>321</v>
      </c>
      <c r="E115" s="26" t="s">
        <v>43</v>
      </c>
      <c r="F115" s="27" t="s">
        <v>43</v>
      </c>
      <c r="G115" s="28" t="s">
        <v>43</v>
      </c>
      <c r="H115" s="29"/>
      <c r="I115" s="29" t="s">
        <v>44</v>
      </c>
      <c r="J115" s="30">
        <v>1</v>
      </c>
      <c r="K115" s="31">
        <f>32540</f>
        <v>32540</v>
      </c>
      <c r="L115" s="32" t="s">
        <v>1085</v>
      </c>
      <c r="M115" s="31">
        <f>33050</f>
        <v>33050</v>
      </c>
      <c r="N115" s="32" t="s">
        <v>1085</v>
      </c>
      <c r="O115" s="31">
        <f>30010</f>
        <v>30010</v>
      </c>
      <c r="P115" s="32" t="s">
        <v>662</v>
      </c>
      <c r="Q115" s="31">
        <f>31910</f>
        <v>31910</v>
      </c>
      <c r="R115" s="32" t="s">
        <v>661</v>
      </c>
      <c r="S115" s="33">
        <f>31351.05</f>
        <v>31351.05</v>
      </c>
      <c r="T115" s="30">
        <f>12531</f>
        <v>12531</v>
      </c>
      <c r="U115" s="30">
        <f>105</f>
        <v>105</v>
      </c>
      <c r="V115" s="30">
        <f>397782310</f>
        <v>397782310</v>
      </c>
      <c r="W115" s="30">
        <f>3241210</f>
        <v>3241210</v>
      </c>
      <c r="X115" s="34">
        <f>19</f>
        <v>19</v>
      </c>
    </row>
    <row r="116" spans="1:24">
      <c r="A116" s="25" t="s">
        <v>1179</v>
      </c>
      <c r="B116" s="25" t="s">
        <v>322</v>
      </c>
      <c r="C116" s="25" t="s">
        <v>323</v>
      </c>
      <c r="D116" s="25" t="s">
        <v>324</v>
      </c>
      <c r="E116" s="26" t="s">
        <v>43</v>
      </c>
      <c r="F116" s="27" t="s">
        <v>43</v>
      </c>
      <c r="G116" s="28" t="s">
        <v>43</v>
      </c>
      <c r="H116" s="29"/>
      <c r="I116" s="29" t="s">
        <v>44</v>
      </c>
      <c r="J116" s="30">
        <v>1</v>
      </c>
      <c r="K116" s="31">
        <f>27245</f>
        <v>27245</v>
      </c>
      <c r="L116" s="32" t="s">
        <v>1085</v>
      </c>
      <c r="M116" s="31">
        <f>28225</f>
        <v>28225</v>
      </c>
      <c r="N116" s="32" t="s">
        <v>1075</v>
      </c>
      <c r="O116" s="31">
        <f>26000</f>
        <v>26000</v>
      </c>
      <c r="P116" s="32" t="s">
        <v>662</v>
      </c>
      <c r="Q116" s="31">
        <f>27690</f>
        <v>27690</v>
      </c>
      <c r="R116" s="32" t="s">
        <v>661</v>
      </c>
      <c r="S116" s="33">
        <f>27055.53</f>
        <v>27055.53</v>
      </c>
      <c r="T116" s="30">
        <f>3478</f>
        <v>3478</v>
      </c>
      <c r="U116" s="30">
        <f>1</f>
        <v>1</v>
      </c>
      <c r="V116" s="30">
        <f>93839130</f>
        <v>93839130</v>
      </c>
      <c r="W116" s="30">
        <f>27285</f>
        <v>27285</v>
      </c>
      <c r="X116" s="34">
        <f>19</f>
        <v>19</v>
      </c>
    </row>
    <row r="117" spans="1:24">
      <c r="A117" s="25" t="s">
        <v>1179</v>
      </c>
      <c r="B117" s="25" t="s">
        <v>325</v>
      </c>
      <c r="C117" s="25" t="s">
        <v>326</v>
      </c>
      <c r="D117" s="25" t="s">
        <v>327</v>
      </c>
      <c r="E117" s="26" t="s">
        <v>43</v>
      </c>
      <c r="F117" s="27" t="s">
        <v>43</v>
      </c>
      <c r="G117" s="28" t="s">
        <v>43</v>
      </c>
      <c r="H117" s="29"/>
      <c r="I117" s="29" t="s">
        <v>44</v>
      </c>
      <c r="J117" s="30">
        <v>1</v>
      </c>
      <c r="K117" s="31">
        <f>58940</f>
        <v>58940</v>
      </c>
      <c r="L117" s="32" t="s">
        <v>1085</v>
      </c>
      <c r="M117" s="31">
        <f>60140</f>
        <v>60140</v>
      </c>
      <c r="N117" s="32" t="s">
        <v>1075</v>
      </c>
      <c r="O117" s="31">
        <f>55920</f>
        <v>55920</v>
      </c>
      <c r="P117" s="32" t="s">
        <v>662</v>
      </c>
      <c r="Q117" s="31">
        <f>59800</f>
        <v>59800</v>
      </c>
      <c r="R117" s="32" t="s">
        <v>661</v>
      </c>
      <c r="S117" s="33">
        <f>58153.68</f>
        <v>58153.68</v>
      </c>
      <c r="T117" s="30">
        <f>7416</f>
        <v>7416</v>
      </c>
      <c r="U117" s="30">
        <f>2038</f>
        <v>2038</v>
      </c>
      <c r="V117" s="30">
        <f>431863530</f>
        <v>431863530</v>
      </c>
      <c r="W117" s="30">
        <f>119832320</f>
        <v>119832320</v>
      </c>
      <c r="X117" s="34">
        <f>19</f>
        <v>19</v>
      </c>
    </row>
    <row r="118" spans="1:24">
      <c r="A118" s="25" t="s">
        <v>1179</v>
      </c>
      <c r="B118" s="25" t="s">
        <v>328</v>
      </c>
      <c r="C118" s="25" t="s">
        <v>329</v>
      </c>
      <c r="D118" s="25" t="s">
        <v>330</v>
      </c>
      <c r="E118" s="26" t="s">
        <v>43</v>
      </c>
      <c r="F118" s="27" t="s">
        <v>43</v>
      </c>
      <c r="G118" s="28" t="s">
        <v>43</v>
      </c>
      <c r="H118" s="29"/>
      <c r="I118" s="29" t="s">
        <v>44</v>
      </c>
      <c r="J118" s="30">
        <v>1</v>
      </c>
      <c r="K118" s="31">
        <f>38990</f>
        <v>38990</v>
      </c>
      <c r="L118" s="32" t="s">
        <v>1085</v>
      </c>
      <c r="M118" s="31">
        <f>39990</f>
        <v>39990</v>
      </c>
      <c r="N118" s="32" t="s">
        <v>1075</v>
      </c>
      <c r="O118" s="31">
        <f>37400</f>
        <v>37400</v>
      </c>
      <c r="P118" s="32" t="s">
        <v>662</v>
      </c>
      <c r="Q118" s="31">
        <f>39530</f>
        <v>39530</v>
      </c>
      <c r="R118" s="32" t="s">
        <v>661</v>
      </c>
      <c r="S118" s="33">
        <f>38700</f>
        <v>38700</v>
      </c>
      <c r="T118" s="30">
        <f>78514</f>
        <v>78514</v>
      </c>
      <c r="U118" s="30">
        <f>64590</f>
        <v>64590</v>
      </c>
      <c r="V118" s="30">
        <f>3054297412</f>
        <v>3054297412</v>
      </c>
      <c r="W118" s="30">
        <f>2518039692</f>
        <v>2518039692</v>
      </c>
      <c r="X118" s="34">
        <f>19</f>
        <v>19</v>
      </c>
    </row>
    <row r="119" spans="1:24">
      <c r="A119" s="25" t="s">
        <v>1179</v>
      </c>
      <c r="B119" s="25" t="s">
        <v>331</v>
      </c>
      <c r="C119" s="25" t="s">
        <v>332</v>
      </c>
      <c r="D119" s="25" t="s">
        <v>333</v>
      </c>
      <c r="E119" s="26" t="s">
        <v>43</v>
      </c>
      <c r="F119" s="27" t="s">
        <v>43</v>
      </c>
      <c r="G119" s="28" t="s">
        <v>43</v>
      </c>
      <c r="H119" s="29"/>
      <c r="I119" s="29" t="s">
        <v>44</v>
      </c>
      <c r="J119" s="30">
        <v>1</v>
      </c>
      <c r="K119" s="31">
        <f>37800</f>
        <v>37800</v>
      </c>
      <c r="L119" s="32" t="s">
        <v>1085</v>
      </c>
      <c r="M119" s="31">
        <f>38700</f>
        <v>38700</v>
      </c>
      <c r="N119" s="32" t="s">
        <v>755</v>
      </c>
      <c r="O119" s="31">
        <f>36090</f>
        <v>36090</v>
      </c>
      <c r="P119" s="32" t="s">
        <v>662</v>
      </c>
      <c r="Q119" s="31">
        <f>38620</f>
        <v>38620</v>
      </c>
      <c r="R119" s="32" t="s">
        <v>661</v>
      </c>
      <c r="S119" s="33">
        <f>37432.63</f>
        <v>37432.629999999997</v>
      </c>
      <c r="T119" s="30">
        <f>6939</f>
        <v>6939</v>
      </c>
      <c r="U119" s="30">
        <f>4037</f>
        <v>4037</v>
      </c>
      <c r="V119" s="30">
        <f>256113049</f>
        <v>256113049</v>
      </c>
      <c r="W119" s="30">
        <f>147462529</f>
        <v>147462529</v>
      </c>
      <c r="X119" s="34">
        <f>19</f>
        <v>19</v>
      </c>
    </row>
    <row r="120" spans="1:24">
      <c r="A120" s="25" t="s">
        <v>1179</v>
      </c>
      <c r="B120" s="25" t="s">
        <v>334</v>
      </c>
      <c r="C120" s="25" t="s">
        <v>335</v>
      </c>
      <c r="D120" s="25" t="s">
        <v>336</v>
      </c>
      <c r="E120" s="26" t="s">
        <v>43</v>
      </c>
      <c r="F120" s="27" t="s">
        <v>43</v>
      </c>
      <c r="G120" s="28" t="s">
        <v>43</v>
      </c>
      <c r="H120" s="29"/>
      <c r="I120" s="29" t="s">
        <v>44</v>
      </c>
      <c r="J120" s="30">
        <v>1</v>
      </c>
      <c r="K120" s="31">
        <f>8403</f>
        <v>8403</v>
      </c>
      <c r="L120" s="32" t="s">
        <v>1085</v>
      </c>
      <c r="M120" s="31">
        <f>8498</f>
        <v>8498</v>
      </c>
      <c r="N120" s="32" t="s">
        <v>1085</v>
      </c>
      <c r="O120" s="31">
        <f>7797</f>
        <v>7797</v>
      </c>
      <c r="P120" s="32" t="s">
        <v>756</v>
      </c>
      <c r="Q120" s="31">
        <f>8040</f>
        <v>8040</v>
      </c>
      <c r="R120" s="32" t="s">
        <v>661</v>
      </c>
      <c r="S120" s="33">
        <f>8004.11</f>
        <v>8004.11</v>
      </c>
      <c r="T120" s="30">
        <f>29661</f>
        <v>29661</v>
      </c>
      <c r="U120" s="30" t="str">
        <f>"－"</f>
        <v>－</v>
      </c>
      <c r="V120" s="30">
        <f>237539155</f>
        <v>237539155</v>
      </c>
      <c r="W120" s="30" t="str">
        <f>"－"</f>
        <v>－</v>
      </c>
      <c r="X120" s="34">
        <f>19</f>
        <v>19</v>
      </c>
    </row>
    <row r="121" spans="1:24">
      <c r="A121" s="25" t="s">
        <v>1179</v>
      </c>
      <c r="B121" s="25" t="s">
        <v>337</v>
      </c>
      <c r="C121" s="25" t="s">
        <v>338</v>
      </c>
      <c r="D121" s="25" t="s">
        <v>339</v>
      </c>
      <c r="E121" s="26" t="s">
        <v>43</v>
      </c>
      <c r="F121" s="27" t="s">
        <v>43</v>
      </c>
      <c r="G121" s="28" t="s">
        <v>43</v>
      </c>
      <c r="H121" s="29"/>
      <c r="I121" s="29" t="s">
        <v>44</v>
      </c>
      <c r="J121" s="30">
        <v>1</v>
      </c>
      <c r="K121" s="31">
        <f>18415</f>
        <v>18415</v>
      </c>
      <c r="L121" s="32" t="s">
        <v>1085</v>
      </c>
      <c r="M121" s="31">
        <f>18455</f>
        <v>18455</v>
      </c>
      <c r="N121" s="32" t="s">
        <v>1085</v>
      </c>
      <c r="O121" s="31">
        <f>17365</f>
        <v>17365</v>
      </c>
      <c r="P121" s="32" t="s">
        <v>662</v>
      </c>
      <c r="Q121" s="31">
        <f>18300</f>
        <v>18300</v>
      </c>
      <c r="R121" s="32" t="s">
        <v>661</v>
      </c>
      <c r="S121" s="33">
        <f>17895.79</f>
        <v>17895.79</v>
      </c>
      <c r="T121" s="30">
        <f>23517</f>
        <v>23517</v>
      </c>
      <c r="U121" s="30">
        <f>22</f>
        <v>22</v>
      </c>
      <c r="V121" s="30">
        <f>423824694</f>
        <v>423824694</v>
      </c>
      <c r="W121" s="30">
        <f>387089</f>
        <v>387089</v>
      </c>
      <c r="X121" s="34">
        <f>19</f>
        <v>19</v>
      </c>
    </row>
    <row r="122" spans="1:24">
      <c r="A122" s="25" t="s">
        <v>1179</v>
      </c>
      <c r="B122" s="25" t="s">
        <v>340</v>
      </c>
      <c r="C122" s="25" t="s">
        <v>341</v>
      </c>
      <c r="D122" s="25" t="s">
        <v>342</v>
      </c>
      <c r="E122" s="26" t="s">
        <v>43</v>
      </c>
      <c r="F122" s="27" t="s">
        <v>43</v>
      </c>
      <c r="G122" s="28" t="s">
        <v>43</v>
      </c>
      <c r="H122" s="29"/>
      <c r="I122" s="29" t="s">
        <v>44</v>
      </c>
      <c r="J122" s="30">
        <v>1</v>
      </c>
      <c r="K122" s="31">
        <f>83800</f>
        <v>83800</v>
      </c>
      <c r="L122" s="32" t="s">
        <v>1085</v>
      </c>
      <c r="M122" s="31">
        <f>84320</f>
        <v>84320</v>
      </c>
      <c r="N122" s="32" t="s">
        <v>1085</v>
      </c>
      <c r="O122" s="31">
        <f>77180</f>
        <v>77180</v>
      </c>
      <c r="P122" s="32" t="s">
        <v>662</v>
      </c>
      <c r="Q122" s="31">
        <f>80530</f>
        <v>80530</v>
      </c>
      <c r="R122" s="32" t="s">
        <v>661</v>
      </c>
      <c r="S122" s="33">
        <f>79575.26</f>
        <v>79575.259999999995</v>
      </c>
      <c r="T122" s="30">
        <f>13157</f>
        <v>13157</v>
      </c>
      <c r="U122" s="30">
        <f>13</f>
        <v>13</v>
      </c>
      <c r="V122" s="30">
        <f>1041483070</f>
        <v>1041483070</v>
      </c>
      <c r="W122" s="30">
        <f>1031980</f>
        <v>1031980</v>
      </c>
      <c r="X122" s="34">
        <f>19</f>
        <v>19</v>
      </c>
    </row>
    <row r="123" spans="1:24">
      <c r="A123" s="25" t="s">
        <v>1179</v>
      </c>
      <c r="B123" s="25" t="s">
        <v>1094</v>
      </c>
      <c r="C123" s="25" t="s">
        <v>1093</v>
      </c>
      <c r="D123" s="25" t="s">
        <v>1092</v>
      </c>
      <c r="E123" s="26" t="s">
        <v>43</v>
      </c>
      <c r="F123" s="27" t="s">
        <v>43</v>
      </c>
      <c r="G123" s="28" t="s">
        <v>43</v>
      </c>
      <c r="H123" s="29"/>
      <c r="I123" s="29" t="s">
        <v>452</v>
      </c>
      <c r="J123" s="30">
        <v>1</v>
      </c>
      <c r="K123" s="31">
        <f>10330</f>
        <v>10330</v>
      </c>
      <c r="L123" s="32" t="s">
        <v>1085</v>
      </c>
      <c r="M123" s="31">
        <f>10330</f>
        <v>10330</v>
      </c>
      <c r="N123" s="32" t="s">
        <v>1085</v>
      </c>
      <c r="O123" s="31">
        <f>9800</f>
        <v>9800</v>
      </c>
      <c r="P123" s="32" t="s">
        <v>662</v>
      </c>
      <c r="Q123" s="31">
        <f>10210</f>
        <v>10210</v>
      </c>
      <c r="R123" s="32" t="s">
        <v>661</v>
      </c>
      <c r="S123" s="33">
        <f>10095.11</f>
        <v>10095.11</v>
      </c>
      <c r="T123" s="30">
        <f>5840</f>
        <v>5840</v>
      </c>
      <c r="U123" s="30">
        <f>1</f>
        <v>1</v>
      </c>
      <c r="V123" s="30">
        <f>59379732</f>
        <v>59379732</v>
      </c>
      <c r="W123" s="30">
        <f>10110</f>
        <v>10110</v>
      </c>
      <c r="X123" s="34">
        <f>18</f>
        <v>18</v>
      </c>
    </row>
    <row r="124" spans="1:24">
      <c r="A124" s="25" t="s">
        <v>1179</v>
      </c>
      <c r="B124" s="25" t="s">
        <v>343</v>
      </c>
      <c r="C124" s="25" t="s">
        <v>344</v>
      </c>
      <c r="D124" s="25" t="s">
        <v>345</v>
      </c>
      <c r="E124" s="26" t="s">
        <v>43</v>
      </c>
      <c r="F124" s="27" t="s">
        <v>43</v>
      </c>
      <c r="G124" s="28" t="s">
        <v>43</v>
      </c>
      <c r="H124" s="29"/>
      <c r="I124" s="29" t="s">
        <v>44</v>
      </c>
      <c r="J124" s="30">
        <v>1</v>
      </c>
      <c r="K124" s="31">
        <f>32590</f>
        <v>32590</v>
      </c>
      <c r="L124" s="32" t="s">
        <v>1085</v>
      </c>
      <c r="M124" s="31">
        <f>32680</f>
        <v>32680</v>
      </c>
      <c r="N124" s="32" t="s">
        <v>755</v>
      </c>
      <c r="O124" s="31">
        <f>30660</f>
        <v>30660</v>
      </c>
      <c r="P124" s="32" t="s">
        <v>1080</v>
      </c>
      <c r="Q124" s="31">
        <f>32520</f>
        <v>32520</v>
      </c>
      <c r="R124" s="32" t="s">
        <v>661</v>
      </c>
      <c r="S124" s="33">
        <f>31700.53</f>
        <v>31700.53</v>
      </c>
      <c r="T124" s="30">
        <f>7933</f>
        <v>7933</v>
      </c>
      <c r="U124" s="30">
        <f>38</f>
        <v>38</v>
      </c>
      <c r="V124" s="30">
        <f>249762490</f>
        <v>249762490</v>
      </c>
      <c r="W124" s="30">
        <f>1202370</f>
        <v>1202370</v>
      </c>
      <c r="X124" s="34">
        <f>19</f>
        <v>19</v>
      </c>
    </row>
    <row r="125" spans="1:24">
      <c r="A125" s="25" t="s">
        <v>1179</v>
      </c>
      <c r="B125" s="25" t="s">
        <v>346</v>
      </c>
      <c r="C125" s="25" t="s">
        <v>347</v>
      </c>
      <c r="D125" s="25" t="s">
        <v>348</v>
      </c>
      <c r="E125" s="26" t="s">
        <v>43</v>
      </c>
      <c r="F125" s="27" t="s">
        <v>43</v>
      </c>
      <c r="G125" s="28" t="s">
        <v>43</v>
      </c>
      <c r="H125" s="29"/>
      <c r="I125" s="29" t="s">
        <v>44</v>
      </c>
      <c r="J125" s="30">
        <v>1</v>
      </c>
      <c r="K125" s="31">
        <f>20455</f>
        <v>20455</v>
      </c>
      <c r="L125" s="32" t="s">
        <v>1085</v>
      </c>
      <c r="M125" s="31">
        <f>21635</f>
        <v>21635</v>
      </c>
      <c r="N125" s="32" t="s">
        <v>661</v>
      </c>
      <c r="O125" s="31">
        <f>20040</f>
        <v>20040</v>
      </c>
      <c r="P125" s="32" t="s">
        <v>662</v>
      </c>
      <c r="Q125" s="31">
        <f>21585</f>
        <v>21585</v>
      </c>
      <c r="R125" s="32" t="s">
        <v>661</v>
      </c>
      <c r="S125" s="33">
        <f>20853.42</f>
        <v>20853.419999999998</v>
      </c>
      <c r="T125" s="30">
        <f>68324</f>
        <v>68324</v>
      </c>
      <c r="U125" s="30">
        <f>7842</f>
        <v>7842</v>
      </c>
      <c r="V125" s="30">
        <f>1427756207</f>
        <v>1427756207</v>
      </c>
      <c r="W125" s="30">
        <f>164789407</f>
        <v>164789407</v>
      </c>
      <c r="X125" s="34">
        <f>19</f>
        <v>19</v>
      </c>
    </row>
    <row r="126" spans="1:24">
      <c r="A126" s="25" t="s">
        <v>1179</v>
      </c>
      <c r="B126" s="25" t="s">
        <v>349</v>
      </c>
      <c r="C126" s="25" t="s">
        <v>350</v>
      </c>
      <c r="D126" s="25" t="s">
        <v>351</v>
      </c>
      <c r="E126" s="26" t="s">
        <v>43</v>
      </c>
      <c r="F126" s="27" t="s">
        <v>43</v>
      </c>
      <c r="G126" s="28" t="s">
        <v>43</v>
      </c>
      <c r="H126" s="29"/>
      <c r="I126" s="29" t="s">
        <v>44</v>
      </c>
      <c r="J126" s="30">
        <v>1</v>
      </c>
      <c r="K126" s="31">
        <f>28720</f>
        <v>28720</v>
      </c>
      <c r="L126" s="32" t="s">
        <v>1085</v>
      </c>
      <c r="M126" s="31">
        <f>28720</f>
        <v>28720</v>
      </c>
      <c r="N126" s="32" t="s">
        <v>1085</v>
      </c>
      <c r="O126" s="31">
        <f>26785</f>
        <v>26785</v>
      </c>
      <c r="P126" s="32" t="s">
        <v>662</v>
      </c>
      <c r="Q126" s="31">
        <f>28100</f>
        <v>28100</v>
      </c>
      <c r="R126" s="32" t="s">
        <v>661</v>
      </c>
      <c r="S126" s="33">
        <f>27664.21</f>
        <v>27664.21</v>
      </c>
      <c r="T126" s="30">
        <f>47729</f>
        <v>47729</v>
      </c>
      <c r="U126" s="30">
        <f>6012</f>
        <v>6012</v>
      </c>
      <c r="V126" s="30">
        <f>1312276996</f>
        <v>1312276996</v>
      </c>
      <c r="W126" s="30">
        <f>165706541</f>
        <v>165706541</v>
      </c>
      <c r="X126" s="34">
        <f>19</f>
        <v>19</v>
      </c>
    </row>
    <row r="127" spans="1:24">
      <c r="A127" s="25" t="s">
        <v>1179</v>
      </c>
      <c r="B127" s="25" t="s">
        <v>352</v>
      </c>
      <c r="C127" s="25" t="s">
        <v>353</v>
      </c>
      <c r="D127" s="25" t="s">
        <v>354</v>
      </c>
      <c r="E127" s="26" t="s">
        <v>43</v>
      </c>
      <c r="F127" s="27" t="s">
        <v>43</v>
      </c>
      <c r="G127" s="28" t="s">
        <v>43</v>
      </c>
      <c r="H127" s="29"/>
      <c r="I127" s="29" t="s">
        <v>44</v>
      </c>
      <c r="J127" s="30">
        <v>1</v>
      </c>
      <c r="K127" s="31">
        <f>38690</f>
        <v>38690</v>
      </c>
      <c r="L127" s="32" t="s">
        <v>1085</v>
      </c>
      <c r="M127" s="31">
        <f>40600</f>
        <v>40600</v>
      </c>
      <c r="N127" s="32" t="s">
        <v>859</v>
      </c>
      <c r="O127" s="31">
        <f>36740</f>
        <v>36740</v>
      </c>
      <c r="P127" s="32" t="s">
        <v>662</v>
      </c>
      <c r="Q127" s="31">
        <f>39790</f>
        <v>39790</v>
      </c>
      <c r="R127" s="32" t="s">
        <v>661</v>
      </c>
      <c r="S127" s="33">
        <f>38302.11</f>
        <v>38302.11</v>
      </c>
      <c r="T127" s="30">
        <f>5424</f>
        <v>5424</v>
      </c>
      <c r="U127" s="30">
        <f>289</f>
        <v>289</v>
      </c>
      <c r="V127" s="30">
        <f>210721581</f>
        <v>210721581</v>
      </c>
      <c r="W127" s="30">
        <f>11596211</f>
        <v>11596211</v>
      </c>
      <c r="X127" s="34">
        <f>19</f>
        <v>19</v>
      </c>
    </row>
    <row r="128" spans="1:24">
      <c r="A128" s="25" t="s">
        <v>1179</v>
      </c>
      <c r="B128" s="25" t="s">
        <v>1091</v>
      </c>
      <c r="C128" s="25" t="s">
        <v>1090</v>
      </c>
      <c r="D128" s="25" t="s">
        <v>1089</v>
      </c>
      <c r="E128" s="26" t="s">
        <v>43</v>
      </c>
      <c r="F128" s="27" t="s">
        <v>43</v>
      </c>
      <c r="G128" s="28" t="s">
        <v>43</v>
      </c>
      <c r="H128" s="29"/>
      <c r="I128" s="29" t="s">
        <v>452</v>
      </c>
      <c r="J128" s="30">
        <v>1</v>
      </c>
      <c r="K128" s="31">
        <f>8412</f>
        <v>8412</v>
      </c>
      <c r="L128" s="32" t="s">
        <v>1085</v>
      </c>
      <c r="M128" s="31">
        <f>8948</f>
        <v>8948</v>
      </c>
      <c r="N128" s="32" t="s">
        <v>756</v>
      </c>
      <c r="O128" s="31">
        <f>8150</f>
        <v>8150</v>
      </c>
      <c r="P128" s="32" t="s">
        <v>851</v>
      </c>
      <c r="Q128" s="31">
        <f>8553</f>
        <v>8553</v>
      </c>
      <c r="R128" s="32" t="s">
        <v>661</v>
      </c>
      <c r="S128" s="33">
        <f>8504.32</f>
        <v>8504.32</v>
      </c>
      <c r="T128" s="30">
        <f>42450</f>
        <v>42450</v>
      </c>
      <c r="U128" s="30">
        <f>2</f>
        <v>2</v>
      </c>
      <c r="V128" s="30">
        <f>361847603</f>
        <v>361847603</v>
      </c>
      <c r="W128" s="30">
        <f>17162</f>
        <v>17162</v>
      </c>
      <c r="X128" s="34">
        <f>19</f>
        <v>19</v>
      </c>
    </row>
    <row r="129" spans="1:24">
      <c r="A129" s="25" t="s">
        <v>1179</v>
      </c>
      <c r="B129" s="25" t="s">
        <v>355</v>
      </c>
      <c r="C129" s="25" t="s">
        <v>898</v>
      </c>
      <c r="D129" s="25" t="s">
        <v>899</v>
      </c>
      <c r="E129" s="26" t="s">
        <v>43</v>
      </c>
      <c r="F129" s="27" t="s">
        <v>43</v>
      </c>
      <c r="G129" s="28" t="s">
        <v>43</v>
      </c>
      <c r="H129" s="29"/>
      <c r="I129" s="29" t="s">
        <v>44</v>
      </c>
      <c r="J129" s="30">
        <v>1</v>
      </c>
      <c r="K129" s="31">
        <f>2099</f>
        <v>2099</v>
      </c>
      <c r="L129" s="32" t="s">
        <v>1085</v>
      </c>
      <c r="M129" s="31">
        <f>2099</f>
        <v>2099</v>
      </c>
      <c r="N129" s="32" t="s">
        <v>1085</v>
      </c>
      <c r="O129" s="31">
        <f>1975</f>
        <v>1975</v>
      </c>
      <c r="P129" s="32" t="s">
        <v>662</v>
      </c>
      <c r="Q129" s="31">
        <f>2086</f>
        <v>2086</v>
      </c>
      <c r="R129" s="32" t="s">
        <v>661</v>
      </c>
      <c r="S129" s="33">
        <f>2044.26</f>
        <v>2044.26</v>
      </c>
      <c r="T129" s="30">
        <f>2087593</f>
        <v>2087593</v>
      </c>
      <c r="U129" s="30">
        <f>1749561</f>
        <v>1749561</v>
      </c>
      <c r="V129" s="30">
        <f>4246935219</f>
        <v>4246935219</v>
      </c>
      <c r="W129" s="30">
        <f>3558093633</f>
        <v>3558093633</v>
      </c>
      <c r="X129" s="34">
        <f>19</f>
        <v>19</v>
      </c>
    </row>
    <row r="130" spans="1:24">
      <c r="A130" s="25" t="s">
        <v>1179</v>
      </c>
      <c r="B130" s="25" t="s">
        <v>356</v>
      </c>
      <c r="C130" s="25" t="s">
        <v>900</v>
      </c>
      <c r="D130" s="25" t="s">
        <v>901</v>
      </c>
      <c r="E130" s="26" t="s">
        <v>43</v>
      </c>
      <c r="F130" s="27" t="s">
        <v>43</v>
      </c>
      <c r="G130" s="28" t="s">
        <v>43</v>
      </c>
      <c r="H130" s="29"/>
      <c r="I130" s="29" t="s">
        <v>44</v>
      </c>
      <c r="J130" s="30">
        <v>10</v>
      </c>
      <c r="K130" s="31">
        <f>3353</f>
        <v>3353</v>
      </c>
      <c r="L130" s="32" t="s">
        <v>1085</v>
      </c>
      <c r="M130" s="31">
        <f>3507</f>
        <v>3507</v>
      </c>
      <c r="N130" s="32" t="s">
        <v>1077</v>
      </c>
      <c r="O130" s="31">
        <f>3069</f>
        <v>3069</v>
      </c>
      <c r="P130" s="32" t="s">
        <v>1080</v>
      </c>
      <c r="Q130" s="31">
        <f>3316</f>
        <v>3316</v>
      </c>
      <c r="R130" s="32" t="s">
        <v>755</v>
      </c>
      <c r="S130" s="33">
        <f>3284</f>
        <v>3284</v>
      </c>
      <c r="T130" s="30">
        <f>14520</f>
        <v>14520</v>
      </c>
      <c r="U130" s="30">
        <f>10</f>
        <v>10</v>
      </c>
      <c r="V130" s="30">
        <f>48500060</f>
        <v>48500060</v>
      </c>
      <c r="W130" s="30">
        <f>32170</f>
        <v>32170</v>
      </c>
      <c r="X130" s="34">
        <f>11</f>
        <v>11</v>
      </c>
    </row>
    <row r="131" spans="1:24">
      <c r="A131" s="25" t="s">
        <v>1179</v>
      </c>
      <c r="B131" s="25" t="s">
        <v>357</v>
      </c>
      <c r="C131" s="25" t="s">
        <v>902</v>
      </c>
      <c r="D131" s="25" t="s">
        <v>903</v>
      </c>
      <c r="E131" s="26" t="s">
        <v>43</v>
      </c>
      <c r="F131" s="27" t="s">
        <v>43</v>
      </c>
      <c r="G131" s="28" t="s">
        <v>43</v>
      </c>
      <c r="H131" s="29"/>
      <c r="I131" s="29" t="s">
        <v>44</v>
      </c>
      <c r="J131" s="30">
        <v>10</v>
      </c>
      <c r="K131" s="31">
        <f>3655</f>
        <v>3655</v>
      </c>
      <c r="L131" s="32" t="s">
        <v>1085</v>
      </c>
      <c r="M131" s="31">
        <f>3671</f>
        <v>3671</v>
      </c>
      <c r="N131" s="32" t="s">
        <v>1079</v>
      </c>
      <c r="O131" s="31">
        <f>3432</f>
        <v>3432</v>
      </c>
      <c r="P131" s="32" t="s">
        <v>662</v>
      </c>
      <c r="Q131" s="31">
        <f>3625</f>
        <v>3625</v>
      </c>
      <c r="R131" s="32" t="s">
        <v>661</v>
      </c>
      <c r="S131" s="33">
        <f>3558.43</f>
        <v>3558.43</v>
      </c>
      <c r="T131" s="30">
        <f>12240</f>
        <v>12240</v>
      </c>
      <c r="U131" s="30">
        <f>2760</f>
        <v>2760</v>
      </c>
      <c r="V131" s="30">
        <f>43664628</f>
        <v>43664628</v>
      </c>
      <c r="W131" s="30">
        <f>9986508</f>
        <v>9986508</v>
      </c>
      <c r="X131" s="34">
        <f>14</f>
        <v>14</v>
      </c>
    </row>
    <row r="132" spans="1:24">
      <c r="A132" s="25" t="s">
        <v>1179</v>
      </c>
      <c r="B132" s="25" t="s">
        <v>358</v>
      </c>
      <c r="C132" s="25" t="s">
        <v>904</v>
      </c>
      <c r="D132" s="25" t="s">
        <v>905</v>
      </c>
      <c r="E132" s="26" t="s">
        <v>43</v>
      </c>
      <c r="F132" s="27" t="s">
        <v>43</v>
      </c>
      <c r="G132" s="28" t="s">
        <v>43</v>
      </c>
      <c r="H132" s="29"/>
      <c r="I132" s="29" t="s">
        <v>44</v>
      </c>
      <c r="J132" s="30">
        <v>10</v>
      </c>
      <c r="K132" s="31">
        <f>2243</f>
        <v>2243</v>
      </c>
      <c r="L132" s="32" t="s">
        <v>1085</v>
      </c>
      <c r="M132" s="31">
        <f>2291</f>
        <v>2291</v>
      </c>
      <c r="N132" s="32" t="s">
        <v>1079</v>
      </c>
      <c r="O132" s="31">
        <f>2180</f>
        <v>2180</v>
      </c>
      <c r="P132" s="32" t="s">
        <v>739</v>
      </c>
      <c r="Q132" s="31">
        <f>2236</f>
        <v>2236</v>
      </c>
      <c r="R132" s="32" t="s">
        <v>661</v>
      </c>
      <c r="S132" s="33">
        <f>2238.3</f>
        <v>2238.3000000000002</v>
      </c>
      <c r="T132" s="30">
        <f>7280</f>
        <v>7280</v>
      </c>
      <c r="U132" s="30" t="str">
        <f>"－"</f>
        <v>－</v>
      </c>
      <c r="V132" s="30">
        <f>16533080</f>
        <v>16533080</v>
      </c>
      <c r="W132" s="30" t="str">
        <f>"－"</f>
        <v>－</v>
      </c>
      <c r="X132" s="34">
        <f>5</f>
        <v>5</v>
      </c>
    </row>
    <row r="133" spans="1:24">
      <c r="A133" s="25" t="s">
        <v>1179</v>
      </c>
      <c r="B133" s="25" t="s">
        <v>359</v>
      </c>
      <c r="C133" s="25" t="s">
        <v>360</v>
      </c>
      <c r="D133" s="25" t="s">
        <v>361</v>
      </c>
      <c r="E133" s="26" t="s">
        <v>43</v>
      </c>
      <c r="F133" s="27" t="s">
        <v>43</v>
      </c>
      <c r="G133" s="28" t="s">
        <v>43</v>
      </c>
      <c r="H133" s="29"/>
      <c r="I133" s="29" t="s">
        <v>44</v>
      </c>
      <c r="J133" s="30">
        <v>10</v>
      </c>
      <c r="K133" s="31">
        <f>676.5</f>
        <v>676.5</v>
      </c>
      <c r="L133" s="32" t="s">
        <v>1085</v>
      </c>
      <c r="M133" s="31">
        <f>691.2</f>
        <v>691.2</v>
      </c>
      <c r="N133" s="32" t="s">
        <v>663</v>
      </c>
      <c r="O133" s="31">
        <f>664</f>
        <v>664</v>
      </c>
      <c r="P133" s="32" t="s">
        <v>1080</v>
      </c>
      <c r="Q133" s="31">
        <f>681.3</f>
        <v>681.3</v>
      </c>
      <c r="R133" s="32" t="s">
        <v>661</v>
      </c>
      <c r="S133" s="33">
        <f>677.19</f>
        <v>677.19</v>
      </c>
      <c r="T133" s="30">
        <f>52404090</f>
        <v>52404090</v>
      </c>
      <c r="U133" s="30">
        <f>958610</f>
        <v>958610</v>
      </c>
      <c r="V133" s="30">
        <f>35542429561</f>
        <v>35542429561</v>
      </c>
      <c r="W133" s="30">
        <f>651332952</f>
        <v>651332952</v>
      </c>
      <c r="X133" s="34">
        <f>19</f>
        <v>19</v>
      </c>
    </row>
    <row r="134" spans="1:24">
      <c r="A134" s="25" t="s">
        <v>1179</v>
      </c>
      <c r="B134" s="25" t="s">
        <v>362</v>
      </c>
      <c r="C134" s="25" t="s">
        <v>363</v>
      </c>
      <c r="D134" s="25" t="s">
        <v>364</v>
      </c>
      <c r="E134" s="26" t="s">
        <v>43</v>
      </c>
      <c r="F134" s="27" t="s">
        <v>43</v>
      </c>
      <c r="G134" s="28" t="s">
        <v>43</v>
      </c>
      <c r="H134" s="29"/>
      <c r="I134" s="29" t="s">
        <v>44</v>
      </c>
      <c r="J134" s="30">
        <v>10</v>
      </c>
      <c r="K134" s="31">
        <f>306</f>
        <v>306</v>
      </c>
      <c r="L134" s="32" t="s">
        <v>1085</v>
      </c>
      <c r="M134" s="31">
        <f>307.6</f>
        <v>307.60000000000002</v>
      </c>
      <c r="N134" s="32" t="s">
        <v>1079</v>
      </c>
      <c r="O134" s="31">
        <f>298</f>
        <v>298</v>
      </c>
      <c r="P134" s="32" t="s">
        <v>739</v>
      </c>
      <c r="Q134" s="31">
        <f>299.8</f>
        <v>299.8</v>
      </c>
      <c r="R134" s="32" t="s">
        <v>661</v>
      </c>
      <c r="S134" s="33">
        <f>301.74</f>
        <v>301.74</v>
      </c>
      <c r="T134" s="30">
        <f>7304390</f>
        <v>7304390</v>
      </c>
      <c r="U134" s="30">
        <f>3586900</f>
        <v>3586900</v>
      </c>
      <c r="V134" s="30">
        <f>2203822029</f>
        <v>2203822029</v>
      </c>
      <c r="W134" s="30">
        <f>1085334665</f>
        <v>1085334665</v>
      </c>
      <c r="X134" s="34">
        <f>19</f>
        <v>19</v>
      </c>
    </row>
    <row r="135" spans="1:24">
      <c r="A135" s="25" t="s">
        <v>1179</v>
      </c>
      <c r="B135" s="25" t="s">
        <v>365</v>
      </c>
      <c r="C135" s="25" t="s">
        <v>945</v>
      </c>
      <c r="D135" s="25" t="s">
        <v>366</v>
      </c>
      <c r="E135" s="26" t="s">
        <v>43</v>
      </c>
      <c r="F135" s="27" t="s">
        <v>43</v>
      </c>
      <c r="G135" s="28" t="s">
        <v>43</v>
      </c>
      <c r="H135" s="29"/>
      <c r="I135" s="29" t="s">
        <v>44</v>
      </c>
      <c r="J135" s="30">
        <v>1</v>
      </c>
      <c r="K135" s="31">
        <f>5490</f>
        <v>5490</v>
      </c>
      <c r="L135" s="32" t="s">
        <v>1085</v>
      </c>
      <c r="M135" s="31">
        <f>5640</f>
        <v>5640</v>
      </c>
      <c r="N135" s="32" t="s">
        <v>663</v>
      </c>
      <c r="O135" s="31">
        <f>5400</f>
        <v>5400</v>
      </c>
      <c r="P135" s="32" t="s">
        <v>1080</v>
      </c>
      <c r="Q135" s="31">
        <f>5580</f>
        <v>5580</v>
      </c>
      <c r="R135" s="32" t="s">
        <v>661</v>
      </c>
      <c r="S135" s="33">
        <f>5517.89</f>
        <v>5517.89</v>
      </c>
      <c r="T135" s="30">
        <f>107839</f>
        <v>107839</v>
      </c>
      <c r="U135" s="30">
        <f>4821</f>
        <v>4821</v>
      </c>
      <c r="V135" s="30">
        <f>596680531</f>
        <v>596680531</v>
      </c>
      <c r="W135" s="30">
        <f>26754541</f>
        <v>26754541</v>
      </c>
      <c r="X135" s="34">
        <f>19</f>
        <v>19</v>
      </c>
    </row>
    <row r="136" spans="1:24">
      <c r="A136" s="25" t="s">
        <v>1179</v>
      </c>
      <c r="B136" s="25" t="s">
        <v>367</v>
      </c>
      <c r="C136" s="25" t="s">
        <v>368</v>
      </c>
      <c r="D136" s="25" t="s">
        <v>369</v>
      </c>
      <c r="E136" s="26" t="s">
        <v>43</v>
      </c>
      <c r="F136" s="27" t="s">
        <v>43</v>
      </c>
      <c r="G136" s="28" t="s">
        <v>43</v>
      </c>
      <c r="H136" s="29"/>
      <c r="I136" s="29" t="s">
        <v>44</v>
      </c>
      <c r="J136" s="30">
        <v>1</v>
      </c>
      <c r="K136" s="31">
        <f>2844</f>
        <v>2844</v>
      </c>
      <c r="L136" s="32" t="s">
        <v>1085</v>
      </c>
      <c r="M136" s="31">
        <f>2871</f>
        <v>2871</v>
      </c>
      <c r="N136" s="32" t="s">
        <v>1085</v>
      </c>
      <c r="O136" s="31">
        <f>2751</f>
        <v>2751</v>
      </c>
      <c r="P136" s="32" t="s">
        <v>1078</v>
      </c>
      <c r="Q136" s="31">
        <f>2840</f>
        <v>2840</v>
      </c>
      <c r="R136" s="32" t="s">
        <v>661</v>
      </c>
      <c r="S136" s="33">
        <f>2820</f>
        <v>2820</v>
      </c>
      <c r="T136" s="30">
        <f>142257</f>
        <v>142257</v>
      </c>
      <c r="U136" s="30">
        <f>50460</f>
        <v>50460</v>
      </c>
      <c r="V136" s="30">
        <f>399765753</f>
        <v>399765753</v>
      </c>
      <c r="W136" s="30">
        <f>141251159</f>
        <v>141251159</v>
      </c>
      <c r="X136" s="34">
        <f>19</f>
        <v>19</v>
      </c>
    </row>
    <row r="137" spans="1:24">
      <c r="A137" s="25" t="s">
        <v>1179</v>
      </c>
      <c r="B137" s="25" t="s">
        <v>370</v>
      </c>
      <c r="C137" s="25" t="s">
        <v>371</v>
      </c>
      <c r="D137" s="25" t="s">
        <v>372</v>
      </c>
      <c r="E137" s="26" t="s">
        <v>43</v>
      </c>
      <c r="F137" s="27" t="s">
        <v>43</v>
      </c>
      <c r="G137" s="28" t="s">
        <v>43</v>
      </c>
      <c r="H137" s="29"/>
      <c r="I137" s="29" t="s">
        <v>44</v>
      </c>
      <c r="J137" s="30">
        <v>1</v>
      </c>
      <c r="K137" s="31">
        <f>3370</f>
        <v>3370</v>
      </c>
      <c r="L137" s="32" t="s">
        <v>1085</v>
      </c>
      <c r="M137" s="31">
        <f>3400</f>
        <v>3400</v>
      </c>
      <c r="N137" s="32" t="s">
        <v>1078</v>
      </c>
      <c r="O137" s="31">
        <f>3270</f>
        <v>3270</v>
      </c>
      <c r="P137" s="32" t="s">
        <v>1080</v>
      </c>
      <c r="Q137" s="31">
        <f>3335</f>
        <v>3335</v>
      </c>
      <c r="R137" s="32" t="s">
        <v>661</v>
      </c>
      <c r="S137" s="33">
        <f>3339.74</f>
        <v>3339.74</v>
      </c>
      <c r="T137" s="30">
        <f>449395</f>
        <v>449395</v>
      </c>
      <c r="U137" s="30">
        <f>53822</f>
        <v>53822</v>
      </c>
      <c r="V137" s="30">
        <f>1500225901</f>
        <v>1500225901</v>
      </c>
      <c r="W137" s="30">
        <f>178680831</f>
        <v>178680831</v>
      </c>
      <c r="X137" s="34">
        <f>19</f>
        <v>19</v>
      </c>
    </row>
    <row r="138" spans="1:24">
      <c r="A138" s="25" t="s">
        <v>1179</v>
      </c>
      <c r="B138" s="25" t="s">
        <v>373</v>
      </c>
      <c r="C138" s="25" t="s">
        <v>374</v>
      </c>
      <c r="D138" s="25" t="s">
        <v>375</v>
      </c>
      <c r="E138" s="26" t="s">
        <v>43</v>
      </c>
      <c r="F138" s="27" t="s">
        <v>43</v>
      </c>
      <c r="G138" s="28" t="s">
        <v>43</v>
      </c>
      <c r="H138" s="29"/>
      <c r="I138" s="29" t="s">
        <v>44</v>
      </c>
      <c r="J138" s="30">
        <v>1</v>
      </c>
      <c r="K138" s="31">
        <f>9706</f>
        <v>9706</v>
      </c>
      <c r="L138" s="32" t="s">
        <v>1085</v>
      </c>
      <c r="M138" s="31">
        <f>9940</f>
        <v>9940</v>
      </c>
      <c r="N138" s="32" t="s">
        <v>859</v>
      </c>
      <c r="O138" s="31">
        <f>9391</f>
        <v>9391</v>
      </c>
      <c r="P138" s="32" t="s">
        <v>851</v>
      </c>
      <c r="Q138" s="31">
        <f>9874</f>
        <v>9874</v>
      </c>
      <c r="R138" s="32" t="s">
        <v>661</v>
      </c>
      <c r="S138" s="33">
        <f>9594.63</f>
        <v>9594.6299999999992</v>
      </c>
      <c r="T138" s="30">
        <f>101440</f>
        <v>101440</v>
      </c>
      <c r="U138" s="30">
        <f>16125</f>
        <v>16125</v>
      </c>
      <c r="V138" s="30">
        <f>978041755</f>
        <v>978041755</v>
      </c>
      <c r="W138" s="30">
        <f>156258215</f>
        <v>156258215</v>
      </c>
      <c r="X138" s="34">
        <f>19</f>
        <v>19</v>
      </c>
    </row>
    <row r="139" spans="1:24">
      <c r="A139" s="25" t="s">
        <v>1179</v>
      </c>
      <c r="B139" s="25" t="s">
        <v>376</v>
      </c>
      <c r="C139" s="25" t="s">
        <v>377</v>
      </c>
      <c r="D139" s="25" t="s">
        <v>378</v>
      </c>
      <c r="E139" s="26" t="s">
        <v>43</v>
      </c>
      <c r="F139" s="27" t="s">
        <v>43</v>
      </c>
      <c r="G139" s="28" t="s">
        <v>43</v>
      </c>
      <c r="H139" s="29"/>
      <c r="I139" s="29" t="s">
        <v>44</v>
      </c>
      <c r="J139" s="30">
        <v>1</v>
      </c>
      <c r="K139" s="31">
        <f>3360</f>
        <v>3360</v>
      </c>
      <c r="L139" s="32" t="s">
        <v>1085</v>
      </c>
      <c r="M139" s="31">
        <f>3610</f>
        <v>3610</v>
      </c>
      <c r="N139" s="32" t="s">
        <v>739</v>
      </c>
      <c r="O139" s="31">
        <f>3275</f>
        <v>3275</v>
      </c>
      <c r="P139" s="32" t="s">
        <v>755</v>
      </c>
      <c r="Q139" s="31">
        <f>3320</f>
        <v>3320</v>
      </c>
      <c r="R139" s="32" t="s">
        <v>661</v>
      </c>
      <c r="S139" s="33">
        <f>3415.53</f>
        <v>3415.53</v>
      </c>
      <c r="T139" s="30">
        <f>3321363</f>
        <v>3321363</v>
      </c>
      <c r="U139" s="30">
        <f>30781</f>
        <v>30781</v>
      </c>
      <c r="V139" s="30">
        <f>11390545997</f>
        <v>11390545997</v>
      </c>
      <c r="W139" s="30">
        <f>105961102</f>
        <v>105961102</v>
      </c>
      <c r="X139" s="34">
        <f>19</f>
        <v>19</v>
      </c>
    </row>
    <row r="140" spans="1:24">
      <c r="A140" s="25" t="s">
        <v>1179</v>
      </c>
      <c r="B140" s="25" t="s">
        <v>379</v>
      </c>
      <c r="C140" s="25" t="s">
        <v>380</v>
      </c>
      <c r="D140" s="25" t="s">
        <v>381</v>
      </c>
      <c r="E140" s="26" t="s">
        <v>43</v>
      </c>
      <c r="F140" s="27" t="s">
        <v>43</v>
      </c>
      <c r="G140" s="28" t="s">
        <v>43</v>
      </c>
      <c r="H140" s="29"/>
      <c r="I140" s="29" t="s">
        <v>44</v>
      </c>
      <c r="J140" s="30">
        <v>1</v>
      </c>
      <c r="K140" s="31">
        <f>39320</f>
        <v>39320</v>
      </c>
      <c r="L140" s="32" t="s">
        <v>1085</v>
      </c>
      <c r="M140" s="31">
        <f>40400</f>
        <v>40400</v>
      </c>
      <c r="N140" s="32" t="s">
        <v>661</v>
      </c>
      <c r="O140" s="31">
        <f>38780</f>
        <v>38780</v>
      </c>
      <c r="P140" s="32" t="s">
        <v>1085</v>
      </c>
      <c r="Q140" s="31">
        <f>40400</f>
        <v>40400</v>
      </c>
      <c r="R140" s="32" t="s">
        <v>661</v>
      </c>
      <c r="S140" s="33">
        <f>39582.63</f>
        <v>39582.629999999997</v>
      </c>
      <c r="T140" s="30">
        <f>14394</f>
        <v>14394</v>
      </c>
      <c r="U140" s="30">
        <f>2</f>
        <v>2</v>
      </c>
      <c r="V140" s="30">
        <f>569817590</f>
        <v>569817590</v>
      </c>
      <c r="W140" s="30">
        <f>77710</f>
        <v>77710</v>
      </c>
      <c r="X140" s="34">
        <f>19</f>
        <v>19</v>
      </c>
    </row>
    <row r="141" spans="1:24">
      <c r="A141" s="25" t="s">
        <v>1179</v>
      </c>
      <c r="B141" s="25" t="s">
        <v>382</v>
      </c>
      <c r="C141" s="25" t="s">
        <v>383</v>
      </c>
      <c r="D141" s="25" t="s">
        <v>384</v>
      </c>
      <c r="E141" s="26" t="s">
        <v>43</v>
      </c>
      <c r="F141" s="27" t="s">
        <v>43</v>
      </c>
      <c r="G141" s="28" t="s">
        <v>43</v>
      </c>
      <c r="H141" s="29"/>
      <c r="I141" s="29" t="s">
        <v>44</v>
      </c>
      <c r="J141" s="30">
        <v>10</v>
      </c>
      <c r="K141" s="31">
        <f>4340</f>
        <v>4340</v>
      </c>
      <c r="L141" s="32" t="s">
        <v>1085</v>
      </c>
      <c r="M141" s="31">
        <f>4520</f>
        <v>4520</v>
      </c>
      <c r="N141" s="32" t="s">
        <v>1081</v>
      </c>
      <c r="O141" s="31">
        <f>4259</f>
        <v>4259</v>
      </c>
      <c r="P141" s="32" t="s">
        <v>1085</v>
      </c>
      <c r="Q141" s="31">
        <f>4472</f>
        <v>4472</v>
      </c>
      <c r="R141" s="32" t="s">
        <v>661</v>
      </c>
      <c r="S141" s="33">
        <f>4361</f>
        <v>4361</v>
      </c>
      <c r="T141" s="30">
        <f>84610</f>
        <v>84610</v>
      </c>
      <c r="U141" s="30" t="str">
        <f>"－"</f>
        <v>－</v>
      </c>
      <c r="V141" s="30">
        <f>371069850</f>
        <v>371069850</v>
      </c>
      <c r="W141" s="30" t="str">
        <f>"－"</f>
        <v>－</v>
      </c>
      <c r="X141" s="34">
        <f>19</f>
        <v>19</v>
      </c>
    </row>
    <row r="142" spans="1:24">
      <c r="A142" s="25" t="s">
        <v>1179</v>
      </c>
      <c r="B142" s="25" t="s">
        <v>385</v>
      </c>
      <c r="C142" s="25" t="s">
        <v>386</v>
      </c>
      <c r="D142" s="25" t="s">
        <v>387</v>
      </c>
      <c r="E142" s="26" t="s">
        <v>43</v>
      </c>
      <c r="F142" s="27" t="s">
        <v>43</v>
      </c>
      <c r="G142" s="28" t="s">
        <v>43</v>
      </c>
      <c r="H142" s="29"/>
      <c r="I142" s="29" t="s">
        <v>44</v>
      </c>
      <c r="J142" s="30">
        <v>1</v>
      </c>
      <c r="K142" s="31">
        <f>13595</f>
        <v>13595</v>
      </c>
      <c r="L142" s="32" t="s">
        <v>1085</v>
      </c>
      <c r="M142" s="31">
        <f>13990</f>
        <v>13990</v>
      </c>
      <c r="N142" s="32" t="s">
        <v>738</v>
      </c>
      <c r="O142" s="31">
        <f>13300</f>
        <v>13300</v>
      </c>
      <c r="P142" s="32" t="s">
        <v>662</v>
      </c>
      <c r="Q142" s="31">
        <f>13835</f>
        <v>13835</v>
      </c>
      <c r="R142" s="32" t="s">
        <v>661</v>
      </c>
      <c r="S142" s="33">
        <f>13620.79</f>
        <v>13620.79</v>
      </c>
      <c r="T142" s="30">
        <f>11019</f>
        <v>11019</v>
      </c>
      <c r="U142" s="30">
        <f>1</f>
        <v>1</v>
      </c>
      <c r="V142" s="30">
        <f>150641045</f>
        <v>150641045</v>
      </c>
      <c r="W142" s="30">
        <f>13545</f>
        <v>13545</v>
      </c>
      <c r="X142" s="34">
        <f>19</f>
        <v>19</v>
      </c>
    </row>
    <row r="143" spans="1:24">
      <c r="A143" s="25" t="s">
        <v>1179</v>
      </c>
      <c r="B143" s="25" t="s">
        <v>388</v>
      </c>
      <c r="C143" s="25" t="s">
        <v>389</v>
      </c>
      <c r="D143" s="25" t="s">
        <v>390</v>
      </c>
      <c r="E143" s="26" t="s">
        <v>43</v>
      </c>
      <c r="F143" s="27" t="s">
        <v>43</v>
      </c>
      <c r="G143" s="28" t="s">
        <v>43</v>
      </c>
      <c r="H143" s="29"/>
      <c r="I143" s="29" t="s">
        <v>44</v>
      </c>
      <c r="J143" s="30">
        <v>1</v>
      </c>
      <c r="K143" s="31">
        <f>13605</f>
        <v>13605</v>
      </c>
      <c r="L143" s="32" t="s">
        <v>1085</v>
      </c>
      <c r="M143" s="31">
        <f>14385</f>
        <v>14385</v>
      </c>
      <c r="N143" s="32" t="s">
        <v>663</v>
      </c>
      <c r="O143" s="31">
        <f>13250</f>
        <v>13250</v>
      </c>
      <c r="P143" s="32" t="s">
        <v>1081</v>
      </c>
      <c r="Q143" s="31">
        <f>14085</f>
        <v>14085</v>
      </c>
      <c r="R143" s="32" t="s">
        <v>661</v>
      </c>
      <c r="S143" s="33">
        <f>13722.89</f>
        <v>13722.89</v>
      </c>
      <c r="T143" s="30">
        <f>19442</f>
        <v>19442</v>
      </c>
      <c r="U143" s="30">
        <f>1</f>
        <v>1</v>
      </c>
      <c r="V143" s="30">
        <f>268737280</f>
        <v>268737280</v>
      </c>
      <c r="W143" s="30">
        <f>13450</f>
        <v>13450</v>
      </c>
      <c r="X143" s="34">
        <f>19</f>
        <v>19</v>
      </c>
    </row>
    <row r="144" spans="1:24">
      <c r="A144" s="25" t="s">
        <v>1179</v>
      </c>
      <c r="B144" s="25" t="s">
        <v>391</v>
      </c>
      <c r="C144" s="25" t="s">
        <v>392</v>
      </c>
      <c r="D144" s="25" t="s">
        <v>393</v>
      </c>
      <c r="E144" s="26" t="s">
        <v>43</v>
      </c>
      <c r="F144" s="27" t="s">
        <v>43</v>
      </c>
      <c r="G144" s="28" t="s">
        <v>43</v>
      </c>
      <c r="H144" s="29"/>
      <c r="I144" s="29" t="s">
        <v>44</v>
      </c>
      <c r="J144" s="30">
        <v>1</v>
      </c>
      <c r="K144" s="31">
        <f>24335</f>
        <v>24335</v>
      </c>
      <c r="L144" s="32" t="s">
        <v>1079</v>
      </c>
      <c r="M144" s="31">
        <f>25995</f>
        <v>25995</v>
      </c>
      <c r="N144" s="32" t="s">
        <v>756</v>
      </c>
      <c r="O144" s="31">
        <f>24335</f>
        <v>24335</v>
      </c>
      <c r="P144" s="32" t="s">
        <v>1079</v>
      </c>
      <c r="Q144" s="31">
        <f>25785</f>
        <v>25785</v>
      </c>
      <c r="R144" s="32" t="s">
        <v>661</v>
      </c>
      <c r="S144" s="33">
        <f>25340</f>
        <v>25340</v>
      </c>
      <c r="T144" s="30">
        <f>575</f>
        <v>575</v>
      </c>
      <c r="U144" s="30" t="str">
        <f>"－"</f>
        <v>－</v>
      </c>
      <c r="V144" s="30">
        <f>14563715</f>
        <v>14563715</v>
      </c>
      <c r="W144" s="30" t="str">
        <f>"－"</f>
        <v>－</v>
      </c>
      <c r="X144" s="34">
        <f>16</f>
        <v>16</v>
      </c>
    </row>
    <row r="145" spans="1:24">
      <c r="A145" s="25" t="s">
        <v>1179</v>
      </c>
      <c r="B145" s="25" t="s">
        <v>394</v>
      </c>
      <c r="C145" s="25" t="s">
        <v>395</v>
      </c>
      <c r="D145" s="25" t="s">
        <v>396</v>
      </c>
      <c r="E145" s="26" t="s">
        <v>43</v>
      </c>
      <c r="F145" s="27" t="s">
        <v>43</v>
      </c>
      <c r="G145" s="28" t="s">
        <v>43</v>
      </c>
      <c r="H145" s="29"/>
      <c r="I145" s="29" t="s">
        <v>44</v>
      </c>
      <c r="J145" s="30">
        <v>10</v>
      </c>
      <c r="K145" s="31">
        <f>57000</f>
        <v>57000</v>
      </c>
      <c r="L145" s="32" t="s">
        <v>1085</v>
      </c>
      <c r="M145" s="31">
        <f>57200</f>
        <v>57200</v>
      </c>
      <c r="N145" s="32" t="s">
        <v>1079</v>
      </c>
      <c r="O145" s="31">
        <f>55610</f>
        <v>55610</v>
      </c>
      <c r="P145" s="32" t="s">
        <v>1076</v>
      </c>
      <c r="Q145" s="31">
        <f>55920</f>
        <v>55920</v>
      </c>
      <c r="R145" s="32" t="s">
        <v>661</v>
      </c>
      <c r="S145" s="33">
        <f>56337.65</f>
        <v>56337.65</v>
      </c>
      <c r="T145" s="30">
        <f>2020</f>
        <v>2020</v>
      </c>
      <c r="U145" s="30">
        <f>10</f>
        <v>10</v>
      </c>
      <c r="V145" s="30">
        <f>114166400</f>
        <v>114166400</v>
      </c>
      <c r="W145" s="30">
        <f>562300</f>
        <v>562300</v>
      </c>
      <c r="X145" s="34">
        <f>17</f>
        <v>17</v>
      </c>
    </row>
    <row r="146" spans="1:24">
      <c r="A146" s="25" t="s">
        <v>1179</v>
      </c>
      <c r="B146" s="25" t="s">
        <v>397</v>
      </c>
      <c r="C146" s="25" t="s">
        <v>946</v>
      </c>
      <c r="D146" s="25" t="s">
        <v>398</v>
      </c>
      <c r="E146" s="26" t="s">
        <v>43</v>
      </c>
      <c r="F146" s="27" t="s">
        <v>43</v>
      </c>
      <c r="G146" s="28" t="s">
        <v>43</v>
      </c>
      <c r="H146" s="29"/>
      <c r="I146" s="29" t="s">
        <v>44</v>
      </c>
      <c r="J146" s="30">
        <v>10</v>
      </c>
      <c r="K146" s="31">
        <f>365.8</f>
        <v>365.8</v>
      </c>
      <c r="L146" s="32" t="s">
        <v>1085</v>
      </c>
      <c r="M146" s="31">
        <f>367.1</f>
        <v>367.1</v>
      </c>
      <c r="N146" s="32" t="s">
        <v>1085</v>
      </c>
      <c r="O146" s="31">
        <f>341.2</f>
        <v>341.2</v>
      </c>
      <c r="P146" s="32" t="s">
        <v>1078</v>
      </c>
      <c r="Q146" s="31">
        <f>348.3</f>
        <v>348.3</v>
      </c>
      <c r="R146" s="32" t="s">
        <v>661</v>
      </c>
      <c r="S146" s="33">
        <f>351.41</f>
        <v>351.41</v>
      </c>
      <c r="T146" s="30">
        <f>31897050</f>
        <v>31897050</v>
      </c>
      <c r="U146" s="30">
        <f>128530</f>
        <v>128530</v>
      </c>
      <c r="V146" s="30">
        <f>11200020428</f>
        <v>11200020428</v>
      </c>
      <c r="W146" s="30">
        <f>45305581</f>
        <v>45305581</v>
      </c>
      <c r="X146" s="34">
        <f>19</f>
        <v>19</v>
      </c>
    </row>
    <row r="147" spans="1:24">
      <c r="A147" s="25" t="s">
        <v>1179</v>
      </c>
      <c r="B147" s="25" t="s">
        <v>399</v>
      </c>
      <c r="C147" s="25" t="s">
        <v>947</v>
      </c>
      <c r="D147" s="25" t="s">
        <v>400</v>
      </c>
      <c r="E147" s="26" t="s">
        <v>43</v>
      </c>
      <c r="F147" s="27" t="s">
        <v>43</v>
      </c>
      <c r="G147" s="28" t="s">
        <v>43</v>
      </c>
      <c r="H147" s="29"/>
      <c r="I147" s="29" t="s">
        <v>44</v>
      </c>
      <c r="J147" s="30">
        <v>10</v>
      </c>
      <c r="K147" s="31">
        <f>55380</f>
        <v>55380</v>
      </c>
      <c r="L147" s="32" t="s">
        <v>1085</v>
      </c>
      <c r="M147" s="31">
        <f>57980</f>
        <v>57980</v>
      </c>
      <c r="N147" s="32" t="s">
        <v>755</v>
      </c>
      <c r="O147" s="31">
        <f>54790</f>
        <v>54790</v>
      </c>
      <c r="P147" s="32" t="s">
        <v>1080</v>
      </c>
      <c r="Q147" s="31">
        <f>56910</f>
        <v>56910</v>
      </c>
      <c r="R147" s="32" t="s">
        <v>661</v>
      </c>
      <c r="S147" s="33">
        <f>55991.76</f>
        <v>55991.76</v>
      </c>
      <c r="T147" s="30">
        <f>2350</f>
        <v>2350</v>
      </c>
      <c r="U147" s="30">
        <f>10</f>
        <v>10</v>
      </c>
      <c r="V147" s="30">
        <f>131524100</f>
        <v>131524100</v>
      </c>
      <c r="W147" s="30">
        <f>554400</f>
        <v>554400</v>
      </c>
      <c r="X147" s="34">
        <f>17</f>
        <v>17</v>
      </c>
    </row>
    <row r="148" spans="1:24">
      <c r="A148" s="25" t="s">
        <v>1179</v>
      </c>
      <c r="B148" s="25" t="s">
        <v>401</v>
      </c>
      <c r="C148" s="25" t="s">
        <v>402</v>
      </c>
      <c r="D148" s="25" t="s">
        <v>948</v>
      </c>
      <c r="E148" s="26" t="s">
        <v>43</v>
      </c>
      <c r="F148" s="27" t="s">
        <v>43</v>
      </c>
      <c r="G148" s="28" t="s">
        <v>43</v>
      </c>
      <c r="H148" s="29"/>
      <c r="I148" s="29" t="s">
        <v>44</v>
      </c>
      <c r="J148" s="30">
        <v>10</v>
      </c>
      <c r="K148" s="31">
        <f>6318</f>
        <v>6318</v>
      </c>
      <c r="L148" s="32" t="s">
        <v>1085</v>
      </c>
      <c r="M148" s="31">
        <f>6422</f>
        <v>6422</v>
      </c>
      <c r="N148" s="32" t="s">
        <v>663</v>
      </c>
      <c r="O148" s="31">
        <f>6184</f>
        <v>6184</v>
      </c>
      <c r="P148" s="32" t="s">
        <v>662</v>
      </c>
      <c r="Q148" s="31">
        <f>6358</f>
        <v>6358</v>
      </c>
      <c r="R148" s="32" t="s">
        <v>661</v>
      </c>
      <c r="S148" s="33">
        <f>6320.11</f>
        <v>6320.11</v>
      </c>
      <c r="T148" s="30">
        <f>94380</f>
        <v>94380</v>
      </c>
      <c r="U148" s="30">
        <f>40</f>
        <v>40</v>
      </c>
      <c r="V148" s="30">
        <f>596494810</f>
        <v>596494810</v>
      </c>
      <c r="W148" s="30">
        <f>253390</f>
        <v>253390</v>
      </c>
      <c r="X148" s="34">
        <f>19</f>
        <v>19</v>
      </c>
    </row>
    <row r="149" spans="1:24">
      <c r="A149" s="25" t="s">
        <v>1179</v>
      </c>
      <c r="B149" s="25" t="s">
        <v>403</v>
      </c>
      <c r="C149" s="25" t="s">
        <v>949</v>
      </c>
      <c r="D149" s="25" t="s">
        <v>950</v>
      </c>
      <c r="E149" s="26" t="s">
        <v>43</v>
      </c>
      <c r="F149" s="27" t="s">
        <v>43</v>
      </c>
      <c r="G149" s="28" t="s">
        <v>43</v>
      </c>
      <c r="H149" s="29"/>
      <c r="I149" s="29" t="s">
        <v>44</v>
      </c>
      <c r="J149" s="30">
        <v>10</v>
      </c>
      <c r="K149" s="31">
        <f>2125.5</f>
        <v>2125.5</v>
      </c>
      <c r="L149" s="32" t="s">
        <v>1085</v>
      </c>
      <c r="M149" s="31">
        <f>2170</f>
        <v>2170</v>
      </c>
      <c r="N149" s="32" t="s">
        <v>1085</v>
      </c>
      <c r="O149" s="31">
        <f>2038</f>
        <v>2038</v>
      </c>
      <c r="P149" s="32" t="s">
        <v>662</v>
      </c>
      <c r="Q149" s="31">
        <f>2110</f>
        <v>2110</v>
      </c>
      <c r="R149" s="32" t="s">
        <v>661</v>
      </c>
      <c r="S149" s="33">
        <f>2102.18</f>
        <v>2102.1799999999998</v>
      </c>
      <c r="T149" s="30">
        <f>118720</f>
        <v>118720</v>
      </c>
      <c r="U149" s="30">
        <f>24020</f>
        <v>24020</v>
      </c>
      <c r="V149" s="30">
        <f>250771400</f>
        <v>250771400</v>
      </c>
      <c r="W149" s="30">
        <f>51840870</f>
        <v>51840870</v>
      </c>
      <c r="X149" s="34">
        <f>19</f>
        <v>19</v>
      </c>
    </row>
    <row r="150" spans="1:24">
      <c r="A150" s="25" t="s">
        <v>1179</v>
      </c>
      <c r="B150" s="25" t="s">
        <v>404</v>
      </c>
      <c r="C150" s="25" t="s">
        <v>405</v>
      </c>
      <c r="D150" s="25" t="s">
        <v>406</v>
      </c>
      <c r="E150" s="26" t="s">
        <v>43</v>
      </c>
      <c r="F150" s="27" t="s">
        <v>43</v>
      </c>
      <c r="G150" s="28" t="s">
        <v>43</v>
      </c>
      <c r="H150" s="29"/>
      <c r="I150" s="29" t="s">
        <v>44</v>
      </c>
      <c r="J150" s="30">
        <v>10</v>
      </c>
      <c r="K150" s="31">
        <f>1789</f>
        <v>1789</v>
      </c>
      <c r="L150" s="32" t="s">
        <v>1085</v>
      </c>
      <c r="M150" s="31">
        <f>1899.5</f>
        <v>1899.5</v>
      </c>
      <c r="N150" s="32" t="s">
        <v>1075</v>
      </c>
      <c r="O150" s="31">
        <f>1747</f>
        <v>1747</v>
      </c>
      <c r="P150" s="32" t="s">
        <v>1075</v>
      </c>
      <c r="Q150" s="31">
        <f>1772.5</f>
        <v>1772.5</v>
      </c>
      <c r="R150" s="32" t="s">
        <v>1078</v>
      </c>
      <c r="S150" s="33">
        <f>1803.21</f>
        <v>1803.21</v>
      </c>
      <c r="T150" s="30">
        <f>2860</f>
        <v>2860</v>
      </c>
      <c r="U150" s="30" t="str">
        <f>"－"</f>
        <v>－</v>
      </c>
      <c r="V150" s="30">
        <f>5162600</f>
        <v>5162600</v>
      </c>
      <c r="W150" s="30" t="str">
        <f>"－"</f>
        <v>－</v>
      </c>
      <c r="X150" s="34">
        <f>14</f>
        <v>14</v>
      </c>
    </row>
    <row r="151" spans="1:24">
      <c r="A151" s="25" t="s">
        <v>1179</v>
      </c>
      <c r="B151" s="25" t="s">
        <v>407</v>
      </c>
      <c r="C151" s="25" t="s">
        <v>408</v>
      </c>
      <c r="D151" s="25" t="s">
        <v>409</v>
      </c>
      <c r="E151" s="26" t="s">
        <v>43</v>
      </c>
      <c r="F151" s="27" t="s">
        <v>43</v>
      </c>
      <c r="G151" s="28" t="s">
        <v>43</v>
      </c>
      <c r="H151" s="29"/>
      <c r="I151" s="29" t="s">
        <v>44</v>
      </c>
      <c r="J151" s="30">
        <v>10</v>
      </c>
      <c r="K151" s="31">
        <f>559.5</f>
        <v>559.5</v>
      </c>
      <c r="L151" s="32" t="s">
        <v>1085</v>
      </c>
      <c r="M151" s="31">
        <f>614.9</f>
        <v>614.9</v>
      </c>
      <c r="N151" s="32" t="s">
        <v>739</v>
      </c>
      <c r="O151" s="31">
        <f>553.2</f>
        <v>553.20000000000005</v>
      </c>
      <c r="P151" s="32" t="s">
        <v>661</v>
      </c>
      <c r="Q151" s="31">
        <f>560.5</f>
        <v>560.5</v>
      </c>
      <c r="R151" s="32" t="s">
        <v>661</v>
      </c>
      <c r="S151" s="33">
        <f>583.29</f>
        <v>583.29</v>
      </c>
      <c r="T151" s="30">
        <f>53770</f>
        <v>53770</v>
      </c>
      <c r="U151" s="30">
        <f>10</f>
        <v>10</v>
      </c>
      <c r="V151" s="30">
        <f>31722318</f>
        <v>31722318</v>
      </c>
      <c r="W151" s="30">
        <f>5698</f>
        <v>5698</v>
      </c>
      <c r="X151" s="34">
        <f>19</f>
        <v>19</v>
      </c>
    </row>
    <row r="152" spans="1:24">
      <c r="A152" s="25" t="s">
        <v>1179</v>
      </c>
      <c r="B152" s="25" t="s">
        <v>410</v>
      </c>
      <c r="C152" s="25" t="s">
        <v>411</v>
      </c>
      <c r="D152" s="25" t="s">
        <v>412</v>
      </c>
      <c r="E152" s="26" t="s">
        <v>43</v>
      </c>
      <c r="F152" s="27" t="s">
        <v>43</v>
      </c>
      <c r="G152" s="28" t="s">
        <v>43</v>
      </c>
      <c r="H152" s="29"/>
      <c r="I152" s="29" t="s">
        <v>44</v>
      </c>
      <c r="J152" s="30">
        <v>10</v>
      </c>
      <c r="K152" s="31">
        <f>2365.5</f>
        <v>2365.5</v>
      </c>
      <c r="L152" s="32" t="s">
        <v>1085</v>
      </c>
      <c r="M152" s="31">
        <f>2423.5</f>
        <v>2423.5</v>
      </c>
      <c r="N152" s="32" t="s">
        <v>1081</v>
      </c>
      <c r="O152" s="31">
        <f>2299</f>
        <v>2299</v>
      </c>
      <c r="P152" s="32" t="s">
        <v>1085</v>
      </c>
      <c r="Q152" s="31">
        <f>2340</f>
        <v>2340</v>
      </c>
      <c r="R152" s="32" t="s">
        <v>661</v>
      </c>
      <c r="S152" s="33">
        <f>2370.13</f>
        <v>2370.13</v>
      </c>
      <c r="T152" s="30">
        <f>3030</f>
        <v>3030</v>
      </c>
      <c r="U152" s="30">
        <f>10</f>
        <v>10</v>
      </c>
      <c r="V152" s="30">
        <f>7171150</f>
        <v>7171150</v>
      </c>
      <c r="W152" s="30">
        <f>24090</f>
        <v>24090</v>
      </c>
      <c r="X152" s="34">
        <f>19</f>
        <v>19</v>
      </c>
    </row>
    <row r="153" spans="1:24">
      <c r="A153" s="25" t="s">
        <v>1179</v>
      </c>
      <c r="B153" s="25" t="s">
        <v>413</v>
      </c>
      <c r="C153" s="25" t="s">
        <v>414</v>
      </c>
      <c r="D153" s="25" t="s">
        <v>415</v>
      </c>
      <c r="E153" s="26" t="s">
        <v>43</v>
      </c>
      <c r="F153" s="27" t="s">
        <v>43</v>
      </c>
      <c r="G153" s="28" t="s">
        <v>43</v>
      </c>
      <c r="H153" s="29"/>
      <c r="I153" s="29" t="s">
        <v>44</v>
      </c>
      <c r="J153" s="30">
        <v>10</v>
      </c>
      <c r="K153" s="31">
        <f>950</f>
        <v>950</v>
      </c>
      <c r="L153" s="32" t="s">
        <v>1085</v>
      </c>
      <c r="M153" s="31">
        <f>989</f>
        <v>989</v>
      </c>
      <c r="N153" s="32" t="s">
        <v>755</v>
      </c>
      <c r="O153" s="31">
        <f>941.1</f>
        <v>941.1</v>
      </c>
      <c r="P153" s="32" t="s">
        <v>1085</v>
      </c>
      <c r="Q153" s="31">
        <f>982.3</f>
        <v>982.3</v>
      </c>
      <c r="R153" s="32" t="s">
        <v>661</v>
      </c>
      <c r="S153" s="33">
        <f>964.42</f>
        <v>964.42</v>
      </c>
      <c r="T153" s="30">
        <f>46340</f>
        <v>46340</v>
      </c>
      <c r="U153" s="30">
        <f>10</f>
        <v>10</v>
      </c>
      <c r="V153" s="30">
        <f>44758672</f>
        <v>44758672</v>
      </c>
      <c r="W153" s="30">
        <f>9431</f>
        <v>9431</v>
      </c>
      <c r="X153" s="34">
        <f>19</f>
        <v>19</v>
      </c>
    </row>
    <row r="154" spans="1:24">
      <c r="A154" s="25" t="s">
        <v>1179</v>
      </c>
      <c r="B154" s="25" t="s">
        <v>416</v>
      </c>
      <c r="C154" s="25" t="s">
        <v>417</v>
      </c>
      <c r="D154" s="25" t="s">
        <v>418</v>
      </c>
      <c r="E154" s="26" t="s">
        <v>43</v>
      </c>
      <c r="F154" s="27" t="s">
        <v>43</v>
      </c>
      <c r="G154" s="28" t="s">
        <v>43</v>
      </c>
      <c r="H154" s="29"/>
      <c r="I154" s="29" t="s">
        <v>44</v>
      </c>
      <c r="J154" s="30">
        <v>10</v>
      </c>
      <c r="K154" s="31">
        <f>550.9</f>
        <v>550.9</v>
      </c>
      <c r="L154" s="32" t="s">
        <v>1085</v>
      </c>
      <c r="M154" s="31">
        <f>577.4</f>
        <v>577.4</v>
      </c>
      <c r="N154" s="32" t="s">
        <v>850</v>
      </c>
      <c r="O154" s="31">
        <f>540.9</f>
        <v>540.9</v>
      </c>
      <c r="P154" s="32" t="s">
        <v>1085</v>
      </c>
      <c r="Q154" s="31">
        <f>567.1</f>
        <v>567.1</v>
      </c>
      <c r="R154" s="32" t="s">
        <v>661</v>
      </c>
      <c r="S154" s="33">
        <f>561.79</f>
        <v>561.79</v>
      </c>
      <c r="T154" s="30">
        <f>128850</f>
        <v>128850</v>
      </c>
      <c r="U154" s="30" t="str">
        <f>"－"</f>
        <v>－</v>
      </c>
      <c r="V154" s="30">
        <f>72688634</f>
        <v>72688634</v>
      </c>
      <c r="W154" s="30" t="str">
        <f>"－"</f>
        <v>－</v>
      </c>
      <c r="X154" s="34">
        <f>19</f>
        <v>19</v>
      </c>
    </row>
    <row r="155" spans="1:24">
      <c r="A155" s="25" t="s">
        <v>1179</v>
      </c>
      <c r="B155" s="25" t="s">
        <v>419</v>
      </c>
      <c r="C155" s="25" t="s">
        <v>420</v>
      </c>
      <c r="D155" s="25" t="s">
        <v>421</v>
      </c>
      <c r="E155" s="26" t="s">
        <v>43</v>
      </c>
      <c r="F155" s="27" t="s">
        <v>43</v>
      </c>
      <c r="G155" s="28" t="s">
        <v>43</v>
      </c>
      <c r="H155" s="29"/>
      <c r="I155" s="29" t="s">
        <v>44</v>
      </c>
      <c r="J155" s="30">
        <v>1</v>
      </c>
      <c r="K155" s="31">
        <f>1227</f>
        <v>1227</v>
      </c>
      <c r="L155" s="32" t="s">
        <v>1085</v>
      </c>
      <c r="M155" s="31">
        <f>1464</f>
        <v>1464</v>
      </c>
      <c r="N155" s="32" t="s">
        <v>662</v>
      </c>
      <c r="O155" s="31">
        <f>1210</f>
        <v>1210</v>
      </c>
      <c r="P155" s="32" t="s">
        <v>661</v>
      </c>
      <c r="Q155" s="31">
        <f>1213</f>
        <v>1213</v>
      </c>
      <c r="R155" s="32" t="s">
        <v>661</v>
      </c>
      <c r="S155" s="33">
        <f>1310.74</f>
        <v>1310.74</v>
      </c>
      <c r="T155" s="30">
        <f>1159686</f>
        <v>1159686</v>
      </c>
      <c r="U155" s="30">
        <f>1</f>
        <v>1</v>
      </c>
      <c r="V155" s="30">
        <f>1538578457</f>
        <v>1538578457</v>
      </c>
      <c r="W155" s="30">
        <f>1255</f>
        <v>1255</v>
      </c>
      <c r="X155" s="34">
        <f>19</f>
        <v>19</v>
      </c>
    </row>
    <row r="156" spans="1:24">
      <c r="A156" s="25" t="s">
        <v>1179</v>
      </c>
      <c r="B156" s="25" t="s">
        <v>422</v>
      </c>
      <c r="C156" s="25" t="s">
        <v>423</v>
      </c>
      <c r="D156" s="25" t="s">
        <v>424</v>
      </c>
      <c r="E156" s="26" t="s">
        <v>43</v>
      </c>
      <c r="F156" s="27" t="s">
        <v>43</v>
      </c>
      <c r="G156" s="28" t="s">
        <v>43</v>
      </c>
      <c r="H156" s="29"/>
      <c r="I156" s="29" t="s">
        <v>44</v>
      </c>
      <c r="J156" s="30">
        <v>10</v>
      </c>
      <c r="K156" s="31">
        <f>1572</f>
        <v>1572</v>
      </c>
      <c r="L156" s="32" t="s">
        <v>1085</v>
      </c>
      <c r="M156" s="31">
        <f>1750.5</f>
        <v>1750.5</v>
      </c>
      <c r="N156" s="32" t="s">
        <v>1080</v>
      </c>
      <c r="O156" s="31">
        <f>1551.5</f>
        <v>1551.5</v>
      </c>
      <c r="P156" s="32" t="s">
        <v>1078</v>
      </c>
      <c r="Q156" s="31">
        <f>1579.5</f>
        <v>1579.5</v>
      </c>
      <c r="R156" s="32" t="s">
        <v>661</v>
      </c>
      <c r="S156" s="33">
        <f>1617.29</f>
        <v>1617.29</v>
      </c>
      <c r="T156" s="30">
        <f>51430</f>
        <v>51430</v>
      </c>
      <c r="U156" s="30">
        <f>10</f>
        <v>10</v>
      </c>
      <c r="V156" s="30">
        <f>83673860</f>
        <v>83673860</v>
      </c>
      <c r="W156" s="30">
        <f>16320</f>
        <v>16320</v>
      </c>
      <c r="X156" s="34">
        <f>19</f>
        <v>19</v>
      </c>
    </row>
    <row r="157" spans="1:24">
      <c r="A157" s="25" t="s">
        <v>1179</v>
      </c>
      <c r="B157" s="25" t="s">
        <v>425</v>
      </c>
      <c r="C157" s="25" t="s">
        <v>426</v>
      </c>
      <c r="D157" s="25" t="s">
        <v>427</v>
      </c>
      <c r="E157" s="26" t="s">
        <v>43</v>
      </c>
      <c r="F157" s="27" t="s">
        <v>43</v>
      </c>
      <c r="G157" s="28" t="s">
        <v>43</v>
      </c>
      <c r="H157" s="29"/>
      <c r="I157" s="29" t="s">
        <v>44</v>
      </c>
      <c r="J157" s="30">
        <v>1</v>
      </c>
      <c r="K157" s="31">
        <f>8440</f>
        <v>8440</v>
      </c>
      <c r="L157" s="32" t="s">
        <v>1085</v>
      </c>
      <c r="M157" s="31">
        <f>8896</f>
        <v>8896</v>
      </c>
      <c r="N157" s="32" t="s">
        <v>739</v>
      </c>
      <c r="O157" s="31">
        <f>8132</f>
        <v>8132</v>
      </c>
      <c r="P157" s="32" t="s">
        <v>1078</v>
      </c>
      <c r="Q157" s="31">
        <f>8315</f>
        <v>8315</v>
      </c>
      <c r="R157" s="32" t="s">
        <v>661</v>
      </c>
      <c r="S157" s="33">
        <f>8462.68</f>
        <v>8462.68</v>
      </c>
      <c r="T157" s="30">
        <f>6131</f>
        <v>6131</v>
      </c>
      <c r="U157" s="30" t="str">
        <f>"－"</f>
        <v>－</v>
      </c>
      <c r="V157" s="30">
        <f>52180716</f>
        <v>52180716</v>
      </c>
      <c r="W157" s="30" t="str">
        <f>"－"</f>
        <v>－</v>
      </c>
      <c r="X157" s="34">
        <f>19</f>
        <v>19</v>
      </c>
    </row>
    <row r="158" spans="1:24">
      <c r="A158" s="25" t="s">
        <v>1179</v>
      </c>
      <c r="B158" s="25" t="s">
        <v>428</v>
      </c>
      <c r="C158" s="25" t="s">
        <v>429</v>
      </c>
      <c r="D158" s="25" t="s">
        <v>430</v>
      </c>
      <c r="E158" s="26" t="s">
        <v>43</v>
      </c>
      <c r="F158" s="27" t="s">
        <v>43</v>
      </c>
      <c r="G158" s="28" t="s">
        <v>43</v>
      </c>
      <c r="H158" s="29"/>
      <c r="I158" s="29" t="s">
        <v>44</v>
      </c>
      <c r="J158" s="30">
        <v>100</v>
      </c>
      <c r="K158" s="31">
        <f>522</f>
        <v>522</v>
      </c>
      <c r="L158" s="32" t="s">
        <v>1085</v>
      </c>
      <c r="M158" s="31">
        <f>544.7</f>
        <v>544.70000000000005</v>
      </c>
      <c r="N158" s="32" t="s">
        <v>1081</v>
      </c>
      <c r="O158" s="31">
        <f>499.4</f>
        <v>499.4</v>
      </c>
      <c r="P158" s="32" t="s">
        <v>1085</v>
      </c>
      <c r="Q158" s="31">
        <f>526</f>
        <v>526</v>
      </c>
      <c r="R158" s="32" t="s">
        <v>661</v>
      </c>
      <c r="S158" s="33">
        <f>525.66</f>
        <v>525.66</v>
      </c>
      <c r="T158" s="30">
        <f>34200</f>
        <v>34200</v>
      </c>
      <c r="U158" s="30" t="str">
        <f>"－"</f>
        <v>－</v>
      </c>
      <c r="V158" s="30">
        <f>18100060</f>
        <v>18100060</v>
      </c>
      <c r="W158" s="30" t="str">
        <f>"－"</f>
        <v>－</v>
      </c>
      <c r="X158" s="34">
        <f>19</f>
        <v>19</v>
      </c>
    </row>
    <row r="159" spans="1:24">
      <c r="A159" s="25" t="s">
        <v>1179</v>
      </c>
      <c r="B159" s="25" t="s">
        <v>431</v>
      </c>
      <c r="C159" s="25" t="s">
        <v>432</v>
      </c>
      <c r="D159" s="25" t="s">
        <v>433</v>
      </c>
      <c r="E159" s="26" t="s">
        <v>43</v>
      </c>
      <c r="F159" s="27" t="s">
        <v>43</v>
      </c>
      <c r="G159" s="28" t="s">
        <v>43</v>
      </c>
      <c r="H159" s="29"/>
      <c r="I159" s="29" t="s">
        <v>44</v>
      </c>
      <c r="J159" s="30">
        <v>10</v>
      </c>
      <c r="K159" s="31">
        <f>5772</f>
        <v>5772</v>
      </c>
      <c r="L159" s="32" t="s">
        <v>1085</v>
      </c>
      <c r="M159" s="31">
        <f>6241</f>
        <v>6241</v>
      </c>
      <c r="N159" s="32" t="s">
        <v>662</v>
      </c>
      <c r="O159" s="31">
        <f>5697</f>
        <v>5697</v>
      </c>
      <c r="P159" s="32" t="s">
        <v>1079</v>
      </c>
      <c r="Q159" s="31">
        <f>5993</f>
        <v>5993</v>
      </c>
      <c r="R159" s="32" t="s">
        <v>661</v>
      </c>
      <c r="S159" s="33">
        <f>6032.37</f>
        <v>6032.37</v>
      </c>
      <c r="T159" s="30">
        <f>70460</f>
        <v>70460</v>
      </c>
      <c r="U159" s="30" t="str">
        <f>"－"</f>
        <v>－</v>
      </c>
      <c r="V159" s="30">
        <f>423035960</f>
        <v>423035960</v>
      </c>
      <c r="W159" s="30" t="str">
        <f>"－"</f>
        <v>－</v>
      </c>
      <c r="X159" s="34">
        <f>19</f>
        <v>19</v>
      </c>
    </row>
    <row r="160" spans="1:24">
      <c r="A160" s="25" t="s">
        <v>1179</v>
      </c>
      <c r="B160" s="25" t="s">
        <v>434</v>
      </c>
      <c r="C160" s="25" t="s">
        <v>435</v>
      </c>
      <c r="D160" s="25" t="s">
        <v>436</v>
      </c>
      <c r="E160" s="26" t="s">
        <v>43</v>
      </c>
      <c r="F160" s="27" t="s">
        <v>43</v>
      </c>
      <c r="G160" s="28" t="s">
        <v>43</v>
      </c>
      <c r="H160" s="29"/>
      <c r="I160" s="29" t="s">
        <v>44</v>
      </c>
      <c r="J160" s="30">
        <v>10</v>
      </c>
      <c r="K160" s="31">
        <f>2227.5</f>
        <v>2227.5</v>
      </c>
      <c r="L160" s="32" t="s">
        <v>1085</v>
      </c>
      <c r="M160" s="31">
        <f>2293.5</f>
        <v>2293.5</v>
      </c>
      <c r="N160" s="32" t="s">
        <v>1081</v>
      </c>
      <c r="O160" s="31">
        <f>2131</f>
        <v>2131</v>
      </c>
      <c r="P160" s="32" t="s">
        <v>1085</v>
      </c>
      <c r="Q160" s="31">
        <f>2150</f>
        <v>2150</v>
      </c>
      <c r="R160" s="32" t="s">
        <v>661</v>
      </c>
      <c r="S160" s="33">
        <f>2200.45</f>
        <v>2200.4499999999998</v>
      </c>
      <c r="T160" s="30">
        <f>8020</f>
        <v>8020</v>
      </c>
      <c r="U160" s="30">
        <f>10</f>
        <v>10</v>
      </c>
      <c r="V160" s="30">
        <f>17598945</f>
        <v>17598945</v>
      </c>
      <c r="W160" s="30">
        <f>21600</f>
        <v>21600</v>
      </c>
      <c r="X160" s="34">
        <f>19</f>
        <v>19</v>
      </c>
    </row>
    <row r="161" spans="1:24">
      <c r="A161" s="25" t="s">
        <v>1179</v>
      </c>
      <c r="B161" s="25" t="s">
        <v>437</v>
      </c>
      <c r="C161" s="25" t="s">
        <v>438</v>
      </c>
      <c r="D161" s="25" t="s">
        <v>439</v>
      </c>
      <c r="E161" s="26" t="s">
        <v>43</v>
      </c>
      <c r="F161" s="27" t="s">
        <v>43</v>
      </c>
      <c r="G161" s="28" t="s">
        <v>43</v>
      </c>
      <c r="H161" s="29"/>
      <c r="I161" s="29" t="s">
        <v>44</v>
      </c>
      <c r="J161" s="30">
        <v>1</v>
      </c>
      <c r="K161" s="31">
        <f>3185</f>
        <v>3185</v>
      </c>
      <c r="L161" s="32" t="s">
        <v>1085</v>
      </c>
      <c r="M161" s="31">
        <f>3305</f>
        <v>3305</v>
      </c>
      <c r="N161" s="32" t="s">
        <v>661</v>
      </c>
      <c r="O161" s="31">
        <f>3130</f>
        <v>3130</v>
      </c>
      <c r="P161" s="32" t="s">
        <v>1078</v>
      </c>
      <c r="Q161" s="31">
        <f>3275</f>
        <v>3275</v>
      </c>
      <c r="R161" s="32" t="s">
        <v>661</v>
      </c>
      <c r="S161" s="33">
        <f>3209.21</f>
        <v>3209.21</v>
      </c>
      <c r="T161" s="30">
        <f>206422</f>
        <v>206422</v>
      </c>
      <c r="U161" s="30" t="str">
        <f>"－"</f>
        <v>－</v>
      </c>
      <c r="V161" s="30">
        <f>664148705</f>
        <v>664148705</v>
      </c>
      <c r="W161" s="30" t="str">
        <f>"－"</f>
        <v>－</v>
      </c>
      <c r="X161" s="34">
        <f>19</f>
        <v>19</v>
      </c>
    </row>
    <row r="162" spans="1:24">
      <c r="A162" s="25" t="s">
        <v>1179</v>
      </c>
      <c r="B162" s="25" t="s">
        <v>440</v>
      </c>
      <c r="C162" s="25" t="s">
        <v>441</v>
      </c>
      <c r="D162" s="25" t="s">
        <v>442</v>
      </c>
      <c r="E162" s="26" t="s">
        <v>43</v>
      </c>
      <c r="F162" s="27" t="s">
        <v>43</v>
      </c>
      <c r="G162" s="28" t="s">
        <v>43</v>
      </c>
      <c r="H162" s="29"/>
      <c r="I162" s="29" t="s">
        <v>44</v>
      </c>
      <c r="J162" s="30">
        <v>1</v>
      </c>
      <c r="K162" s="31">
        <f>3265</f>
        <v>3265</v>
      </c>
      <c r="L162" s="32" t="s">
        <v>1085</v>
      </c>
      <c r="M162" s="31">
        <f>3555</f>
        <v>3555</v>
      </c>
      <c r="N162" s="32" t="s">
        <v>755</v>
      </c>
      <c r="O162" s="31">
        <f>3260</f>
        <v>3260</v>
      </c>
      <c r="P162" s="32" t="s">
        <v>1085</v>
      </c>
      <c r="Q162" s="31">
        <f>3465</f>
        <v>3465</v>
      </c>
      <c r="R162" s="32" t="s">
        <v>661</v>
      </c>
      <c r="S162" s="33">
        <f>3431.05</f>
        <v>3431.05</v>
      </c>
      <c r="T162" s="30">
        <f>29449</f>
        <v>29449</v>
      </c>
      <c r="U162" s="30" t="str">
        <f>"－"</f>
        <v>－</v>
      </c>
      <c r="V162" s="30">
        <f>101660970</f>
        <v>101660970</v>
      </c>
      <c r="W162" s="30" t="str">
        <f>"－"</f>
        <v>－</v>
      </c>
      <c r="X162" s="34">
        <f>19</f>
        <v>19</v>
      </c>
    </row>
    <row r="163" spans="1:24">
      <c r="A163" s="25" t="s">
        <v>1179</v>
      </c>
      <c r="B163" s="25" t="s">
        <v>443</v>
      </c>
      <c r="C163" s="25" t="s">
        <v>444</v>
      </c>
      <c r="D163" s="25" t="s">
        <v>445</v>
      </c>
      <c r="E163" s="26" t="s">
        <v>43</v>
      </c>
      <c r="F163" s="27" t="s">
        <v>43</v>
      </c>
      <c r="G163" s="28" t="s">
        <v>43</v>
      </c>
      <c r="H163" s="29"/>
      <c r="I163" s="29" t="s">
        <v>44</v>
      </c>
      <c r="J163" s="30">
        <v>10</v>
      </c>
      <c r="K163" s="31">
        <f>3850</f>
        <v>3850</v>
      </c>
      <c r="L163" s="32" t="s">
        <v>1085</v>
      </c>
      <c r="M163" s="31">
        <f>4083</f>
        <v>4083</v>
      </c>
      <c r="N163" s="32" t="s">
        <v>1080</v>
      </c>
      <c r="O163" s="31">
        <f>3811</f>
        <v>3811</v>
      </c>
      <c r="P163" s="32" t="s">
        <v>1085</v>
      </c>
      <c r="Q163" s="31">
        <f>3966</f>
        <v>3966</v>
      </c>
      <c r="R163" s="32" t="s">
        <v>661</v>
      </c>
      <c r="S163" s="33">
        <f>3966.11</f>
        <v>3966.11</v>
      </c>
      <c r="T163" s="30">
        <f>21350</f>
        <v>21350</v>
      </c>
      <c r="U163" s="30" t="str">
        <f>"－"</f>
        <v>－</v>
      </c>
      <c r="V163" s="30">
        <f>85011880</f>
        <v>85011880</v>
      </c>
      <c r="W163" s="30" t="str">
        <f>"－"</f>
        <v>－</v>
      </c>
      <c r="X163" s="34">
        <f>19</f>
        <v>19</v>
      </c>
    </row>
    <row r="164" spans="1:24">
      <c r="A164" s="25" t="s">
        <v>1179</v>
      </c>
      <c r="B164" s="25" t="s">
        <v>446</v>
      </c>
      <c r="C164" s="25" t="s">
        <v>447</v>
      </c>
      <c r="D164" s="25" t="s">
        <v>951</v>
      </c>
      <c r="E164" s="26" t="s">
        <v>43</v>
      </c>
      <c r="F164" s="27" t="s">
        <v>43</v>
      </c>
      <c r="G164" s="28" t="s">
        <v>43</v>
      </c>
      <c r="H164" s="29"/>
      <c r="I164" s="29" t="s">
        <v>44</v>
      </c>
      <c r="J164" s="30">
        <v>10</v>
      </c>
      <c r="K164" s="31">
        <f>3045</f>
        <v>3045</v>
      </c>
      <c r="L164" s="32" t="s">
        <v>1085</v>
      </c>
      <c r="M164" s="31">
        <f>3045</f>
        <v>3045</v>
      </c>
      <c r="N164" s="32" t="s">
        <v>1085</v>
      </c>
      <c r="O164" s="31">
        <f>2884</f>
        <v>2884</v>
      </c>
      <c r="P164" s="32" t="s">
        <v>662</v>
      </c>
      <c r="Q164" s="31">
        <f>3015</f>
        <v>3015</v>
      </c>
      <c r="R164" s="32" t="s">
        <v>661</v>
      </c>
      <c r="S164" s="33">
        <f>2965.11</f>
        <v>2965.11</v>
      </c>
      <c r="T164" s="30">
        <f>938440</f>
        <v>938440</v>
      </c>
      <c r="U164" s="30">
        <f>607280</f>
        <v>607280</v>
      </c>
      <c r="V164" s="30">
        <f>2763170777</f>
        <v>2763170777</v>
      </c>
      <c r="W164" s="30">
        <f>1780585607</f>
        <v>1780585607</v>
      </c>
      <c r="X164" s="34">
        <f>19</f>
        <v>19</v>
      </c>
    </row>
    <row r="165" spans="1:24">
      <c r="A165" s="25" t="s">
        <v>1179</v>
      </c>
      <c r="B165" s="25" t="s">
        <v>448</v>
      </c>
      <c r="C165" s="25" t="s">
        <v>952</v>
      </c>
      <c r="D165" s="25" t="s">
        <v>953</v>
      </c>
      <c r="E165" s="26" t="s">
        <v>43</v>
      </c>
      <c r="F165" s="27" t="s">
        <v>43</v>
      </c>
      <c r="G165" s="28" t="s">
        <v>43</v>
      </c>
      <c r="H165" s="29"/>
      <c r="I165" s="29" t="s">
        <v>44</v>
      </c>
      <c r="J165" s="30">
        <v>10</v>
      </c>
      <c r="K165" s="31">
        <f>440.6</f>
        <v>440.6</v>
      </c>
      <c r="L165" s="32" t="s">
        <v>1085</v>
      </c>
      <c r="M165" s="31">
        <f>464.2</f>
        <v>464.2</v>
      </c>
      <c r="N165" s="32" t="s">
        <v>739</v>
      </c>
      <c r="O165" s="31">
        <f>426.9</f>
        <v>426.9</v>
      </c>
      <c r="P165" s="32" t="s">
        <v>755</v>
      </c>
      <c r="Q165" s="31">
        <f>433.1</f>
        <v>433.1</v>
      </c>
      <c r="R165" s="32" t="s">
        <v>661</v>
      </c>
      <c r="S165" s="33">
        <f>444.8</f>
        <v>444.8</v>
      </c>
      <c r="T165" s="30">
        <f>19641310</f>
        <v>19641310</v>
      </c>
      <c r="U165" s="30">
        <f>4538740</f>
        <v>4538740</v>
      </c>
      <c r="V165" s="30">
        <f>8735253903</f>
        <v>8735253903</v>
      </c>
      <c r="W165" s="30">
        <f>2003349223</f>
        <v>2003349223</v>
      </c>
      <c r="X165" s="34">
        <f>19</f>
        <v>19</v>
      </c>
    </row>
    <row r="166" spans="1:24">
      <c r="A166" s="25" t="s">
        <v>1179</v>
      </c>
      <c r="B166" s="25" t="s">
        <v>1088</v>
      </c>
      <c r="C166" s="25" t="s">
        <v>1087</v>
      </c>
      <c r="D166" s="25" t="s">
        <v>1086</v>
      </c>
      <c r="E166" s="26" t="s">
        <v>43</v>
      </c>
      <c r="F166" s="27" t="s">
        <v>43</v>
      </c>
      <c r="G166" s="28" t="s">
        <v>43</v>
      </c>
      <c r="H166" s="29"/>
      <c r="I166" s="29" t="s">
        <v>44</v>
      </c>
      <c r="J166" s="30">
        <v>1</v>
      </c>
      <c r="K166" s="31">
        <f>2061</f>
        <v>2061</v>
      </c>
      <c r="L166" s="32" t="s">
        <v>1085</v>
      </c>
      <c r="M166" s="31">
        <f>2061</f>
        <v>2061</v>
      </c>
      <c r="N166" s="32" t="s">
        <v>1085</v>
      </c>
      <c r="O166" s="31">
        <f>1940</f>
        <v>1940</v>
      </c>
      <c r="P166" s="32" t="s">
        <v>662</v>
      </c>
      <c r="Q166" s="31">
        <f>2022</f>
        <v>2022</v>
      </c>
      <c r="R166" s="32" t="s">
        <v>661</v>
      </c>
      <c r="S166" s="33">
        <f>1998.95</f>
        <v>1998.95</v>
      </c>
      <c r="T166" s="30">
        <f>46754</f>
        <v>46754</v>
      </c>
      <c r="U166" s="30" t="str">
        <f>"－"</f>
        <v>－</v>
      </c>
      <c r="V166" s="30">
        <f>94334154</f>
        <v>94334154</v>
      </c>
      <c r="W166" s="30" t="str">
        <f>"－"</f>
        <v>－</v>
      </c>
      <c r="X166" s="34">
        <f>19</f>
        <v>19</v>
      </c>
    </row>
    <row r="167" spans="1:24">
      <c r="A167" s="25" t="s">
        <v>1179</v>
      </c>
      <c r="B167" s="25" t="s">
        <v>1098</v>
      </c>
      <c r="C167" s="25" t="s">
        <v>1099</v>
      </c>
      <c r="D167" s="25" t="s">
        <v>1100</v>
      </c>
      <c r="E167" s="26" t="s">
        <v>43</v>
      </c>
      <c r="F167" s="27" t="s">
        <v>43</v>
      </c>
      <c r="G167" s="28" t="s">
        <v>43</v>
      </c>
      <c r="H167" s="29"/>
      <c r="I167" s="29" t="s">
        <v>44</v>
      </c>
      <c r="J167" s="30">
        <v>1</v>
      </c>
      <c r="K167" s="31">
        <f>1233</f>
        <v>1233</v>
      </c>
      <c r="L167" s="32" t="s">
        <v>1085</v>
      </c>
      <c r="M167" s="31">
        <f>1264</f>
        <v>1264</v>
      </c>
      <c r="N167" s="32" t="s">
        <v>1079</v>
      </c>
      <c r="O167" s="31">
        <f>1176</f>
        <v>1176</v>
      </c>
      <c r="P167" s="32" t="s">
        <v>1078</v>
      </c>
      <c r="Q167" s="31">
        <f>1225</f>
        <v>1225</v>
      </c>
      <c r="R167" s="32" t="s">
        <v>661</v>
      </c>
      <c r="S167" s="33">
        <f>1223.16</f>
        <v>1223.1600000000001</v>
      </c>
      <c r="T167" s="30">
        <f>1196981</f>
        <v>1196981</v>
      </c>
      <c r="U167" s="30">
        <f>87647</f>
        <v>87647</v>
      </c>
      <c r="V167" s="30">
        <f>1464239881</f>
        <v>1464239881</v>
      </c>
      <c r="W167" s="30">
        <f>105747525</f>
        <v>105747525</v>
      </c>
      <c r="X167" s="34">
        <f>19</f>
        <v>19</v>
      </c>
    </row>
    <row r="168" spans="1:24">
      <c r="A168" s="25" t="s">
        <v>1179</v>
      </c>
      <c r="B168" s="25" t="s">
        <v>1101</v>
      </c>
      <c r="C168" s="25" t="s">
        <v>1102</v>
      </c>
      <c r="D168" s="25" t="s">
        <v>1103</v>
      </c>
      <c r="E168" s="26" t="s">
        <v>43</v>
      </c>
      <c r="F168" s="27" t="s">
        <v>43</v>
      </c>
      <c r="G168" s="28" t="s">
        <v>43</v>
      </c>
      <c r="H168" s="29"/>
      <c r="I168" s="29" t="s">
        <v>44</v>
      </c>
      <c r="J168" s="30">
        <v>10</v>
      </c>
      <c r="K168" s="31">
        <f>274.7</f>
        <v>274.7</v>
      </c>
      <c r="L168" s="32" t="s">
        <v>1085</v>
      </c>
      <c r="M168" s="31">
        <f>277.8</f>
        <v>277.8</v>
      </c>
      <c r="N168" s="32" t="s">
        <v>661</v>
      </c>
      <c r="O168" s="31">
        <f>266.8</f>
        <v>266.8</v>
      </c>
      <c r="P168" s="32" t="s">
        <v>1080</v>
      </c>
      <c r="Q168" s="31">
        <f>276.4</f>
        <v>276.39999999999998</v>
      </c>
      <c r="R168" s="32" t="s">
        <v>661</v>
      </c>
      <c r="S168" s="33">
        <f>272.97</f>
        <v>272.97000000000003</v>
      </c>
      <c r="T168" s="30">
        <f>2498740</f>
        <v>2498740</v>
      </c>
      <c r="U168" s="30">
        <f>1112230</f>
        <v>1112230</v>
      </c>
      <c r="V168" s="30">
        <f>678278749</f>
        <v>678278749</v>
      </c>
      <c r="W168" s="30">
        <f>300563688</f>
        <v>300563688</v>
      </c>
      <c r="X168" s="34">
        <f>19</f>
        <v>19</v>
      </c>
    </row>
    <row r="169" spans="1:24">
      <c r="A169" s="25" t="s">
        <v>1179</v>
      </c>
      <c r="B169" s="25" t="s">
        <v>1104</v>
      </c>
      <c r="C169" s="25" t="s">
        <v>1105</v>
      </c>
      <c r="D169" s="25" t="s">
        <v>1106</v>
      </c>
      <c r="E169" s="26" t="s">
        <v>43</v>
      </c>
      <c r="F169" s="27" t="s">
        <v>43</v>
      </c>
      <c r="G169" s="28" t="s">
        <v>43</v>
      </c>
      <c r="H169" s="29"/>
      <c r="I169" s="29" t="s">
        <v>44</v>
      </c>
      <c r="J169" s="30">
        <v>10</v>
      </c>
      <c r="K169" s="31">
        <f>297.8</f>
        <v>297.8</v>
      </c>
      <c r="L169" s="32" t="s">
        <v>1085</v>
      </c>
      <c r="M169" s="31">
        <f>298.1</f>
        <v>298.10000000000002</v>
      </c>
      <c r="N169" s="32" t="s">
        <v>1079</v>
      </c>
      <c r="O169" s="31">
        <f>290.3</f>
        <v>290.3</v>
      </c>
      <c r="P169" s="32" t="s">
        <v>851</v>
      </c>
      <c r="Q169" s="31">
        <f>296.5</f>
        <v>296.5</v>
      </c>
      <c r="R169" s="32" t="s">
        <v>661</v>
      </c>
      <c r="S169" s="33">
        <f>294.74</f>
        <v>294.74</v>
      </c>
      <c r="T169" s="30">
        <f>802720</f>
        <v>802720</v>
      </c>
      <c r="U169" s="30" t="str">
        <f>"－"</f>
        <v>－</v>
      </c>
      <c r="V169" s="30">
        <f>235729754</f>
        <v>235729754</v>
      </c>
      <c r="W169" s="30" t="str">
        <f>"－"</f>
        <v>－</v>
      </c>
      <c r="X169" s="34">
        <f>19</f>
        <v>19</v>
      </c>
    </row>
    <row r="170" spans="1:24">
      <c r="A170" s="25" t="s">
        <v>1179</v>
      </c>
      <c r="B170" s="25" t="s">
        <v>1107</v>
      </c>
      <c r="C170" s="25" t="s">
        <v>1108</v>
      </c>
      <c r="D170" s="25" t="s">
        <v>1109</v>
      </c>
      <c r="E170" s="26" t="s">
        <v>43</v>
      </c>
      <c r="F170" s="27" t="s">
        <v>43</v>
      </c>
      <c r="G170" s="28" t="s">
        <v>43</v>
      </c>
      <c r="H170" s="29"/>
      <c r="I170" s="29" t="s">
        <v>44</v>
      </c>
      <c r="J170" s="30">
        <v>10</v>
      </c>
      <c r="K170" s="31">
        <f>524.9</f>
        <v>524.9</v>
      </c>
      <c r="L170" s="32" t="s">
        <v>1085</v>
      </c>
      <c r="M170" s="31">
        <f>535.1</f>
        <v>535.1</v>
      </c>
      <c r="N170" s="32" t="s">
        <v>1080</v>
      </c>
      <c r="O170" s="31">
        <f>511.1</f>
        <v>511.1</v>
      </c>
      <c r="P170" s="32" t="s">
        <v>1079</v>
      </c>
      <c r="Q170" s="31">
        <f>511.2</f>
        <v>511.2</v>
      </c>
      <c r="R170" s="32" t="s">
        <v>661</v>
      </c>
      <c r="S170" s="33">
        <f>514.21</f>
        <v>514.21</v>
      </c>
      <c r="T170" s="30">
        <f>1363240</f>
        <v>1363240</v>
      </c>
      <c r="U170" s="30">
        <f>1360000</f>
        <v>1360000</v>
      </c>
      <c r="V170" s="30">
        <f>708942264</f>
        <v>708942264</v>
      </c>
      <c r="W170" s="30">
        <f>707260304</f>
        <v>707260304</v>
      </c>
      <c r="X170" s="34">
        <f>9</f>
        <v>9</v>
      </c>
    </row>
    <row r="171" spans="1:24">
      <c r="A171" s="25" t="s">
        <v>1179</v>
      </c>
      <c r="B171" s="25" t="s">
        <v>1110</v>
      </c>
      <c r="C171" s="25" t="s">
        <v>1111</v>
      </c>
      <c r="D171" s="25" t="s">
        <v>1112</v>
      </c>
      <c r="E171" s="26" t="s">
        <v>43</v>
      </c>
      <c r="F171" s="27" t="s">
        <v>43</v>
      </c>
      <c r="G171" s="28" t="s">
        <v>43</v>
      </c>
      <c r="H171" s="29"/>
      <c r="I171" s="29" t="s">
        <v>44</v>
      </c>
      <c r="J171" s="30">
        <v>10</v>
      </c>
      <c r="K171" s="31">
        <f>500.9</f>
        <v>500.9</v>
      </c>
      <c r="L171" s="32" t="s">
        <v>1085</v>
      </c>
      <c r="M171" s="31">
        <f>520</f>
        <v>520</v>
      </c>
      <c r="N171" s="32" t="s">
        <v>1077</v>
      </c>
      <c r="O171" s="31">
        <f>495</f>
        <v>495</v>
      </c>
      <c r="P171" s="32" t="s">
        <v>851</v>
      </c>
      <c r="Q171" s="31">
        <f>507.9</f>
        <v>507.9</v>
      </c>
      <c r="R171" s="32" t="s">
        <v>859</v>
      </c>
      <c r="S171" s="33">
        <f>505.59</f>
        <v>505.59</v>
      </c>
      <c r="T171" s="30">
        <f>71030</f>
        <v>71030</v>
      </c>
      <c r="U171" s="30" t="str">
        <f>"－"</f>
        <v>－</v>
      </c>
      <c r="V171" s="30">
        <f>35871311</f>
        <v>35871311</v>
      </c>
      <c r="W171" s="30" t="str">
        <f>"－"</f>
        <v>－</v>
      </c>
      <c r="X171" s="34">
        <f>17</f>
        <v>17</v>
      </c>
    </row>
    <row r="172" spans="1:24">
      <c r="A172" s="25" t="s">
        <v>1179</v>
      </c>
      <c r="B172" s="25" t="s">
        <v>1113</v>
      </c>
      <c r="C172" s="25" t="s">
        <v>1114</v>
      </c>
      <c r="D172" s="25" t="s">
        <v>1115</v>
      </c>
      <c r="E172" s="26" t="s">
        <v>43</v>
      </c>
      <c r="F172" s="27" t="s">
        <v>43</v>
      </c>
      <c r="G172" s="28" t="s">
        <v>43</v>
      </c>
      <c r="H172" s="29"/>
      <c r="I172" s="29" t="s">
        <v>44</v>
      </c>
      <c r="J172" s="30">
        <v>10</v>
      </c>
      <c r="K172" s="31">
        <f>481.1</f>
        <v>481.1</v>
      </c>
      <c r="L172" s="32" t="s">
        <v>1085</v>
      </c>
      <c r="M172" s="31">
        <f>500.9</f>
        <v>500.9</v>
      </c>
      <c r="N172" s="32" t="s">
        <v>1080</v>
      </c>
      <c r="O172" s="31">
        <f>466.4</f>
        <v>466.4</v>
      </c>
      <c r="P172" s="32" t="s">
        <v>1080</v>
      </c>
      <c r="Q172" s="31">
        <f>485.9</f>
        <v>485.9</v>
      </c>
      <c r="R172" s="32" t="s">
        <v>661</v>
      </c>
      <c r="S172" s="33">
        <f>481.22</f>
        <v>481.22</v>
      </c>
      <c r="T172" s="30">
        <f>14940</f>
        <v>14940</v>
      </c>
      <c r="U172" s="30">
        <f>10</f>
        <v>10</v>
      </c>
      <c r="V172" s="30">
        <f>7132751</f>
        <v>7132751</v>
      </c>
      <c r="W172" s="30">
        <f>4790</f>
        <v>4790</v>
      </c>
      <c r="X172" s="34">
        <f>17</f>
        <v>17</v>
      </c>
    </row>
    <row r="173" spans="1:24">
      <c r="A173" s="25" t="s">
        <v>1179</v>
      </c>
      <c r="B173" s="25" t="s">
        <v>1116</v>
      </c>
      <c r="C173" s="25" t="s">
        <v>1117</v>
      </c>
      <c r="D173" s="25" t="s">
        <v>1118</v>
      </c>
      <c r="E173" s="26" t="s">
        <v>43</v>
      </c>
      <c r="F173" s="27" t="s">
        <v>43</v>
      </c>
      <c r="G173" s="28" t="s">
        <v>43</v>
      </c>
      <c r="H173" s="29"/>
      <c r="I173" s="29" t="s">
        <v>44</v>
      </c>
      <c r="J173" s="30">
        <v>1</v>
      </c>
      <c r="K173" s="31">
        <f>999</f>
        <v>999</v>
      </c>
      <c r="L173" s="32" t="s">
        <v>1085</v>
      </c>
      <c r="M173" s="31">
        <f>1000</f>
        <v>1000</v>
      </c>
      <c r="N173" s="32" t="s">
        <v>1085</v>
      </c>
      <c r="O173" s="31">
        <f>940</f>
        <v>940</v>
      </c>
      <c r="P173" s="32" t="s">
        <v>1078</v>
      </c>
      <c r="Q173" s="31">
        <f>959</f>
        <v>959</v>
      </c>
      <c r="R173" s="32" t="s">
        <v>661</v>
      </c>
      <c r="S173" s="33">
        <f>964.37</f>
        <v>964.37</v>
      </c>
      <c r="T173" s="30">
        <f>563323</f>
        <v>563323</v>
      </c>
      <c r="U173" s="30">
        <f>5</f>
        <v>5</v>
      </c>
      <c r="V173" s="30">
        <f>545238217</f>
        <v>545238217</v>
      </c>
      <c r="W173" s="30">
        <f>4957</f>
        <v>4957</v>
      </c>
      <c r="X173" s="34">
        <f>19</f>
        <v>19</v>
      </c>
    </row>
    <row r="174" spans="1:24">
      <c r="A174" s="25" t="s">
        <v>1179</v>
      </c>
      <c r="B174" s="25" t="s">
        <v>1119</v>
      </c>
      <c r="C174" s="25" t="s">
        <v>1120</v>
      </c>
      <c r="D174" s="25" t="s">
        <v>1121</v>
      </c>
      <c r="E174" s="26" t="s">
        <v>43</v>
      </c>
      <c r="F174" s="27" t="s">
        <v>43</v>
      </c>
      <c r="G174" s="28" t="s">
        <v>43</v>
      </c>
      <c r="H174" s="29"/>
      <c r="I174" s="29" t="s">
        <v>44</v>
      </c>
      <c r="J174" s="30">
        <v>1</v>
      </c>
      <c r="K174" s="31">
        <f>1636</f>
        <v>1636</v>
      </c>
      <c r="L174" s="32" t="s">
        <v>1085</v>
      </c>
      <c r="M174" s="31">
        <f>1796</f>
        <v>1796</v>
      </c>
      <c r="N174" s="32" t="s">
        <v>756</v>
      </c>
      <c r="O174" s="31">
        <f>1596</f>
        <v>1596</v>
      </c>
      <c r="P174" s="32" t="s">
        <v>1078</v>
      </c>
      <c r="Q174" s="31">
        <f>1663</f>
        <v>1663</v>
      </c>
      <c r="R174" s="32" t="s">
        <v>661</v>
      </c>
      <c r="S174" s="33">
        <f>1684.53</f>
        <v>1684.53</v>
      </c>
      <c r="T174" s="30">
        <f>3378471</f>
        <v>3378471</v>
      </c>
      <c r="U174" s="30">
        <f>745799</f>
        <v>745799</v>
      </c>
      <c r="V174" s="30">
        <f>5715972435</f>
        <v>5715972435</v>
      </c>
      <c r="W174" s="30">
        <f>1269988367</f>
        <v>1269988367</v>
      </c>
      <c r="X174" s="34">
        <f>19</f>
        <v>19</v>
      </c>
    </row>
    <row r="175" spans="1:24">
      <c r="A175" s="25" t="s">
        <v>1179</v>
      </c>
      <c r="B175" s="25" t="s">
        <v>1026</v>
      </c>
      <c r="C175" s="25" t="s">
        <v>1027</v>
      </c>
      <c r="D175" s="25" t="s">
        <v>1028</v>
      </c>
      <c r="E175" s="26" t="s">
        <v>43</v>
      </c>
      <c r="F175" s="27" t="s">
        <v>43</v>
      </c>
      <c r="G175" s="28" t="s">
        <v>43</v>
      </c>
      <c r="H175" s="29"/>
      <c r="I175" s="29" t="s">
        <v>44</v>
      </c>
      <c r="J175" s="30">
        <v>10</v>
      </c>
      <c r="K175" s="31">
        <f>590.8</f>
        <v>590.79999999999995</v>
      </c>
      <c r="L175" s="32" t="s">
        <v>1085</v>
      </c>
      <c r="M175" s="31">
        <f>593.2</f>
        <v>593.20000000000005</v>
      </c>
      <c r="N175" s="32" t="s">
        <v>1085</v>
      </c>
      <c r="O175" s="31">
        <f>558.7</f>
        <v>558.70000000000005</v>
      </c>
      <c r="P175" s="32" t="s">
        <v>662</v>
      </c>
      <c r="Q175" s="31">
        <f>584.9</f>
        <v>584.9</v>
      </c>
      <c r="R175" s="32" t="s">
        <v>661</v>
      </c>
      <c r="S175" s="33">
        <f>574.07</f>
        <v>574.07000000000005</v>
      </c>
      <c r="T175" s="30">
        <f>1104260</f>
        <v>1104260</v>
      </c>
      <c r="U175" s="30">
        <f>10</f>
        <v>10</v>
      </c>
      <c r="V175" s="30">
        <f>636219572</f>
        <v>636219572</v>
      </c>
      <c r="W175" s="30">
        <f>5827</f>
        <v>5827</v>
      </c>
      <c r="X175" s="34">
        <f>19</f>
        <v>19</v>
      </c>
    </row>
    <row r="176" spans="1:24">
      <c r="A176" s="25" t="s">
        <v>1179</v>
      </c>
      <c r="B176" s="25" t="s">
        <v>1051</v>
      </c>
      <c r="C176" s="25" t="s">
        <v>1052</v>
      </c>
      <c r="D176" s="25" t="s">
        <v>1053</v>
      </c>
      <c r="E176" s="26" t="s">
        <v>43</v>
      </c>
      <c r="F176" s="27" t="s">
        <v>43</v>
      </c>
      <c r="G176" s="28" t="s">
        <v>43</v>
      </c>
      <c r="H176" s="29"/>
      <c r="I176" s="29" t="s">
        <v>44</v>
      </c>
      <c r="J176" s="30">
        <v>10</v>
      </c>
      <c r="K176" s="31">
        <f>225.1</f>
        <v>225.1</v>
      </c>
      <c r="L176" s="32" t="s">
        <v>1085</v>
      </c>
      <c r="M176" s="31">
        <f>226.7</f>
        <v>226.7</v>
      </c>
      <c r="N176" s="32" t="s">
        <v>738</v>
      </c>
      <c r="O176" s="31">
        <f>220.7</f>
        <v>220.7</v>
      </c>
      <c r="P176" s="32" t="s">
        <v>661</v>
      </c>
      <c r="Q176" s="31">
        <f>221.7</f>
        <v>221.7</v>
      </c>
      <c r="R176" s="32" t="s">
        <v>661</v>
      </c>
      <c r="S176" s="33">
        <f>223.94</f>
        <v>223.94</v>
      </c>
      <c r="T176" s="30">
        <f>14891780</f>
        <v>14891780</v>
      </c>
      <c r="U176" s="30">
        <f>14500030</f>
        <v>14500030</v>
      </c>
      <c r="V176" s="30">
        <f>3292739498</f>
        <v>3292739498</v>
      </c>
      <c r="W176" s="30">
        <f>3205013729</f>
        <v>3205013729</v>
      </c>
      <c r="X176" s="34">
        <f>19</f>
        <v>19</v>
      </c>
    </row>
    <row r="177" spans="1:24">
      <c r="A177" s="25" t="s">
        <v>1179</v>
      </c>
      <c r="B177" s="25" t="s">
        <v>1054</v>
      </c>
      <c r="C177" s="25" t="s">
        <v>1055</v>
      </c>
      <c r="D177" s="25" t="s">
        <v>1056</v>
      </c>
      <c r="E177" s="26" t="s">
        <v>43</v>
      </c>
      <c r="F177" s="27" t="s">
        <v>43</v>
      </c>
      <c r="G177" s="28" t="s">
        <v>43</v>
      </c>
      <c r="H177" s="29"/>
      <c r="I177" s="29" t="s">
        <v>44</v>
      </c>
      <c r="J177" s="30">
        <v>10</v>
      </c>
      <c r="K177" s="31">
        <f>239.4</f>
        <v>239.4</v>
      </c>
      <c r="L177" s="32" t="s">
        <v>1085</v>
      </c>
      <c r="M177" s="31">
        <f>242.7</f>
        <v>242.7</v>
      </c>
      <c r="N177" s="32" t="s">
        <v>1078</v>
      </c>
      <c r="O177" s="31">
        <f>237.1</f>
        <v>237.1</v>
      </c>
      <c r="P177" s="32" t="s">
        <v>1079</v>
      </c>
      <c r="Q177" s="31">
        <f>240.7</f>
        <v>240.7</v>
      </c>
      <c r="R177" s="32" t="s">
        <v>661</v>
      </c>
      <c r="S177" s="33">
        <f>239.78</f>
        <v>239.78</v>
      </c>
      <c r="T177" s="30">
        <f>7845990</f>
        <v>7845990</v>
      </c>
      <c r="U177" s="30">
        <f>1023060</f>
        <v>1023060</v>
      </c>
      <c r="V177" s="30">
        <f>1881139529</f>
        <v>1881139529</v>
      </c>
      <c r="W177" s="30">
        <f>245870165</f>
        <v>245870165</v>
      </c>
      <c r="X177" s="34">
        <f>19</f>
        <v>19</v>
      </c>
    </row>
    <row r="178" spans="1:24">
      <c r="A178" s="25" t="s">
        <v>1179</v>
      </c>
      <c r="B178" s="25" t="s">
        <v>1057</v>
      </c>
      <c r="C178" s="25" t="s">
        <v>1058</v>
      </c>
      <c r="D178" s="25" t="s">
        <v>1059</v>
      </c>
      <c r="E178" s="26" t="s">
        <v>43</v>
      </c>
      <c r="F178" s="27" t="s">
        <v>43</v>
      </c>
      <c r="G178" s="28" t="s">
        <v>43</v>
      </c>
      <c r="H178" s="29"/>
      <c r="I178" s="29" t="s">
        <v>44</v>
      </c>
      <c r="J178" s="30">
        <v>10</v>
      </c>
      <c r="K178" s="31">
        <f>248.3</f>
        <v>248.3</v>
      </c>
      <c r="L178" s="32" t="s">
        <v>1085</v>
      </c>
      <c r="M178" s="31">
        <f>253.4</f>
        <v>253.4</v>
      </c>
      <c r="N178" s="32" t="s">
        <v>1078</v>
      </c>
      <c r="O178" s="31">
        <f>245.4</f>
        <v>245.4</v>
      </c>
      <c r="P178" s="32" t="s">
        <v>1080</v>
      </c>
      <c r="Q178" s="31">
        <f>252.7</f>
        <v>252.7</v>
      </c>
      <c r="R178" s="32" t="s">
        <v>661</v>
      </c>
      <c r="S178" s="33">
        <f>249.85</f>
        <v>249.85</v>
      </c>
      <c r="T178" s="30">
        <f>7414940</f>
        <v>7414940</v>
      </c>
      <c r="U178" s="30">
        <f>801070</f>
        <v>801070</v>
      </c>
      <c r="V178" s="30">
        <f>1852046471</f>
        <v>1852046471</v>
      </c>
      <c r="W178" s="30">
        <f>198807446</f>
        <v>198807446</v>
      </c>
      <c r="X178" s="34">
        <f>19</f>
        <v>19</v>
      </c>
    </row>
    <row r="179" spans="1:24">
      <c r="A179" s="25" t="s">
        <v>1179</v>
      </c>
      <c r="B179" s="25" t="s">
        <v>1060</v>
      </c>
      <c r="C179" s="25" t="s">
        <v>1061</v>
      </c>
      <c r="D179" s="25" t="s">
        <v>1062</v>
      </c>
      <c r="E179" s="26" t="s">
        <v>43</v>
      </c>
      <c r="F179" s="27" t="s">
        <v>43</v>
      </c>
      <c r="G179" s="28" t="s">
        <v>43</v>
      </c>
      <c r="H179" s="29"/>
      <c r="I179" s="29" t="s">
        <v>44</v>
      </c>
      <c r="J179" s="30">
        <v>1</v>
      </c>
      <c r="K179" s="31">
        <f>2093</f>
        <v>2093</v>
      </c>
      <c r="L179" s="32" t="s">
        <v>1085</v>
      </c>
      <c r="M179" s="31">
        <f>2109</f>
        <v>2109</v>
      </c>
      <c r="N179" s="32" t="s">
        <v>738</v>
      </c>
      <c r="O179" s="31">
        <f>2064</f>
        <v>2064</v>
      </c>
      <c r="P179" s="32" t="s">
        <v>739</v>
      </c>
      <c r="Q179" s="31">
        <f>2074</f>
        <v>2074</v>
      </c>
      <c r="R179" s="32" t="s">
        <v>661</v>
      </c>
      <c r="S179" s="33">
        <f>2082.05</f>
        <v>2082.0500000000002</v>
      </c>
      <c r="T179" s="30">
        <f>135788</f>
        <v>135788</v>
      </c>
      <c r="U179" s="30">
        <f>4</f>
        <v>4</v>
      </c>
      <c r="V179" s="30">
        <f>283104522</f>
        <v>283104522</v>
      </c>
      <c r="W179" s="30">
        <f>8394</f>
        <v>8394</v>
      </c>
      <c r="X179" s="34">
        <f>19</f>
        <v>19</v>
      </c>
    </row>
    <row r="180" spans="1:24">
      <c r="A180" s="25" t="s">
        <v>1179</v>
      </c>
      <c r="B180" s="25" t="s">
        <v>1063</v>
      </c>
      <c r="C180" s="25" t="s">
        <v>1064</v>
      </c>
      <c r="D180" s="25" t="s">
        <v>1065</v>
      </c>
      <c r="E180" s="26" t="s">
        <v>43</v>
      </c>
      <c r="F180" s="27" t="s">
        <v>43</v>
      </c>
      <c r="G180" s="28" t="s">
        <v>43</v>
      </c>
      <c r="H180" s="29"/>
      <c r="I180" s="29" t="s">
        <v>44</v>
      </c>
      <c r="J180" s="30">
        <v>1</v>
      </c>
      <c r="K180" s="31">
        <f>1866</f>
        <v>1866</v>
      </c>
      <c r="L180" s="32" t="s">
        <v>1085</v>
      </c>
      <c r="M180" s="31">
        <f>1873</f>
        <v>1873</v>
      </c>
      <c r="N180" s="32" t="s">
        <v>661</v>
      </c>
      <c r="O180" s="31">
        <f>1832</f>
        <v>1832</v>
      </c>
      <c r="P180" s="32" t="s">
        <v>756</v>
      </c>
      <c r="Q180" s="31">
        <f>1868</f>
        <v>1868</v>
      </c>
      <c r="R180" s="32" t="s">
        <v>661</v>
      </c>
      <c r="S180" s="33">
        <f>1857.32</f>
        <v>1857.32</v>
      </c>
      <c r="T180" s="30">
        <f>349759</f>
        <v>349759</v>
      </c>
      <c r="U180" s="30">
        <f>160002</f>
        <v>160002</v>
      </c>
      <c r="V180" s="30">
        <f>648216352</f>
        <v>648216352</v>
      </c>
      <c r="W180" s="30">
        <f>296331735</f>
        <v>296331735</v>
      </c>
      <c r="X180" s="34">
        <f>19</f>
        <v>19</v>
      </c>
    </row>
    <row r="181" spans="1:24">
      <c r="A181" s="25" t="s">
        <v>1179</v>
      </c>
      <c r="B181" s="25" t="s">
        <v>1066</v>
      </c>
      <c r="C181" s="25" t="s">
        <v>1067</v>
      </c>
      <c r="D181" s="25" t="s">
        <v>1068</v>
      </c>
      <c r="E181" s="26" t="s">
        <v>43</v>
      </c>
      <c r="F181" s="27" t="s">
        <v>43</v>
      </c>
      <c r="G181" s="28" t="s">
        <v>43</v>
      </c>
      <c r="H181" s="29"/>
      <c r="I181" s="29" t="s">
        <v>44</v>
      </c>
      <c r="J181" s="30">
        <v>1</v>
      </c>
      <c r="K181" s="31">
        <f>1100</f>
        <v>1100</v>
      </c>
      <c r="L181" s="32" t="s">
        <v>1085</v>
      </c>
      <c r="M181" s="31">
        <f>1102</f>
        <v>1102</v>
      </c>
      <c r="N181" s="32" t="s">
        <v>1085</v>
      </c>
      <c r="O181" s="31">
        <f>1038</f>
        <v>1038</v>
      </c>
      <c r="P181" s="32" t="s">
        <v>662</v>
      </c>
      <c r="Q181" s="31">
        <f>1093</f>
        <v>1093</v>
      </c>
      <c r="R181" s="32" t="s">
        <v>661</v>
      </c>
      <c r="S181" s="33">
        <f>1074.16</f>
        <v>1074.1600000000001</v>
      </c>
      <c r="T181" s="30">
        <f>2451448</f>
        <v>2451448</v>
      </c>
      <c r="U181" s="30">
        <f>854949</f>
        <v>854949</v>
      </c>
      <c r="V181" s="30">
        <f>2645360676</f>
        <v>2645360676</v>
      </c>
      <c r="W181" s="30">
        <f>924302215</f>
        <v>924302215</v>
      </c>
      <c r="X181" s="34">
        <f>19</f>
        <v>19</v>
      </c>
    </row>
    <row r="182" spans="1:24">
      <c r="A182" s="25" t="s">
        <v>1179</v>
      </c>
      <c r="B182" s="25" t="s">
        <v>1069</v>
      </c>
      <c r="C182" s="25" t="s">
        <v>1070</v>
      </c>
      <c r="D182" s="25" t="s">
        <v>1071</v>
      </c>
      <c r="E182" s="26" t="s">
        <v>43</v>
      </c>
      <c r="F182" s="27" t="s">
        <v>43</v>
      </c>
      <c r="G182" s="28" t="s">
        <v>43</v>
      </c>
      <c r="H182" s="29"/>
      <c r="I182" s="29" t="s">
        <v>44</v>
      </c>
      <c r="J182" s="30">
        <v>1</v>
      </c>
      <c r="K182" s="31">
        <f>1143</f>
        <v>1143</v>
      </c>
      <c r="L182" s="32" t="s">
        <v>1085</v>
      </c>
      <c r="M182" s="31">
        <f>1167</f>
        <v>1167</v>
      </c>
      <c r="N182" s="32" t="s">
        <v>1075</v>
      </c>
      <c r="O182" s="31">
        <f>1106</f>
        <v>1106</v>
      </c>
      <c r="P182" s="32" t="s">
        <v>1080</v>
      </c>
      <c r="Q182" s="31">
        <f>1134</f>
        <v>1134</v>
      </c>
      <c r="R182" s="32" t="s">
        <v>661</v>
      </c>
      <c r="S182" s="33">
        <f>1134.26</f>
        <v>1134.26</v>
      </c>
      <c r="T182" s="30">
        <f>23263</f>
        <v>23263</v>
      </c>
      <c r="U182" s="30">
        <f>10</f>
        <v>10</v>
      </c>
      <c r="V182" s="30">
        <f>26318617</f>
        <v>26318617</v>
      </c>
      <c r="W182" s="30">
        <f>10320</f>
        <v>10320</v>
      </c>
      <c r="X182" s="34">
        <f>19</f>
        <v>19</v>
      </c>
    </row>
    <row r="183" spans="1:24">
      <c r="A183" s="25" t="s">
        <v>1179</v>
      </c>
      <c r="B183" s="25" t="s">
        <v>1072</v>
      </c>
      <c r="C183" s="25" t="s">
        <v>1073</v>
      </c>
      <c r="D183" s="25" t="s">
        <v>1074</v>
      </c>
      <c r="E183" s="26" t="s">
        <v>43</v>
      </c>
      <c r="F183" s="27" t="s">
        <v>43</v>
      </c>
      <c r="G183" s="28" t="s">
        <v>43</v>
      </c>
      <c r="H183" s="29"/>
      <c r="I183" s="29" t="s">
        <v>44</v>
      </c>
      <c r="J183" s="30">
        <v>1</v>
      </c>
      <c r="K183" s="31">
        <f>1097</f>
        <v>1097</v>
      </c>
      <c r="L183" s="32" t="s">
        <v>1085</v>
      </c>
      <c r="M183" s="31">
        <f>1250</f>
        <v>1250</v>
      </c>
      <c r="N183" s="32" t="s">
        <v>1079</v>
      </c>
      <c r="O183" s="31">
        <f>1044</f>
        <v>1044</v>
      </c>
      <c r="P183" s="32" t="s">
        <v>1080</v>
      </c>
      <c r="Q183" s="31">
        <f>1076</f>
        <v>1076</v>
      </c>
      <c r="R183" s="32" t="s">
        <v>661</v>
      </c>
      <c r="S183" s="33">
        <f>1084.84</f>
        <v>1084.8399999999999</v>
      </c>
      <c r="T183" s="30">
        <f>207604</f>
        <v>207604</v>
      </c>
      <c r="U183" s="30" t="str">
        <f>"－"</f>
        <v>－</v>
      </c>
      <c r="V183" s="30">
        <f>224565001</f>
        <v>224565001</v>
      </c>
      <c r="W183" s="30" t="str">
        <f>"－"</f>
        <v>－</v>
      </c>
      <c r="X183" s="34">
        <f>19</f>
        <v>19</v>
      </c>
    </row>
    <row r="184" spans="1:24">
      <c r="A184" s="25" t="s">
        <v>1179</v>
      </c>
      <c r="B184" s="25" t="s">
        <v>1122</v>
      </c>
      <c r="C184" s="25" t="s">
        <v>1123</v>
      </c>
      <c r="D184" s="25" t="s">
        <v>1124</v>
      </c>
      <c r="E184" s="26" t="s">
        <v>43</v>
      </c>
      <c r="F184" s="27" t="s">
        <v>43</v>
      </c>
      <c r="G184" s="28" t="s">
        <v>43</v>
      </c>
      <c r="H184" s="29"/>
      <c r="I184" s="29" t="s">
        <v>44</v>
      </c>
      <c r="J184" s="30">
        <v>10</v>
      </c>
      <c r="K184" s="31">
        <f>200.8</f>
        <v>200.8</v>
      </c>
      <c r="L184" s="32" t="s">
        <v>1085</v>
      </c>
      <c r="M184" s="31">
        <f>200.8</f>
        <v>200.8</v>
      </c>
      <c r="N184" s="32" t="s">
        <v>1085</v>
      </c>
      <c r="O184" s="31">
        <f>187.5</f>
        <v>187.5</v>
      </c>
      <c r="P184" s="32" t="s">
        <v>1078</v>
      </c>
      <c r="Q184" s="31">
        <f>191.7</f>
        <v>191.7</v>
      </c>
      <c r="R184" s="32" t="s">
        <v>661</v>
      </c>
      <c r="S184" s="33">
        <f>192.71</f>
        <v>192.71</v>
      </c>
      <c r="T184" s="30">
        <f>4697720</f>
        <v>4697720</v>
      </c>
      <c r="U184" s="30">
        <f>430</f>
        <v>430</v>
      </c>
      <c r="V184" s="30">
        <f>905384617</f>
        <v>905384617</v>
      </c>
      <c r="W184" s="30">
        <f>81735</f>
        <v>81735</v>
      </c>
      <c r="X184" s="34">
        <f>19</f>
        <v>19</v>
      </c>
    </row>
    <row r="185" spans="1:24">
      <c r="A185" s="25" t="s">
        <v>1179</v>
      </c>
      <c r="B185" s="25" t="s">
        <v>449</v>
      </c>
      <c r="C185" s="25" t="s">
        <v>450</v>
      </c>
      <c r="D185" s="25" t="s">
        <v>451</v>
      </c>
      <c r="E185" s="26" t="s">
        <v>43</v>
      </c>
      <c r="F185" s="27" t="s">
        <v>43</v>
      </c>
      <c r="G185" s="28" t="s">
        <v>43</v>
      </c>
      <c r="H185" s="29"/>
      <c r="I185" s="29" t="s">
        <v>452</v>
      </c>
      <c r="J185" s="30">
        <v>1</v>
      </c>
      <c r="K185" s="31">
        <f>5561</f>
        <v>5561</v>
      </c>
      <c r="L185" s="32" t="s">
        <v>1085</v>
      </c>
      <c r="M185" s="31">
        <f>6056</f>
        <v>6056</v>
      </c>
      <c r="N185" s="32" t="s">
        <v>661</v>
      </c>
      <c r="O185" s="31">
        <f>5049</f>
        <v>5049</v>
      </c>
      <c r="P185" s="32" t="s">
        <v>1080</v>
      </c>
      <c r="Q185" s="31">
        <f>5992</f>
        <v>5992</v>
      </c>
      <c r="R185" s="32" t="s">
        <v>661</v>
      </c>
      <c r="S185" s="33">
        <f>5499.21</f>
        <v>5499.21</v>
      </c>
      <c r="T185" s="30">
        <f>55373</f>
        <v>55373</v>
      </c>
      <c r="U185" s="30" t="str">
        <f>"－"</f>
        <v>－</v>
      </c>
      <c r="V185" s="30">
        <f>312012565</f>
        <v>312012565</v>
      </c>
      <c r="W185" s="30" t="str">
        <f>"－"</f>
        <v>－</v>
      </c>
      <c r="X185" s="34">
        <f>19</f>
        <v>19</v>
      </c>
    </row>
    <row r="186" spans="1:24">
      <c r="A186" s="25" t="s">
        <v>1179</v>
      </c>
      <c r="B186" s="25" t="s">
        <v>453</v>
      </c>
      <c r="C186" s="25" t="s">
        <v>454</v>
      </c>
      <c r="D186" s="25" t="s">
        <v>455</v>
      </c>
      <c r="E186" s="26" t="s">
        <v>43</v>
      </c>
      <c r="F186" s="27" t="s">
        <v>43</v>
      </c>
      <c r="G186" s="28" t="s">
        <v>43</v>
      </c>
      <c r="H186" s="29"/>
      <c r="I186" s="29" t="s">
        <v>452</v>
      </c>
      <c r="J186" s="30">
        <v>1</v>
      </c>
      <c r="K186" s="31">
        <f>8380</f>
        <v>8380</v>
      </c>
      <c r="L186" s="32" t="s">
        <v>1085</v>
      </c>
      <c r="M186" s="31">
        <f>8959</f>
        <v>8959</v>
      </c>
      <c r="N186" s="32" t="s">
        <v>738</v>
      </c>
      <c r="O186" s="31">
        <f>7917</f>
        <v>7917</v>
      </c>
      <c r="P186" s="32" t="s">
        <v>661</v>
      </c>
      <c r="Q186" s="31">
        <f>8048</f>
        <v>8048</v>
      </c>
      <c r="R186" s="32" t="s">
        <v>661</v>
      </c>
      <c r="S186" s="33">
        <f>8374.58</f>
        <v>8374.58</v>
      </c>
      <c r="T186" s="30">
        <f>10604</f>
        <v>10604</v>
      </c>
      <c r="U186" s="30" t="str">
        <f>"－"</f>
        <v>－</v>
      </c>
      <c r="V186" s="30">
        <f>88593534</f>
        <v>88593534</v>
      </c>
      <c r="W186" s="30" t="str">
        <f>"－"</f>
        <v>－</v>
      </c>
      <c r="X186" s="34">
        <f>19</f>
        <v>19</v>
      </c>
    </row>
    <row r="187" spans="1:24">
      <c r="A187" s="25" t="s">
        <v>1179</v>
      </c>
      <c r="B187" s="25" t="s">
        <v>456</v>
      </c>
      <c r="C187" s="25" t="s">
        <v>457</v>
      </c>
      <c r="D187" s="25" t="s">
        <v>458</v>
      </c>
      <c r="E187" s="26" t="s">
        <v>43</v>
      </c>
      <c r="F187" s="27" t="s">
        <v>43</v>
      </c>
      <c r="G187" s="28" t="s">
        <v>43</v>
      </c>
      <c r="H187" s="29"/>
      <c r="I187" s="29" t="s">
        <v>452</v>
      </c>
      <c r="J187" s="30">
        <v>1</v>
      </c>
      <c r="K187" s="31">
        <f>9990</f>
        <v>9990</v>
      </c>
      <c r="L187" s="32" t="s">
        <v>1085</v>
      </c>
      <c r="M187" s="31">
        <f>10870</f>
        <v>10870</v>
      </c>
      <c r="N187" s="32" t="s">
        <v>1075</v>
      </c>
      <c r="O187" s="31">
        <f>9809</f>
        <v>9809</v>
      </c>
      <c r="P187" s="32" t="s">
        <v>1085</v>
      </c>
      <c r="Q187" s="31">
        <f>10460</f>
        <v>10460</v>
      </c>
      <c r="R187" s="32" t="s">
        <v>661</v>
      </c>
      <c r="S187" s="33">
        <f>10524.47</f>
        <v>10524.47</v>
      </c>
      <c r="T187" s="30">
        <f>5996</f>
        <v>5996</v>
      </c>
      <c r="U187" s="30">
        <f>1</f>
        <v>1</v>
      </c>
      <c r="V187" s="30">
        <f>62329910</f>
        <v>62329910</v>
      </c>
      <c r="W187" s="30">
        <f>10415</f>
        <v>10415</v>
      </c>
      <c r="X187" s="34">
        <f>19</f>
        <v>19</v>
      </c>
    </row>
    <row r="188" spans="1:24">
      <c r="A188" s="25" t="s">
        <v>1179</v>
      </c>
      <c r="B188" s="25" t="s">
        <v>459</v>
      </c>
      <c r="C188" s="25" t="s">
        <v>460</v>
      </c>
      <c r="D188" s="25" t="s">
        <v>461</v>
      </c>
      <c r="E188" s="26" t="s">
        <v>43</v>
      </c>
      <c r="F188" s="27" t="s">
        <v>43</v>
      </c>
      <c r="G188" s="28" t="s">
        <v>43</v>
      </c>
      <c r="H188" s="29"/>
      <c r="I188" s="29" t="s">
        <v>452</v>
      </c>
      <c r="J188" s="30">
        <v>1</v>
      </c>
      <c r="K188" s="31">
        <f>8291</f>
        <v>8291</v>
      </c>
      <c r="L188" s="32" t="s">
        <v>1085</v>
      </c>
      <c r="M188" s="31">
        <f>8291</f>
        <v>8291</v>
      </c>
      <c r="N188" s="32" t="s">
        <v>1085</v>
      </c>
      <c r="O188" s="31">
        <f>7819</f>
        <v>7819</v>
      </c>
      <c r="P188" s="32" t="s">
        <v>1078</v>
      </c>
      <c r="Q188" s="31">
        <f>7881</f>
        <v>7881</v>
      </c>
      <c r="R188" s="32" t="s">
        <v>661</v>
      </c>
      <c r="S188" s="33">
        <f>7988.89</f>
        <v>7988.89</v>
      </c>
      <c r="T188" s="30">
        <f>2040</f>
        <v>2040</v>
      </c>
      <c r="U188" s="30" t="str">
        <f>"－"</f>
        <v>－</v>
      </c>
      <c r="V188" s="30">
        <f>16319010</f>
        <v>16319010</v>
      </c>
      <c r="W188" s="30" t="str">
        <f>"－"</f>
        <v>－</v>
      </c>
      <c r="X188" s="34">
        <f>19</f>
        <v>19</v>
      </c>
    </row>
    <row r="189" spans="1:24">
      <c r="A189" s="25" t="s">
        <v>1179</v>
      </c>
      <c r="B189" s="25" t="s">
        <v>462</v>
      </c>
      <c r="C189" s="25" t="s">
        <v>463</v>
      </c>
      <c r="D189" s="25" t="s">
        <v>464</v>
      </c>
      <c r="E189" s="26" t="s">
        <v>43</v>
      </c>
      <c r="F189" s="27" t="s">
        <v>43</v>
      </c>
      <c r="G189" s="28" t="s">
        <v>43</v>
      </c>
      <c r="H189" s="29"/>
      <c r="I189" s="29" t="s">
        <v>452</v>
      </c>
      <c r="J189" s="30">
        <v>1</v>
      </c>
      <c r="K189" s="31">
        <f>71350</f>
        <v>71350</v>
      </c>
      <c r="L189" s="32" t="s">
        <v>1085</v>
      </c>
      <c r="M189" s="31">
        <f>77190</f>
        <v>77190</v>
      </c>
      <c r="N189" s="32" t="s">
        <v>1075</v>
      </c>
      <c r="O189" s="31">
        <f>71170</f>
        <v>71170</v>
      </c>
      <c r="P189" s="32" t="s">
        <v>1085</v>
      </c>
      <c r="Q189" s="31">
        <f>77140</f>
        <v>77140</v>
      </c>
      <c r="R189" s="32" t="s">
        <v>661</v>
      </c>
      <c r="S189" s="33">
        <f>74429.47</f>
        <v>74429.47</v>
      </c>
      <c r="T189" s="30">
        <f>62168</f>
        <v>62168</v>
      </c>
      <c r="U189" s="30">
        <f>2</f>
        <v>2</v>
      </c>
      <c r="V189" s="30">
        <f>4612740020</f>
        <v>4612740020</v>
      </c>
      <c r="W189" s="30">
        <f>152450</f>
        <v>152450</v>
      </c>
      <c r="X189" s="34">
        <f>19</f>
        <v>19</v>
      </c>
    </row>
    <row r="190" spans="1:24">
      <c r="A190" s="25" t="s">
        <v>1179</v>
      </c>
      <c r="B190" s="25" t="s">
        <v>465</v>
      </c>
      <c r="C190" s="25" t="s">
        <v>466</v>
      </c>
      <c r="D190" s="25" t="s">
        <v>467</v>
      </c>
      <c r="E190" s="26" t="s">
        <v>43</v>
      </c>
      <c r="F190" s="27" t="s">
        <v>43</v>
      </c>
      <c r="G190" s="28" t="s">
        <v>43</v>
      </c>
      <c r="H190" s="29"/>
      <c r="I190" s="29" t="s">
        <v>452</v>
      </c>
      <c r="J190" s="30">
        <v>1</v>
      </c>
      <c r="K190" s="31">
        <f>2420</f>
        <v>2420</v>
      </c>
      <c r="L190" s="32" t="s">
        <v>1085</v>
      </c>
      <c r="M190" s="31">
        <f>2441</f>
        <v>2441</v>
      </c>
      <c r="N190" s="32" t="s">
        <v>1085</v>
      </c>
      <c r="O190" s="31">
        <f>2305</f>
        <v>2305</v>
      </c>
      <c r="P190" s="32" t="s">
        <v>661</v>
      </c>
      <c r="Q190" s="31">
        <f>2310</f>
        <v>2310</v>
      </c>
      <c r="R190" s="32" t="s">
        <v>661</v>
      </c>
      <c r="S190" s="33">
        <f>2379.53</f>
        <v>2379.5300000000002</v>
      </c>
      <c r="T190" s="30">
        <f>14856</f>
        <v>14856</v>
      </c>
      <c r="U190" s="30">
        <f>1</f>
        <v>1</v>
      </c>
      <c r="V190" s="30">
        <f>35400415</f>
        <v>35400415</v>
      </c>
      <c r="W190" s="30">
        <f>2433</f>
        <v>2433</v>
      </c>
      <c r="X190" s="34">
        <f>19</f>
        <v>19</v>
      </c>
    </row>
    <row r="191" spans="1:24">
      <c r="A191" s="25" t="s">
        <v>1179</v>
      </c>
      <c r="B191" s="25" t="s">
        <v>468</v>
      </c>
      <c r="C191" s="25" t="s">
        <v>469</v>
      </c>
      <c r="D191" s="25" t="s">
        <v>470</v>
      </c>
      <c r="E191" s="26" t="s">
        <v>43</v>
      </c>
      <c r="F191" s="27" t="s">
        <v>43</v>
      </c>
      <c r="G191" s="28" t="s">
        <v>43</v>
      </c>
      <c r="H191" s="29"/>
      <c r="I191" s="29" t="s">
        <v>452</v>
      </c>
      <c r="J191" s="30">
        <v>1</v>
      </c>
      <c r="K191" s="31">
        <f>2058</f>
        <v>2058</v>
      </c>
      <c r="L191" s="32" t="s">
        <v>1085</v>
      </c>
      <c r="M191" s="31">
        <f>2205</f>
        <v>2205</v>
      </c>
      <c r="N191" s="32" t="s">
        <v>739</v>
      </c>
      <c r="O191" s="31">
        <f>1932</f>
        <v>1932</v>
      </c>
      <c r="P191" s="32" t="s">
        <v>755</v>
      </c>
      <c r="Q191" s="31">
        <f>2068</f>
        <v>2068</v>
      </c>
      <c r="R191" s="32" t="s">
        <v>661</v>
      </c>
      <c r="S191" s="33">
        <f>2071.74</f>
        <v>2071.7399999999998</v>
      </c>
      <c r="T191" s="30">
        <f>3953067</f>
        <v>3953067</v>
      </c>
      <c r="U191" s="30">
        <f>350034</f>
        <v>350034</v>
      </c>
      <c r="V191" s="30">
        <f>8257395648</f>
        <v>8257395648</v>
      </c>
      <c r="W191" s="30">
        <f>760071512</f>
        <v>760071512</v>
      </c>
      <c r="X191" s="34">
        <f>19</f>
        <v>19</v>
      </c>
    </row>
    <row r="192" spans="1:24">
      <c r="A192" s="25" t="s">
        <v>1179</v>
      </c>
      <c r="B192" s="25" t="s">
        <v>471</v>
      </c>
      <c r="C192" s="25" t="s">
        <v>472</v>
      </c>
      <c r="D192" s="25" t="s">
        <v>473</v>
      </c>
      <c r="E192" s="26" t="s">
        <v>43</v>
      </c>
      <c r="F192" s="27" t="s">
        <v>43</v>
      </c>
      <c r="G192" s="28" t="s">
        <v>43</v>
      </c>
      <c r="H192" s="29"/>
      <c r="I192" s="29" t="s">
        <v>452</v>
      </c>
      <c r="J192" s="30">
        <v>1</v>
      </c>
      <c r="K192" s="31">
        <f>924</f>
        <v>924</v>
      </c>
      <c r="L192" s="32" t="s">
        <v>1085</v>
      </c>
      <c r="M192" s="31">
        <f>924</f>
        <v>924</v>
      </c>
      <c r="N192" s="32" t="s">
        <v>1085</v>
      </c>
      <c r="O192" s="31">
        <f>870</f>
        <v>870</v>
      </c>
      <c r="P192" s="32" t="s">
        <v>1080</v>
      </c>
      <c r="Q192" s="31">
        <f>897</f>
        <v>897</v>
      </c>
      <c r="R192" s="32" t="s">
        <v>661</v>
      </c>
      <c r="S192" s="33">
        <f>896.11</f>
        <v>896.11</v>
      </c>
      <c r="T192" s="30">
        <f>1767171</f>
        <v>1767171</v>
      </c>
      <c r="U192" s="30">
        <f>299</f>
        <v>299</v>
      </c>
      <c r="V192" s="30">
        <f>1582383320</f>
        <v>1582383320</v>
      </c>
      <c r="W192" s="30">
        <f>257589</f>
        <v>257589</v>
      </c>
      <c r="X192" s="34">
        <f>19</f>
        <v>19</v>
      </c>
    </row>
    <row r="193" spans="1:24">
      <c r="A193" s="25" t="s">
        <v>1179</v>
      </c>
      <c r="B193" s="25" t="s">
        <v>474</v>
      </c>
      <c r="C193" s="25" t="s">
        <v>475</v>
      </c>
      <c r="D193" s="25" t="s">
        <v>476</v>
      </c>
      <c r="E193" s="26" t="s">
        <v>43</v>
      </c>
      <c r="F193" s="27" t="s">
        <v>43</v>
      </c>
      <c r="G193" s="28" t="s">
        <v>43</v>
      </c>
      <c r="H193" s="29"/>
      <c r="I193" s="29" t="s">
        <v>452</v>
      </c>
      <c r="J193" s="30">
        <v>1</v>
      </c>
      <c r="K193" s="31">
        <f>31220</f>
        <v>31220</v>
      </c>
      <c r="L193" s="32" t="s">
        <v>1085</v>
      </c>
      <c r="M193" s="31">
        <f>33410</f>
        <v>33410</v>
      </c>
      <c r="N193" s="32" t="s">
        <v>661</v>
      </c>
      <c r="O193" s="31">
        <f>30060</f>
        <v>30060</v>
      </c>
      <c r="P193" s="32" t="s">
        <v>1080</v>
      </c>
      <c r="Q193" s="31">
        <f>33410</f>
        <v>33410</v>
      </c>
      <c r="R193" s="32" t="s">
        <v>661</v>
      </c>
      <c r="S193" s="33">
        <f>31739.47</f>
        <v>31739.47</v>
      </c>
      <c r="T193" s="30">
        <f>65019</f>
        <v>65019</v>
      </c>
      <c r="U193" s="30">
        <f>311</f>
        <v>311</v>
      </c>
      <c r="V193" s="30">
        <f>2079359390</f>
        <v>2079359390</v>
      </c>
      <c r="W193" s="30">
        <f>9766170</f>
        <v>9766170</v>
      </c>
      <c r="X193" s="34">
        <f>19</f>
        <v>19</v>
      </c>
    </row>
    <row r="194" spans="1:24">
      <c r="A194" s="25" t="s">
        <v>1179</v>
      </c>
      <c r="B194" s="25" t="s">
        <v>477</v>
      </c>
      <c r="C194" s="25" t="s">
        <v>478</v>
      </c>
      <c r="D194" s="25" t="s">
        <v>479</v>
      </c>
      <c r="E194" s="26" t="s">
        <v>43</v>
      </c>
      <c r="F194" s="27" t="s">
        <v>43</v>
      </c>
      <c r="G194" s="28" t="s">
        <v>43</v>
      </c>
      <c r="H194" s="29"/>
      <c r="I194" s="29" t="s">
        <v>452</v>
      </c>
      <c r="J194" s="30">
        <v>1</v>
      </c>
      <c r="K194" s="31">
        <f>2387</f>
        <v>2387</v>
      </c>
      <c r="L194" s="32" t="s">
        <v>1085</v>
      </c>
      <c r="M194" s="31">
        <f>2424</f>
        <v>2424</v>
      </c>
      <c r="N194" s="32" t="s">
        <v>1080</v>
      </c>
      <c r="O194" s="31">
        <f>2300</f>
        <v>2300</v>
      </c>
      <c r="P194" s="32" t="s">
        <v>1078</v>
      </c>
      <c r="Q194" s="31">
        <f>2307</f>
        <v>2307</v>
      </c>
      <c r="R194" s="32" t="s">
        <v>661</v>
      </c>
      <c r="S194" s="33">
        <f>2358.21</f>
        <v>2358.21</v>
      </c>
      <c r="T194" s="30">
        <f>141762</f>
        <v>141762</v>
      </c>
      <c r="U194" s="30">
        <f>2</f>
        <v>2</v>
      </c>
      <c r="V194" s="30">
        <f>334084677</f>
        <v>334084677</v>
      </c>
      <c r="W194" s="30">
        <f>4714</f>
        <v>4714</v>
      </c>
      <c r="X194" s="34">
        <f>19</f>
        <v>19</v>
      </c>
    </row>
    <row r="195" spans="1:24">
      <c r="A195" s="25" t="s">
        <v>1179</v>
      </c>
      <c r="B195" s="25" t="s">
        <v>480</v>
      </c>
      <c r="C195" s="25" t="s">
        <v>1029</v>
      </c>
      <c r="D195" s="25" t="s">
        <v>1030</v>
      </c>
      <c r="E195" s="26" t="s">
        <v>43</v>
      </c>
      <c r="F195" s="27" t="s">
        <v>43</v>
      </c>
      <c r="G195" s="28" t="s">
        <v>43</v>
      </c>
      <c r="H195" s="29"/>
      <c r="I195" s="29" t="s">
        <v>452</v>
      </c>
      <c r="J195" s="30">
        <v>1</v>
      </c>
      <c r="K195" s="31">
        <f>6839</f>
        <v>6839</v>
      </c>
      <c r="L195" s="32" t="s">
        <v>1085</v>
      </c>
      <c r="M195" s="31">
        <f>7006</f>
        <v>7006</v>
      </c>
      <c r="N195" s="32" t="s">
        <v>859</v>
      </c>
      <c r="O195" s="31">
        <f>6510</f>
        <v>6510</v>
      </c>
      <c r="P195" s="32" t="s">
        <v>662</v>
      </c>
      <c r="Q195" s="31">
        <f>6887</f>
        <v>6887</v>
      </c>
      <c r="R195" s="32" t="s">
        <v>661</v>
      </c>
      <c r="S195" s="33">
        <f>6744.32</f>
        <v>6744.32</v>
      </c>
      <c r="T195" s="30">
        <f>20471</f>
        <v>20471</v>
      </c>
      <c r="U195" s="30">
        <f>12</f>
        <v>12</v>
      </c>
      <c r="V195" s="30">
        <f>140186318</f>
        <v>140186318</v>
      </c>
      <c r="W195" s="30">
        <f>79714</f>
        <v>79714</v>
      </c>
      <c r="X195" s="34">
        <f>19</f>
        <v>19</v>
      </c>
    </row>
    <row r="196" spans="1:24">
      <c r="A196" s="25" t="s">
        <v>1179</v>
      </c>
      <c r="B196" s="25" t="s">
        <v>481</v>
      </c>
      <c r="C196" s="25" t="s">
        <v>482</v>
      </c>
      <c r="D196" s="25" t="s">
        <v>483</v>
      </c>
      <c r="E196" s="26" t="s">
        <v>43</v>
      </c>
      <c r="F196" s="27" t="s">
        <v>43</v>
      </c>
      <c r="G196" s="28" t="s">
        <v>43</v>
      </c>
      <c r="H196" s="29"/>
      <c r="I196" s="29" t="s">
        <v>452</v>
      </c>
      <c r="J196" s="30">
        <v>1</v>
      </c>
      <c r="K196" s="31">
        <f>21325</f>
        <v>21325</v>
      </c>
      <c r="L196" s="32" t="s">
        <v>1085</v>
      </c>
      <c r="M196" s="31">
        <f>21500</f>
        <v>21500</v>
      </c>
      <c r="N196" s="32" t="s">
        <v>852</v>
      </c>
      <c r="O196" s="31">
        <f>20505</f>
        <v>20505</v>
      </c>
      <c r="P196" s="32" t="s">
        <v>662</v>
      </c>
      <c r="Q196" s="31">
        <f>20655</f>
        <v>20655</v>
      </c>
      <c r="R196" s="32" t="s">
        <v>661</v>
      </c>
      <c r="S196" s="33">
        <f>20942.11</f>
        <v>20942.11</v>
      </c>
      <c r="T196" s="30">
        <f>412</f>
        <v>412</v>
      </c>
      <c r="U196" s="30" t="str">
        <f>"－"</f>
        <v>－</v>
      </c>
      <c r="V196" s="30">
        <f>8691025</f>
        <v>8691025</v>
      </c>
      <c r="W196" s="30" t="str">
        <f>"－"</f>
        <v>－</v>
      </c>
      <c r="X196" s="34">
        <f>19</f>
        <v>19</v>
      </c>
    </row>
    <row r="197" spans="1:24">
      <c r="A197" s="25" t="s">
        <v>1179</v>
      </c>
      <c r="B197" s="25" t="s">
        <v>484</v>
      </c>
      <c r="C197" s="25" t="s">
        <v>485</v>
      </c>
      <c r="D197" s="25" t="s">
        <v>486</v>
      </c>
      <c r="E197" s="26" t="s">
        <v>43</v>
      </c>
      <c r="F197" s="27" t="s">
        <v>43</v>
      </c>
      <c r="G197" s="28" t="s">
        <v>43</v>
      </c>
      <c r="H197" s="29"/>
      <c r="I197" s="29" t="s">
        <v>452</v>
      </c>
      <c r="J197" s="30">
        <v>1</v>
      </c>
      <c r="K197" s="31">
        <f>30520</f>
        <v>30520</v>
      </c>
      <c r="L197" s="32" t="s">
        <v>1085</v>
      </c>
      <c r="M197" s="31">
        <f>30910</f>
        <v>30910</v>
      </c>
      <c r="N197" s="32" t="s">
        <v>1078</v>
      </c>
      <c r="O197" s="31">
        <f>29855</f>
        <v>29855</v>
      </c>
      <c r="P197" s="32" t="s">
        <v>1080</v>
      </c>
      <c r="Q197" s="31">
        <f>30750</f>
        <v>30750</v>
      </c>
      <c r="R197" s="32" t="s">
        <v>661</v>
      </c>
      <c r="S197" s="33">
        <f>30366.32</f>
        <v>30366.32</v>
      </c>
      <c r="T197" s="30">
        <f>15791</f>
        <v>15791</v>
      </c>
      <c r="U197" s="30">
        <f>1</f>
        <v>1</v>
      </c>
      <c r="V197" s="30">
        <f>480222205</f>
        <v>480222205</v>
      </c>
      <c r="W197" s="30">
        <f>30430</f>
        <v>30430</v>
      </c>
      <c r="X197" s="34">
        <f>19</f>
        <v>19</v>
      </c>
    </row>
    <row r="198" spans="1:24">
      <c r="A198" s="25" t="s">
        <v>1179</v>
      </c>
      <c r="B198" s="25" t="s">
        <v>487</v>
      </c>
      <c r="C198" s="25" t="s">
        <v>488</v>
      </c>
      <c r="D198" s="25" t="s">
        <v>489</v>
      </c>
      <c r="E198" s="26" t="s">
        <v>43</v>
      </c>
      <c r="F198" s="27" t="s">
        <v>43</v>
      </c>
      <c r="G198" s="28" t="s">
        <v>43</v>
      </c>
      <c r="H198" s="29"/>
      <c r="I198" s="29" t="s">
        <v>452</v>
      </c>
      <c r="J198" s="30">
        <v>1</v>
      </c>
      <c r="K198" s="31">
        <f>17015</f>
        <v>17015</v>
      </c>
      <c r="L198" s="32" t="s">
        <v>1085</v>
      </c>
      <c r="M198" s="31">
        <f>17235</f>
        <v>17235</v>
      </c>
      <c r="N198" s="32" t="s">
        <v>1079</v>
      </c>
      <c r="O198" s="31">
        <f>16310</f>
        <v>16310</v>
      </c>
      <c r="P198" s="32" t="s">
        <v>661</v>
      </c>
      <c r="Q198" s="31">
        <f>16310</f>
        <v>16310</v>
      </c>
      <c r="R198" s="32" t="s">
        <v>661</v>
      </c>
      <c r="S198" s="33">
        <f>16595.83</f>
        <v>16595.830000000002</v>
      </c>
      <c r="T198" s="30">
        <f>162</f>
        <v>162</v>
      </c>
      <c r="U198" s="30" t="str">
        <f>"－"</f>
        <v>－</v>
      </c>
      <c r="V198" s="30">
        <f>2712470</f>
        <v>2712470</v>
      </c>
      <c r="W198" s="30" t="str">
        <f>"－"</f>
        <v>－</v>
      </c>
      <c r="X198" s="34">
        <f>12</f>
        <v>12</v>
      </c>
    </row>
    <row r="199" spans="1:24">
      <c r="A199" s="25" t="s">
        <v>1179</v>
      </c>
      <c r="B199" s="25" t="s">
        <v>490</v>
      </c>
      <c r="C199" s="25" t="s">
        <v>491</v>
      </c>
      <c r="D199" s="25" t="s">
        <v>492</v>
      </c>
      <c r="E199" s="26" t="s">
        <v>43</v>
      </c>
      <c r="F199" s="27" t="s">
        <v>43</v>
      </c>
      <c r="G199" s="28" t="s">
        <v>43</v>
      </c>
      <c r="H199" s="29"/>
      <c r="I199" s="29" t="s">
        <v>452</v>
      </c>
      <c r="J199" s="30">
        <v>1</v>
      </c>
      <c r="K199" s="31">
        <f>31220</f>
        <v>31220</v>
      </c>
      <c r="L199" s="32" t="s">
        <v>1085</v>
      </c>
      <c r="M199" s="31">
        <f>31520</f>
        <v>31520</v>
      </c>
      <c r="N199" s="32" t="s">
        <v>1085</v>
      </c>
      <c r="O199" s="31">
        <f>28255</f>
        <v>28255</v>
      </c>
      <c r="P199" s="32" t="s">
        <v>1078</v>
      </c>
      <c r="Q199" s="31">
        <f>29420</f>
        <v>29420</v>
      </c>
      <c r="R199" s="32" t="s">
        <v>661</v>
      </c>
      <c r="S199" s="33">
        <f>29486.32</f>
        <v>29486.32</v>
      </c>
      <c r="T199" s="30">
        <f>47346</f>
        <v>47346</v>
      </c>
      <c r="U199" s="30">
        <f>95</f>
        <v>95</v>
      </c>
      <c r="V199" s="30">
        <f>1400059620</f>
        <v>1400059620</v>
      </c>
      <c r="W199" s="30">
        <f>2919060</f>
        <v>2919060</v>
      </c>
      <c r="X199" s="34">
        <f>19</f>
        <v>19</v>
      </c>
    </row>
    <row r="200" spans="1:24">
      <c r="A200" s="25" t="s">
        <v>1179</v>
      </c>
      <c r="B200" s="25" t="s">
        <v>493</v>
      </c>
      <c r="C200" s="25" t="s">
        <v>494</v>
      </c>
      <c r="D200" s="25" t="s">
        <v>495</v>
      </c>
      <c r="E200" s="26" t="s">
        <v>43</v>
      </c>
      <c r="F200" s="27" t="s">
        <v>43</v>
      </c>
      <c r="G200" s="28" t="s">
        <v>43</v>
      </c>
      <c r="H200" s="29"/>
      <c r="I200" s="29" t="s">
        <v>452</v>
      </c>
      <c r="J200" s="30">
        <v>1</v>
      </c>
      <c r="K200" s="31">
        <f>3750</f>
        <v>3750</v>
      </c>
      <c r="L200" s="32" t="s">
        <v>1085</v>
      </c>
      <c r="M200" s="31">
        <f>3860</f>
        <v>3860</v>
      </c>
      <c r="N200" s="32" t="s">
        <v>1078</v>
      </c>
      <c r="O200" s="31">
        <f>3670</f>
        <v>3670</v>
      </c>
      <c r="P200" s="32" t="s">
        <v>661</v>
      </c>
      <c r="Q200" s="31">
        <f>3670</f>
        <v>3670</v>
      </c>
      <c r="R200" s="32" t="s">
        <v>661</v>
      </c>
      <c r="S200" s="33">
        <f>3770.79</f>
        <v>3770.79</v>
      </c>
      <c r="T200" s="30">
        <f>5966</f>
        <v>5966</v>
      </c>
      <c r="U200" s="30" t="str">
        <f>"－"</f>
        <v>－</v>
      </c>
      <c r="V200" s="30">
        <f>22556015</f>
        <v>22556015</v>
      </c>
      <c r="W200" s="30" t="str">
        <f>"－"</f>
        <v>－</v>
      </c>
      <c r="X200" s="34">
        <f>19</f>
        <v>19</v>
      </c>
    </row>
    <row r="201" spans="1:24">
      <c r="A201" s="25" t="s">
        <v>1179</v>
      </c>
      <c r="B201" s="25" t="s">
        <v>496</v>
      </c>
      <c r="C201" s="25" t="s">
        <v>497</v>
      </c>
      <c r="D201" s="25" t="s">
        <v>498</v>
      </c>
      <c r="E201" s="26" t="s">
        <v>43</v>
      </c>
      <c r="F201" s="27" t="s">
        <v>43</v>
      </c>
      <c r="G201" s="28" t="s">
        <v>43</v>
      </c>
      <c r="H201" s="29"/>
      <c r="I201" s="29" t="s">
        <v>452</v>
      </c>
      <c r="J201" s="30">
        <v>1</v>
      </c>
      <c r="K201" s="31">
        <f>32780</f>
        <v>32780</v>
      </c>
      <c r="L201" s="32" t="s">
        <v>1085</v>
      </c>
      <c r="M201" s="31">
        <f>32900</f>
        <v>32900</v>
      </c>
      <c r="N201" s="32" t="s">
        <v>1077</v>
      </c>
      <c r="O201" s="31">
        <f>31210</f>
        <v>31210</v>
      </c>
      <c r="P201" s="32" t="s">
        <v>662</v>
      </c>
      <c r="Q201" s="31">
        <f>32620</f>
        <v>32620</v>
      </c>
      <c r="R201" s="32" t="s">
        <v>661</v>
      </c>
      <c r="S201" s="33">
        <f>32227.33</f>
        <v>32227.33</v>
      </c>
      <c r="T201" s="30">
        <f>3451</f>
        <v>3451</v>
      </c>
      <c r="U201" s="30">
        <f>1</f>
        <v>1</v>
      </c>
      <c r="V201" s="30">
        <f>111265110</f>
        <v>111265110</v>
      </c>
      <c r="W201" s="30">
        <f>32260</f>
        <v>32260</v>
      </c>
      <c r="X201" s="34">
        <f>15</f>
        <v>15</v>
      </c>
    </row>
    <row r="202" spans="1:24">
      <c r="A202" s="25" t="s">
        <v>1179</v>
      </c>
      <c r="B202" s="25" t="s">
        <v>499</v>
      </c>
      <c r="C202" s="25" t="s">
        <v>500</v>
      </c>
      <c r="D202" s="25" t="s">
        <v>501</v>
      </c>
      <c r="E202" s="26" t="s">
        <v>43</v>
      </c>
      <c r="F202" s="27" t="s">
        <v>43</v>
      </c>
      <c r="G202" s="28" t="s">
        <v>43</v>
      </c>
      <c r="H202" s="29"/>
      <c r="I202" s="29" t="s">
        <v>452</v>
      </c>
      <c r="J202" s="30">
        <v>1</v>
      </c>
      <c r="K202" s="31">
        <f>20295</f>
        <v>20295</v>
      </c>
      <c r="L202" s="32" t="s">
        <v>1077</v>
      </c>
      <c r="M202" s="31">
        <f>20295</f>
        <v>20295</v>
      </c>
      <c r="N202" s="32" t="s">
        <v>1077</v>
      </c>
      <c r="O202" s="31">
        <f>19420</f>
        <v>19420</v>
      </c>
      <c r="P202" s="32" t="s">
        <v>739</v>
      </c>
      <c r="Q202" s="31">
        <f>19950</f>
        <v>19950</v>
      </c>
      <c r="R202" s="32" t="s">
        <v>755</v>
      </c>
      <c r="S202" s="33">
        <f>19931.11</f>
        <v>19931.11</v>
      </c>
      <c r="T202" s="30">
        <f>150</f>
        <v>150</v>
      </c>
      <c r="U202" s="30" t="str">
        <f>"－"</f>
        <v>－</v>
      </c>
      <c r="V202" s="30">
        <f>2958105</f>
        <v>2958105</v>
      </c>
      <c r="W202" s="30" t="str">
        <f>"－"</f>
        <v>－</v>
      </c>
      <c r="X202" s="34">
        <f>9</f>
        <v>9</v>
      </c>
    </row>
    <row r="203" spans="1:24">
      <c r="A203" s="25" t="s">
        <v>1179</v>
      </c>
      <c r="B203" s="25" t="s">
        <v>502</v>
      </c>
      <c r="C203" s="25" t="s">
        <v>503</v>
      </c>
      <c r="D203" s="25" t="s">
        <v>504</v>
      </c>
      <c r="E203" s="26" t="s">
        <v>43</v>
      </c>
      <c r="F203" s="27" t="s">
        <v>43</v>
      </c>
      <c r="G203" s="28" t="s">
        <v>43</v>
      </c>
      <c r="H203" s="29"/>
      <c r="I203" s="29" t="s">
        <v>452</v>
      </c>
      <c r="J203" s="30">
        <v>1</v>
      </c>
      <c r="K203" s="31">
        <f>37490</f>
        <v>37490</v>
      </c>
      <c r="L203" s="32" t="s">
        <v>1085</v>
      </c>
      <c r="M203" s="31">
        <f>38170</f>
        <v>38170</v>
      </c>
      <c r="N203" s="32" t="s">
        <v>1079</v>
      </c>
      <c r="O203" s="31">
        <f>35510</f>
        <v>35510</v>
      </c>
      <c r="P203" s="32" t="s">
        <v>662</v>
      </c>
      <c r="Q203" s="31">
        <f>36780</f>
        <v>36780</v>
      </c>
      <c r="R203" s="32" t="s">
        <v>661</v>
      </c>
      <c r="S203" s="33">
        <f>36740.91</f>
        <v>36740.910000000003</v>
      </c>
      <c r="T203" s="30">
        <f>1728</f>
        <v>1728</v>
      </c>
      <c r="U203" s="30">
        <f>2</f>
        <v>2</v>
      </c>
      <c r="V203" s="30">
        <f>62083290</f>
        <v>62083290</v>
      </c>
      <c r="W203" s="30">
        <f>74820</f>
        <v>74820</v>
      </c>
      <c r="X203" s="34">
        <f>11</f>
        <v>11</v>
      </c>
    </row>
    <row r="204" spans="1:24">
      <c r="A204" s="25" t="s">
        <v>1179</v>
      </c>
      <c r="B204" s="25" t="s">
        <v>505</v>
      </c>
      <c r="C204" s="25" t="s">
        <v>506</v>
      </c>
      <c r="D204" s="25" t="s">
        <v>507</v>
      </c>
      <c r="E204" s="26" t="s">
        <v>43</v>
      </c>
      <c r="F204" s="27" t="s">
        <v>43</v>
      </c>
      <c r="G204" s="28" t="s">
        <v>43</v>
      </c>
      <c r="H204" s="29"/>
      <c r="I204" s="29" t="s">
        <v>452</v>
      </c>
      <c r="J204" s="30">
        <v>1</v>
      </c>
      <c r="K204" s="31">
        <f>20060</f>
        <v>20060</v>
      </c>
      <c r="L204" s="32" t="s">
        <v>1085</v>
      </c>
      <c r="M204" s="31">
        <f>20580</f>
        <v>20580</v>
      </c>
      <c r="N204" s="32" t="s">
        <v>1078</v>
      </c>
      <c r="O204" s="31">
        <f>19315</f>
        <v>19315</v>
      </c>
      <c r="P204" s="32" t="s">
        <v>1076</v>
      </c>
      <c r="Q204" s="31">
        <f>20340</f>
        <v>20340</v>
      </c>
      <c r="R204" s="32" t="s">
        <v>859</v>
      </c>
      <c r="S204" s="33">
        <f>19965</f>
        <v>19965</v>
      </c>
      <c r="T204" s="30">
        <f>7428</f>
        <v>7428</v>
      </c>
      <c r="U204" s="30" t="str">
        <f>"－"</f>
        <v>－</v>
      </c>
      <c r="V204" s="30">
        <f>149602130</f>
        <v>149602130</v>
      </c>
      <c r="W204" s="30" t="str">
        <f>"－"</f>
        <v>－</v>
      </c>
      <c r="X204" s="34">
        <f>8</f>
        <v>8</v>
      </c>
    </row>
    <row r="205" spans="1:24">
      <c r="A205" s="25" t="s">
        <v>1179</v>
      </c>
      <c r="B205" s="25" t="s">
        <v>508</v>
      </c>
      <c r="C205" s="25" t="s">
        <v>509</v>
      </c>
      <c r="D205" s="25" t="s">
        <v>510</v>
      </c>
      <c r="E205" s="26" t="s">
        <v>43</v>
      </c>
      <c r="F205" s="27" t="s">
        <v>43</v>
      </c>
      <c r="G205" s="28" t="s">
        <v>43</v>
      </c>
      <c r="H205" s="29"/>
      <c r="I205" s="29" t="s">
        <v>452</v>
      </c>
      <c r="J205" s="30">
        <v>1</v>
      </c>
      <c r="K205" s="31">
        <f>19965</f>
        <v>19965</v>
      </c>
      <c r="L205" s="32" t="s">
        <v>1085</v>
      </c>
      <c r="M205" s="31">
        <f>19965</f>
        <v>19965</v>
      </c>
      <c r="N205" s="32" t="s">
        <v>1085</v>
      </c>
      <c r="O205" s="31">
        <f>19045</f>
        <v>19045</v>
      </c>
      <c r="P205" s="32" t="s">
        <v>662</v>
      </c>
      <c r="Q205" s="31">
        <f>19800</f>
        <v>19800</v>
      </c>
      <c r="R205" s="32" t="s">
        <v>661</v>
      </c>
      <c r="S205" s="33">
        <f>19462.67</f>
        <v>19462.669999999998</v>
      </c>
      <c r="T205" s="30">
        <f>2185</f>
        <v>2185</v>
      </c>
      <c r="U205" s="30">
        <f>1750</f>
        <v>1750</v>
      </c>
      <c r="V205" s="30">
        <f>42643410</f>
        <v>42643410</v>
      </c>
      <c r="W205" s="30">
        <f>34095250</f>
        <v>34095250</v>
      </c>
      <c r="X205" s="34">
        <f>15</f>
        <v>15</v>
      </c>
    </row>
    <row r="206" spans="1:24">
      <c r="A206" s="25" t="s">
        <v>1179</v>
      </c>
      <c r="B206" s="25" t="s">
        <v>511</v>
      </c>
      <c r="C206" s="25" t="s">
        <v>512</v>
      </c>
      <c r="D206" s="25" t="s">
        <v>513</v>
      </c>
      <c r="E206" s="26" t="s">
        <v>43</v>
      </c>
      <c r="F206" s="27" t="s">
        <v>43</v>
      </c>
      <c r="G206" s="28" t="s">
        <v>43</v>
      </c>
      <c r="H206" s="29"/>
      <c r="I206" s="29" t="s">
        <v>452</v>
      </c>
      <c r="J206" s="30">
        <v>1</v>
      </c>
      <c r="K206" s="31">
        <f>23945</f>
        <v>23945</v>
      </c>
      <c r="L206" s="32" t="s">
        <v>1085</v>
      </c>
      <c r="M206" s="31">
        <f>23945</f>
        <v>23945</v>
      </c>
      <c r="N206" s="32" t="s">
        <v>1085</v>
      </c>
      <c r="O206" s="31">
        <f>22625</f>
        <v>22625</v>
      </c>
      <c r="P206" s="32" t="s">
        <v>662</v>
      </c>
      <c r="Q206" s="31">
        <f>23355</f>
        <v>23355</v>
      </c>
      <c r="R206" s="32" t="s">
        <v>1075</v>
      </c>
      <c r="S206" s="33">
        <f>23272.86</f>
        <v>23272.86</v>
      </c>
      <c r="T206" s="30">
        <f>45</f>
        <v>45</v>
      </c>
      <c r="U206" s="30" t="str">
        <f t="shared" ref="U206:U211" si="0">"－"</f>
        <v>－</v>
      </c>
      <c r="V206" s="30">
        <f>1051610</f>
        <v>1051610</v>
      </c>
      <c r="W206" s="30" t="str">
        <f t="shared" ref="W206:W211" si="1">"－"</f>
        <v>－</v>
      </c>
      <c r="X206" s="34">
        <f>7</f>
        <v>7</v>
      </c>
    </row>
    <row r="207" spans="1:24">
      <c r="A207" s="25" t="s">
        <v>1179</v>
      </c>
      <c r="B207" s="25" t="s">
        <v>514</v>
      </c>
      <c r="C207" s="25" t="s">
        <v>515</v>
      </c>
      <c r="D207" s="25" t="s">
        <v>516</v>
      </c>
      <c r="E207" s="26" t="s">
        <v>43</v>
      </c>
      <c r="F207" s="27" t="s">
        <v>43</v>
      </c>
      <c r="G207" s="28" t="s">
        <v>43</v>
      </c>
      <c r="H207" s="29"/>
      <c r="I207" s="29" t="s">
        <v>452</v>
      </c>
      <c r="J207" s="30">
        <v>1</v>
      </c>
      <c r="K207" s="31">
        <f>17930</f>
        <v>17930</v>
      </c>
      <c r="L207" s="32" t="s">
        <v>738</v>
      </c>
      <c r="M207" s="31">
        <f>18105</f>
        <v>18105</v>
      </c>
      <c r="N207" s="32" t="s">
        <v>663</v>
      </c>
      <c r="O207" s="31">
        <f>17765</f>
        <v>17765</v>
      </c>
      <c r="P207" s="32" t="s">
        <v>1080</v>
      </c>
      <c r="Q207" s="31">
        <f>18105</f>
        <v>18105</v>
      </c>
      <c r="R207" s="32" t="s">
        <v>663</v>
      </c>
      <c r="S207" s="33">
        <f>17928</f>
        <v>17928</v>
      </c>
      <c r="T207" s="30">
        <f>23</f>
        <v>23</v>
      </c>
      <c r="U207" s="30" t="str">
        <f t="shared" si="0"/>
        <v>－</v>
      </c>
      <c r="V207" s="30">
        <f>411600</f>
        <v>411600</v>
      </c>
      <c r="W207" s="30" t="str">
        <f t="shared" si="1"/>
        <v>－</v>
      </c>
      <c r="X207" s="34">
        <f>5</f>
        <v>5</v>
      </c>
    </row>
    <row r="208" spans="1:24">
      <c r="A208" s="25" t="s">
        <v>1179</v>
      </c>
      <c r="B208" s="25" t="s">
        <v>517</v>
      </c>
      <c r="C208" s="25" t="s">
        <v>518</v>
      </c>
      <c r="D208" s="25" t="s">
        <v>519</v>
      </c>
      <c r="E208" s="26" t="s">
        <v>43</v>
      </c>
      <c r="F208" s="27" t="s">
        <v>43</v>
      </c>
      <c r="G208" s="28" t="s">
        <v>43</v>
      </c>
      <c r="H208" s="29"/>
      <c r="I208" s="29" t="s">
        <v>452</v>
      </c>
      <c r="J208" s="30">
        <v>1</v>
      </c>
      <c r="K208" s="31">
        <f>12020</f>
        <v>12020</v>
      </c>
      <c r="L208" s="32" t="s">
        <v>850</v>
      </c>
      <c r="M208" s="31">
        <f>12165</f>
        <v>12165</v>
      </c>
      <c r="N208" s="32" t="s">
        <v>859</v>
      </c>
      <c r="O208" s="31">
        <f>12000</f>
        <v>12000</v>
      </c>
      <c r="P208" s="32" t="s">
        <v>756</v>
      </c>
      <c r="Q208" s="31">
        <f>12110</f>
        <v>12110</v>
      </c>
      <c r="R208" s="32" t="s">
        <v>755</v>
      </c>
      <c r="S208" s="33">
        <f>12079.29</f>
        <v>12079.29</v>
      </c>
      <c r="T208" s="30">
        <f>627</f>
        <v>627</v>
      </c>
      <c r="U208" s="30" t="str">
        <f t="shared" si="0"/>
        <v>－</v>
      </c>
      <c r="V208" s="30">
        <f>7561450</f>
        <v>7561450</v>
      </c>
      <c r="W208" s="30" t="str">
        <f t="shared" si="1"/>
        <v>－</v>
      </c>
      <c r="X208" s="34">
        <f>7</f>
        <v>7</v>
      </c>
    </row>
    <row r="209" spans="1:24">
      <c r="A209" s="25" t="s">
        <v>1179</v>
      </c>
      <c r="B209" s="25" t="s">
        <v>520</v>
      </c>
      <c r="C209" s="25" t="s">
        <v>521</v>
      </c>
      <c r="D209" s="25" t="s">
        <v>522</v>
      </c>
      <c r="E209" s="26" t="s">
        <v>43</v>
      </c>
      <c r="F209" s="27" t="s">
        <v>43</v>
      </c>
      <c r="G209" s="28" t="s">
        <v>43</v>
      </c>
      <c r="H209" s="29"/>
      <c r="I209" s="29" t="s">
        <v>452</v>
      </c>
      <c r="J209" s="30">
        <v>1</v>
      </c>
      <c r="K209" s="31">
        <f>14750</f>
        <v>14750</v>
      </c>
      <c r="L209" s="32" t="s">
        <v>1079</v>
      </c>
      <c r="M209" s="31">
        <f>14925</f>
        <v>14925</v>
      </c>
      <c r="N209" s="32" t="s">
        <v>661</v>
      </c>
      <c r="O209" s="31">
        <f>14155</f>
        <v>14155</v>
      </c>
      <c r="P209" s="32" t="s">
        <v>1080</v>
      </c>
      <c r="Q209" s="31">
        <f>14925</f>
        <v>14925</v>
      </c>
      <c r="R209" s="32" t="s">
        <v>661</v>
      </c>
      <c r="S209" s="33">
        <f>14592.92</f>
        <v>14592.92</v>
      </c>
      <c r="T209" s="30">
        <f>5422</f>
        <v>5422</v>
      </c>
      <c r="U209" s="30" t="str">
        <f t="shared" si="0"/>
        <v>－</v>
      </c>
      <c r="V209" s="30">
        <f>78863750</f>
        <v>78863750</v>
      </c>
      <c r="W209" s="30" t="str">
        <f t="shared" si="1"/>
        <v>－</v>
      </c>
      <c r="X209" s="34">
        <f>12</f>
        <v>12</v>
      </c>
    </row>
    <row r="210" spans="1:24">
      <c r="A210" s="25" t="s">
        <v>1179</v>
      </c>
      <c r="B210" s="25" t="s">
        <v>523</v>
      </c>
      <c r="C210" s="25" t="s">
        <v>524</v>
      </c>
      <c r="D210" s="25" t="s">
        <v>525</v>
      </c>
      <c r="E210" s="26" t="s">
        <v>43</v>
      </c>
      <c r="F210" s="27" t="s">
        <v>43</v>
      </c>
      <c r="G210" s="28" t="s">
        <v>43</v>
      </c>
      <c r="H210" s="29"/>
      <c r="I210" s="29" t="s">
        <v>452</v>
      </c>
      <c r="J210" s="30">
        <v>1</v>
      </c>
      <c r="K210" s="31">
        <f>12570</f>
        <v>12570</v>
      </c>
      <c r="L210" s="32" t="s">
        <v>851</v>
      </c>
      <c r="M210" s="31">
        <f>12830</f>
        <v>12830</v>
      </c>
      <c r="N210" s="32" t="s">
        <v>859</v>
      </c>
      <c r="O210" s="31">
        <f>12440</f>
        <v>12440</v>
      </c>
      <c r="P210" s="32" t="s">
        <v>851</v>
      </c>
      <c r="Q210" s="31">
        <f>12830</f>
        <v>12830</v>
      </c>
      <c r="R210" s="32" t="s">
        <v>859</v>
      </c>
      <c r="S210" s="33">
        <f>12675</f>
        <v>12675</v>
      </c>
      <c r="T210" s="30">
        <f>1333</f>
        <v>1333</v>
      </c>
      <c r="U210" s="30" t="str">
        <f t="shared" si="0"/>
        <v>－</v>
      </c>
      <c r="V210" s="30">
        <f>16842890</f>
        <v>16842890</v>
      </c>
      <c r="W210" s="30" t="str">
        <f t="shared" si="1"/>
        <v>－</v>
      </c>
      <c r="X210" s="34">
        <f>4</f>
        <v>4</v>
      </c>
    </row>
    <row r="211" spans="1:24">
      <c r="A211" s="25" t="s">
        <v>1179</v>
      </c>
      <c r="B211" s="25" t="s">
        <v>761</v>
      </c>
      <c r="C211" s="25" t="s">
        <v>762</v>
      </c>
      <c r="D211" s="25" t="s">
        <v>763</v>
      </c>
      <c r="E211" s="26" t="s">
        <v>43</v>
      </c>
      <c r="F211" s="27" t="s">
        <v>43</v>
      </c>
      <c r="G211" s="28" t="s">
        <v>43</v>
      </c>
      <c r="H211" s="29"/>
      <c r="I211" s="29" t="s">
        <v>452</v>
      </c>
      <c r="J211" s="30">
        <v>1</v>
      </c>
      <c r="K211" s="31">
        <f>13205</f>
        <v>13205</v>
      </c>
      <c r="L211" s="32" t="s">
        <v>851</v>
      </c>
      <c r="M211" s="31">
        <f>13760</f>
        <v>13760</v>
      </c>
      <c r="N211" s="32" t="s">
        <v>859</v>
      </c>
      <c r="O211" s="31">
        <f>13205</f>
        <v>13205</v>
      </c>
      <c r="P211" s="32" t="s">
        <v>851</v>
      </c>
      <c r="Q211" s="31">
        <f>13755</f>
        <v>13755</v>
      </c>
      <c r="R211" s="32" t="s">
        <v>859</v>
      </c>
      <c r="S211" s="33">
        <f>13413.33</f>
        <v>13413.33</v>
      </c>
      <c r="T211" s="30">
        <f>104</f>
        <v>104</v>
      </c>
      <c r="U211" s="30" t="str">
        <f t="shared" si="0"/>
        <v>－</v>
      </c>
      <c r="V211" s="30">
        <f>1429445</f>
        <v>1429445</v>
      </c>
      <c r="W211" s="30" t="str">
        <f t="shared" si="1"/>
        <v>－</v>
      </c>
      <c r="X211" s="34">
        <f>3</f>
        <v>3</v>
      </c>
    </row>
    <row r="212" spans="1:24">
      <c r="A212" s="25" t="s">
        <v>1179</v>
      </c>
      <c r="B212" s="25" t="s">
        <v>963</v>
      </c>
      <c r="C212" s="25" t="s">
        <v>964</v>
      </c>
      <c r="D212" s="25" t="s">
        <v>965</v>
      </c>
      <c r="E212" s="26" t="s">
        <v>43</v>
      </c>
      <c r="F212" s="27" t="s">
        <v>43</v>
      </c>
      <c r="G212" s="28" t="s">
        <v>43</v>
      </c>
      <c r="H212" s="29"/>
      <c r="I212" s="29" t="s">
        <v>44</v>
      </c>
      <c r="J212" s="30">
        <v>1</v>
      </c>
      <c r="K212" s="31">
        <f>1213</f>
        <v>1213</v>
      </c>
      <c r="L212" s="32" t="s">
        <v>1085</v>
      </c>
      <c r="M212" s="31">
        <f>1224</f>
        <v>1224</v>
      </c>
      <c r="N212" s="32" t="s">
        <v>661</v>
      </c>
      <c r="O212" s="31">
        <f>1160</f>
        <v>1160</v>
      </c>
      <c r="P212" s="32" t="s">
        <v>662</v>
      </c>
      <c r="Q212" s="31">
        <f>1224</f>
        <v>1224</v>
      </c>
      <c r="R212" s="32" t="s">
        <v>661</v>
      </c>
      <c r="S212" s="33">
        <f>1195.84</f>
        <v>1195.8399999999999</v>
      </c>
      <c r="T212" s="30">
        <f>772253</f>
        <v>772253</v>
      </c>
      <c r="U212" s="30">
        <f>56250</f>
        <v>56250</v>
      </c>
      <c r="V212" s="30">
        <f>920879748</f>
        <v>920879748</v>
      </c>
      <c r="W212" s="30">
        <f>66112650</f>
        <v>66112650</v>
      </c>
      <c r="X212" s="34">
        <f>19</f>
        <v>19</v>
      </c>
    </row>
    <row r="213" spans="1:24">
      <c r="A213" s="25" t="s">
        <v>1179</v>
      </c>
      <c r="B213" s="25" t="s">
        <v>966</v>
      </c>
      <c r="C213" s="25" t="s">
        <v>967</v>
      </c>
      <c r="D213" s="25" t="s">
        <v>968</v>
      </c>
      <c r="E213" s="26" t="s">
        <v>43</v>
      </c>
      <c r="F213" s="27" t="s">
        <v>43</v>
      </c>
      <c r="G213" s="28" t="s">
        <v>43</v>
      </c>
      <c r="H213" s="29"/>
      <c r="I213" s="29" t="s">
        <v>44</v>
      </c>
      <c r="J213" s="30">
        <v>1</v>
      </c>
      <c r="K213" s="31">
        <f>1272</f>
        <v>1272</v>
      </c>
      <c r="L213" s="32" t="s">
        <v>1085</v>
      </c>
      <c r="M213" s="31">
        <f>1276</f>
        <v>1276</v>
      </c>
      <c r="N213" s="32" t="s">
        <v>1077</v>
      </c>
      <c r="O213" s="31">
        <f>1208</f>
        <v>1208</v>
      </c>
      <c r="P213" s="32" t="s">
        <v>662</v>
      </c>
      <c r="Q213" s="31">
        <f>1275</f>
        <v>1275</v>
      </c>
      <c r="R213" s="32" t="s">
        <v>661</v>
      </c>
      <c r="S213" s="33">
        <f>1249.32</f>
        <v>1249.32</v>
      </c>
      <c r="T213" s="30">
        <f>16573</f>
        <v>16573</v>
      </c>
      <c r="U213" s="30">
        <f>2</f>
        <v>2</v>
      </c>
      <c r="V213" s="30">
        <f>20775864</f>
        <v>20775864</v>
      </c>
      <c r="W213" s="30">
        <f>2537</f>
        <v>2537</v>
      </c>
      <c r="X213" s="34">
        <f>19</f>
        <v>19</v>
      </c>
    </row>
    <row r="214" spans="1:24">
      <c r="A214" s="25" t="s">
        <v>1179</v>
      </c>
      <c r="B214" s="25" t="s">
        <v>969</v>
      </c>
      <c r="C214" s="25" t="s">
        <v>970</v>
      </c>
      <c r="D214" s="25" t="s">
        <v>971</v>
      </c>
      <c r="E214" s="26" t="s">
        <v>43</v>
      </c>
      <c r="F214" s="27" t="s">
        <v>43</v>
      </c>
      <c r="G214" s="28" t="s">
        <v>43</v>
      </c>
      <c r="H214" s="29"/>
      <c r="I214" s="29" t="s">
        <v>44</v>
      </c>
      <c r="J214" s="30">
        <v>1</v>
      </c>
      <c r="K214" s="31">
        <f>1037</f>
        <v>1037</v>
      </c>
      <c r="L214" s="32" t="s">
        <v>1085</v>
      </c>
      <c r="M214" s="31">
        <f>1061</f>
        <v>1061</v>
      </c>
      <c r="N214" s="32" t="s">
        <v>755</v>
      </c>
      <c r="O214" s="31">
        <f>1009</f>
        <v>1009</v>
      </c>
      <c r="P214" s="32" t="s">
        <v>1080</v>
      </c>
      <c r="Q214" s="31">
        <f>1056</f>
        <v>1056</v>
      </c>
      <c r="R214" s="32" t="s">
        <v>661</v>
      </c>
      <c r="S214" s="33">
        <f>1036.37</f>
        <v>1036.3699999999999</v>
      </c>
      <c r="T214" s="30">
        <f>9301</f>
        <v>9301</v>
      </c>
      <c r="U214" s="30" t="str">
        <f>"－"</f>
        <v>－</v>
      </c>
      <c r="V214" s="30">
        <f>9624492</f>
        <v>9624492</v>
      </c>
      <c r="W214" s="30" t="str">
        <f>"－"</f>
        <v>－</v>
      </c>
      <c r="X214" s="34">
        <f>19</f>
        <v>19</v>
      </c>
    </row>
    <row r="215" spans="1:24">
      <c r="A215" s="25" t="s">
        <v>1179</v>
      </c>
      <c r="B215" s="25" t="s">
        <v>972</v>
      </c>
      <c r="C215" s="25" t="s">
        <v>973</v>
      </c>
      <c r="D215" s="25" t="s">
        <v>974</v>
      </c>
      <c r="E215" s="26" t="s">
        <v>43</v>
      </c>
      <c r="F215" s="27" t="s">
        <v>43</v>
      </c>
      <c r="G215" s="28" t="s">
        <v>43</v>
      </c>
      <c r="H215" s="29"/>
      <c r="I215" s="29" t="s">
        <v>44</v>
      </c>
      <c r="J215" s="30">
        <v>1</v>
      </c>
      <c r="K215" s="31">
        <f>2262</f>
        <v>2262</v>
      </c>
      <c r="L215" s="32" t="s">
        <v>1085</v>
      </c>
      <c r="M215" s="31">
        <f>2284</f>
        <v>2284</v>
      </c>
      <c r="N215" s="32" t="s">
        <v>1077</v>
      </c>
      <c r="O215" s="31">
        <f>2151</f>
        <v>2151</v>
      </c>
      <c r="P215" s="32" t="s">
        <v>662</v>
      </c>
      <c r="Q215" s="31">
        <f>2246</f>
        <v>2246</v>
      </c>
      <c r="R215" s="32" t="s">
        <v>661</v>
      </c>
      <c r="S215" s="33">
        <f>2225.32</f>
        <v>2225.3200000000002</v>
      </c>
      <c r="T215" s="30">
        <f>353757</f>
        <v>353757</v>
      </c>
      <c r="U215" s="30">
        <f>3</f>
        <v>3</v>
      </c>
      <c r="V215" s="30">
        <f>789001879</f>
        <v>789001879</v>
      </c>
      <c r="W215" s="30">
        <f>6688</f>
        <v>6688</v>
      </c>
      <c r="X215" s="34">
        <f>19</f>
        <v>19</v>
      </c>
    </row>
    <row r="216" spans="1:24">
      <c r="A216" s="25" t="s">
        <v>1179</v>
      </c>
      <c r="B216" s="25" t="s">
        <v>975</v>
      </c>
      <c r="C216" s="25" t="s">
        <v>976</v>
      </c>
      <c r="D216" s="25" t="s">
        <v>977</v>
      </c>
      <c r="E216" s="26" t="s">
        <v>43</v>
      </c>
      <c r="F216" s="27" t="s">
        <v>43</v>
      </c>
      <c r="G216" s="28" t="s">
        <v>43</v>
      </c>
      <c r="H216" s="29"/>
      <c r="I216" s="29" t="s">
        <v>44</v>
      </c>
      <c r="J216" s="30">
        <v>1</v>
      </c>
      <c r="K216" s="31">
        <f>2370</f>
        <v>2370</v>
      </c>
      <c r="L216" s="32" t="s">
        <v>1085</v>
      </c>
      <c r="M216" s="31">
        <f>2370</f>
        <v>2370</v>
      </c>
      <c r="N216" s="32" t="s">
        <v>1085</v>
      </c>
      <c r="O216" s="31">
        <f>2247</f>
        <v>2247</v>
      </c>
      <c r="P216" s="32" t="s">
        <v>662</v>
      </c>
      <c r="Q216" s="31">
        <f>2320</f>
        <v>2320</v>
      </c>
      <c r="R216" s="32" t="s">
        <v>661</v>
      </c>
      <c r="S216" s="33">
        <f>2311.84</f>
        <v>2311.84</v>
      </c>
      <c r="T216" s="30">
        <f>424077</f>
        <v>424077</v>
      </c>
      <c r="U216" s="30">
        <f>75468</f>
        <v>75468</v>
      </c>
      <c r="V216" s="30">
        <f>976846575</f>
        <v>976846575</v>
      </c>
      <c r="W216" s="30">
        <f>173144835</f>
        <v>173144835</v>
      </c>
      <c r="X216" s="34">
        <f>19</f>
        <v>19</v>
      </c>
    </row>
    <row r="217" spans="1:24">
      <c r="A217" s="25" t="s">
        <v>1179</v>
      </c>
      <c r="B217" s="25" t="s">
        <v>978</v>
      </c>
      <c r="C217" s="25" t="s">
        <v>979</v>
      </c>
      <c r="D217" s="25" t="s">
        <v>980</v>
      </c>
      <c r="E217" s="26" t="s">
        <v>43</v>
      </c>
      <c r="F217" s="27" t="s">
        <v>43</v>
      </c>
      <c r="G217" s="28" t="s">
        <v>43</v>
      </c>
      <c r="H217" s="29"/>
      <c r="I217" s="29" t="s">
        <v>44</v>
      </c>
      <c r="J217" s="30">
        <v>10</v>
      </c>
      <c r="K217" s="31">
        <f>563.2</f>
        <v>563.20000000000005</v>
      </c>
      <c r="L217" s="32" t="s">
        <v>1085</v>
      </c>
      <c r="M217" s="31">
        <f>564</f>
        <v>564</v>
      </c>
      <c r="N217" s="32" t="s">
        <v>1085</v>
      </c>
      <c r="O217" s="31">
        <f>531.3</f>
        <v>531.29999999999995</v>
      </c>
      <c r="P217" s="32" t="s">
        <v>662</v>
      </c>
      <c r="Q217" s="31">
        <f>550.7</f>
        <v>550.70000000000005</v>
      </c>
      <c r="R217" s="32" t="s">
        <v>661</v>
      </c>
      <c r="S217" s="33">
        <f>546.47</f>
        <v>546.47</v>
      </c>
      <c r="T217" s="30">
        <f>892160</f>
        <v>892160</v>
      </c>
      <c r="U217" s="30">
        <f>500</f>
        <v>500</v>
      </c>
      <c r="V217" s="30">
        <f>485352477</f>
        <v>485352477</v>
      </c>
      <c r="W217" s="30">
        <f>274172</f>
        <v>274172</v>
      </c>
      <c r="X217" s="34">
        <f>19</f>
        <v>19</v>
      </c>
    </row>
    <row r="218" spans="1:24">
      <c r="A218" s="25" t="s">
        <v>1179</v>
      </c>
      <c r="B218" s="25" t="s">
        <v>981</v>
      </c>
      <c r="C218" s="25" t="s">
        <v>982</v>
      </c>
      <c r="D218" s="25" t="s">
        <v>983</v>
      </c>
      <c r="E218" s="26" t="s">
        <v>43</v>
      </c>
      <c r="F218" s="27" t="s">
        <v>43</v>
      </c>
      <c r="G218" s="28" t="s">
        <v>43</v>
      </c>
      <c r="H218" s="29"/>
      <c r="I218" s="29" t="s">
        <v>44</v>
      </c>
      <c r="J218" s="30">
        <v>10</v>
      </c>
      <c r="K218" s="31">
        <f>2507.5</f>
        <v>2507.5</v>
      </c>
      <c r="L218" s="32" t="s">
        <v>1085</v>
      </c>
      <c r="M218" s="31">
        <f>2594.5</f>
        <v>2594.5</v>
      </c>
      <c r="N218" s="32" t="s">
        <v>1075</v>
      </c>
      <c r="O218" s="31">
        <f>2468</f>
        <v>2468</v>
      </c>
      <c r="P218" s="32" t="s">
        <v>851</v>
      </c>
      <c r="Q218" s="31">
        <f>2549</f>
        <v>2549</v>
      </c>
      <c r="R218" s="32" t="s">
        <v>755</v>
      </c>
      <c r="S218" s="33">
        <f>2525.89</f>
        <v>2525.89</v>
      </c>
      <c r="T218" s="30">
        <f>1278560</f>
        <v>1278560</v>
      </c>
      <c r="U218" s="30">
        <f>1181400</f>
        <v>1181400</v>
      </c>
      <c r="V218" s="30">
        <f>3271485409</f>
        <v>3271485409</v>
      </c>
      <c r="W218" s="30">
        <f>3025015234</f>
        <v>3025015234</v>
      </c>
      <c r="X218" s="34">
        <f>14</f>
        <v>14</v>
      </c>
    </row>
    <row r="219" spans="1:24">
      <c r="A219" s="25" t="s">
        <v>1179</v>
      </c>
      <c r="B219" s="25" t="s">
        <v>984</v>
      </c>
      <c r="C219" s="25" t="s">
        <v>985</v>
      </c>
      <c r="D219" s="25" t="s">
        <v>986</v>
      </c>
      <c r="E219" s="26" t="s">
        <v>43</v>
      </c>
      <c r="F219" s="27" t="s">
        <v>43</v>
      </c>
      <c r="G219" s="28" t="s">
        <v>43</v>
      </c>
      <c r="H219" s="29"/>
      <c r="I219" s="29" t="s">
        <v>44</v>
      </c>
      <c r="J219" s="30">
        <v>10</v>
      </c>
      <c r="K219" s="31">
        <f>2667.5</f>
        <v>2667.5</v>
      </c>
      <c r="L219" s="32" t="s">
        <v>1085</v>
      </c>
      <c r="M219" s="31">
        <f>2737.5</f>
        <v>2737.5</v>
      </c>
      <c r="N219" s="32" t="s">
        <v>756</v>
      </c>
      <c r="O219" s="31">
        <f>2577.5</f>
        <v>2577.5</v>
      </c>
      <c r="P219" s="32" t="s">
        <v>851</v>
      </c>
      <c r="Q219" s="31">
        <f>2675</f>
        <v>2675</v>
      </c>
      <c r="R219" s="32" t="s">
        <v>661</v>
      </c>
      <c r="S219" s="33">
        <f>2655.36</f>
        <v>2655.36</v>
      </c>
      <c r="T219" s="30">
        <f>92190</f>
        <v>92190</v>
      </c>
      <c r="U219" s="30" t="str">
        <f t="shared" ref="U219:U224" si="2">"－"</f>
        <v>－</v>
      </c>
      <c r="V219" s="30">
        <f>243563735</f>
        <v>243563735</v>
      </c>
      <c r="W219" s="30" t="str">
        <f t="shared" ref="W219:W224" si="3">"－"</f>
        <v>－</v>
      </c>
      <c r="X219" s="34">
        <f>14</f>
        <v>14</v>
      </c>
    </row>
    <row r="220" spans="1:24">
      <c r="A220" s="25" t="s">
        <v>1179</v>
      </c>
      <c r="B220" s="25" t="s">
        <v>987</v>
      </c>
      <c r="C220" s="25" t="s">
        <v>988</v>
      </c>
      <c r="D220" s="25" t="s">
        <v>989</v>
      </c>
      <c r="E220" s="26" t="s">
        <v>43</v>
      </c>
      <c r="F220" s="27" t="s">
        <v>43</v>
      </c>
      <c r="G220" s="28" t="s">
        <v>43</v>
      </c>
      <c r="H220" s="29"/>
      <c r="I220" s="29" t="s">
        <v>44</v>
      </c>
      <c r="J220" s="30">
        <v>10</v>
      </c>
      <c r="K220" s="31">
        <f>2265.5</f>
        <v>2265.5</v>
      </c>
      <c r="L220" s="32" t="s">
        <v>738</v>
      </c>
      <c r="M220" s="31">
        <f>2392.5</f>
        <v>2392.5</v>
      </c>
      <c r="N220" s="32" t="s">
        <v>661</v>
      </c>
      <c r="O220" s="31">
        <f>2260.5</f>
        <v>2260.5</v>
      </c>
      <c r="P220" s="32" t="s">
        <v>1080</v>
      </c>
      <c r="Q220" s="31">
        <f>2392.5</f>
        <v>2392.5</v>
      </c>
      <c r="R220" s="32" t="s">
        <v>661</v>
      </c>
      <c r="S220" s="33">
        <f>2340.04</f>
        <v>2340.04</v>
      </c>
      <c r="T220" s="30">
        <f>113000</f>
        <v>113000</v>
      </c>
      <c r="U220" s="30" t="str">
        <f t="shared" si="2"/>
        <v>－</v>
      </c>
      <c r="V220" s="30">
        <f>266929345</f>
        <v>266929345</v>
      </c>
      <c r="W220" s="30" t="str">
        <f t="shared" si="3"/>
        <v>－</v>
      </c>
      <c r="X220" s="34">
        <f>14</f>
        <v>14</v>
      </c>
    </row>
    <row r="221" spans="1:24">
      <c r="A221" s="25" t="s">
        <v>1179</v>
      </c>
      <c r="B221" s="25" t="s">
        <v>990</v>
      </c>
      <c r="C221" s="25" t="s">
        <v>991</v>
      </c>
      <c r="D221" s="25" t="s">
        <v>992</v>
      </c>
      <c r="E221" s="26" t="s">
        <v>43</v>
      </c>
      <c r="F221" s="27" t="s">
        <v>43</v>
      </c>
      <c r="G221" s="28" t="s">
        <v>43</v>
      </c>
      <c r="H221" s="29"/>
      <c r="I221" s="29" t="s">
        <v>44</v>
      </c>
      <c r="J221" s="30">
        <v>10</v>
      </c>
      <c r="K221" s="31">
        <f>2416</f>
        <v>2416</v>
      </c>
      <c r="L221" s="32" t="s">
        <v>739</v>
      </c>
      <c r="M221" s="31">
        <f>2507</f>
        <v>2507</v>
      </c>
      <c r="N221" s="32" t="s">
        <v>859</v>
      </c>
      <c r="O221" s="31">
        <f>2416</f>
        <v>2416</v>
      </c>
      <c r="P221" s="32" t="s">
        <v>739</v>
      </c>
      <c r="Q221" s="31">
        <f>2507</f>
        <v>2507</v>
      </c>
      <c r="R221" s="32" t="s">
        <v>859</v>
      </c>
      <c r="S221" s="33">
        <f>2450.5</f>
        <v>2450.5</v>
      </c>
      <c r="T221" s="30">
        <f>360</f>
        <v>360</v>
      </c>
      <c r="U221" s="30" t="str">
        <f t="shared" si="2"/>
        <v>－</v>
      </c>
      <c r="V221" s="30">
        <f>872420</f>
        <v>872420</v>
      </c>
      <c r="W221" s="30" t="str">
        <f t="shared" si="3"/>
        <v>－</v>
      </c>
      <c r="X221" s="34">
        <f>4</f>
        <v>4</v>
      </c>
    </row>
    <row r="222" spans="1:24">
      <c r="A222" s="25" t="s">
        <v>1179</v>
      </c>
      <c r="B222" s="25" t="s">
        <v>993</v>
      </c>
      <c r="C222" s="25" t="s">
        <v>994</v>
      </c>
      <c r="D222" s="25" t="s">
        <v>995</v>
      </c>
      <c r="E222" s="26" t="s">
        <v>43</v>
      </c>
      <c r="F222" s="27" t="s">
        <v>43</v>
      </c>
      <c r="G222" s="28" t="s">
        <v>43</v>
      </c>
      <c r="H222" s="29"/>
      <c r="I222" s="29" t="s">
        <v>44</v>
      </c>
      <c r="J222" s="30">
        <v>10</v>
      </c>
      <c r="K222" s="31">
        <f>4739</f>
        <v>4739</v>
      </c>
      <c r="L222" s="32" t="s">
        <v>1076</v>
      </c>
      <c r="M222" s="31">
        <f>4739</f>
        <v>4739</v>
      </c>
      <c r="N222" s="32" t="s">
        <v>1076</v>
      </c>
      <c r="O222" s="31">
        <f>4739</f>
        <v>4739</v>
      </c>
      <c r="P222" s="32" t="s">
        <v>1076</v>
      </c>
      <c r="Q222" s="31">
        <f>4739</f>
        <v>4739</v>
      </c>
      <c r="R222" s="32" t="s">
        <v>1076</v>
      </c>
      <c r="S222" s="33">
        <f>4739</f>
        <v>4739</v>
      </c>
      <c r="T222" s="30">
        <f>80</f>
        <v>80</v>
      </c>
      <c r="U222" s="30" t="str">
        <f t="shared" si="2"/>
        <v>－</v>
      </c>
      <c r="V222" s="30">
        <f>379120</f>
        <v>379120</v>
      </c>
      <c r="W222" s="30" t="str">
        <f t="shared" si="3"/>
        <v>－</v>
      </c>
      <c r="X222" s="34">
        <f>1</f>
        <v>1</v>
      </c>
    </row>
    <row r="223" spans="1:24">
      <c r="A223" s="25" t="s">
        <v>1179</v>
      </c>
      <c r="B223" s="25" t="s">
        <v>996</v>
      </c>
      <c r="C223" s="25" t="s">
        <v>997</v>
      </c>
      <c r="D223" s="25" t="s">
        <v>998</v>
      </c>
      <c r="E223" s="26" t="s">
        <v>43</v>
      </c>
      <c r="F223" s="27" t="s">
        <v>43</v>
      </c>
      <c r="G223" s="28" t="s">
        <v>43</v>
      </c>
      <c r="H223" s="29"/>
      <c r="I223" s="29" t="s">
        <v>44</v>
      </c>
      <c r="J223" s="30">
        <v>10</v>
      </c>
      <c r="K223" s="31">
        <f>4838</f>
        <v>4838</v>
      </c>
      <c r="L223" s="32" t="s">
        <v>852</v>
      </c>
      <c r="M223" s="31">
        <f>4838</f>
        <v>4838</v>
      </c>
      <c r="N223" s="32" t="s">
        <v>852</v>
      </c>
      <c r="O223" s="31">
        <f>4838</f>
        <v>4838</v>
      </c>
      <c r="P223" s="32" t="s">
        <v>852</v>
      </c>
      <c r="Q223" s="31">
        <f>4838</f>
        <v>4838</v>
      </c>
      <c r="R223" s="32" t="s">
        <v>852</v>
      </c>
      <c r="S223" s="33">
        <f>4838</f>
        <v>4838</v>
      </c>
      <c r="T223" s="30">
        <f>10</f>
        <v>10</v>
      </c>
      <c r="U223" s="30" t="str">
        <f t="shared" si="2"/>
        <v>－</v>
      </c>
      <c r="V223" s="30">
        <f>48380</f>
        <v>48380</v>
      </c>
      <c r="W223" s="30" t="str">
        <f t="shared" si="3"/>
        <v>－</v>
      </c>
      <c r="X223" s="34">
        <f>1</f>
        <v>1</v>
      </c>
    </row>
    <row r="224" spans="1:24">
      <c r="A224" s="25" t="s">
        <v>1179</v>
      </c>
      <c r="B224" s="25" t="s">
        <v>999</v>
      </c>
      <c r="C224" s="25" t="s">
        <v>1000</v>
      </c>
      <c r="D224" s="25" t="s">
        <v>1001</v>
      </c>
      <c r="E224" s="26" t="s">
        <v>43</v>
      </c>
      <c r="F224" s="27" t="s">
        <v>43</v>
      </c>
      <c r="G224" s="28" t="s">
        <v>43</v>
      </c>
      <c r="H224" s="29"/>
      <c r="I224" s="29" t="s">
        <v>44</v>
      </c>
      <c r="J224" s="30">
        <v>10</v>
      </c>
      <c r="K224" s="31" t="str">
        <f>"－"</f>
        <v>－</v>
      </c>
      <c r="L224" s="32"/>
      <c r="M224" s="31" t="str">
        <f>"－"</f>
        <v>－</v>
      </c>
      <c r="N224" s="32"/>
      <c r="O224" s="31" t="str">
        <f>"－"</f>
        <v>－</v>
      </c>
      <c r="P224" s="32"/>
      <c r="Q224" s="31" t="str">
        <f>"－"</f>
        <v>－</v>
      </c>
      <c r="R224" s="32"/>
      <c r="S224" s="33" t="str">
        <f>"－"</f>
        <v>－</v>
      </c>
      <c r="T224" s="30" t="str">
        <f>"－"</f>
        <v>－</v>
      </c>
      <c r="U224" s="30" t="str">
        <f t="shared" si="2"/>
        <v>－</v>
      </c>
      <c r="V224" s="30" t="str">
        <f>"－"</f>
        <v>－</v>
      </c>
      <c r="W224" s="30" t="str">
        <f t="shared" si="3"/>
        <v>－</v>
      </c>
      <c r="X224" s="34" t="str">
        <f>"－"</f>
        <v>－</v>
      </c>
    </row>
    <row r="225" spans="1:24">
      <c r="A225" s="25" t="s">
        <v>1179</v>
      </c>
      <c r="B225" s="25" t="s">
        <v>1025</v>
      </c>
      <c r="C225" s="25" t="s">
        <v>1024</v>
      </c>
      <c r="D225" s="25" t="s">
        <v>1023</v>
      </c>
      <c r="E225" s="26" t="s">
        <v>43</v>
      </c>
      <c r="F225" s="27" t="s">
        <v>43</v>
      </c>
      <c r="G225" s="28" t="s">
        <v>43</v>
      </c>
      <c r="H225" s="29"/>
      <c r="I225" s="29" t="s">
        <v>44</v>
      </c>
      <c r="J225" s="30">
        <v>10</v>
      </c>
      <c r="K225" s="31">
        <f>5291</f>
        <v>5291</v>
      </c>
      <c r="L225" s="32" t="s">
        <v>1085</v>
      </c>
      <c r="M225" s="31">
        <f>5324</f>
        <v>5324</v>
      </c>
      <c r="N225" s="32" t="s">
        <v>852</v>
      </c>
      <c r="O225" s="31">
        <f>5181</f>
        <v>5181</v>
      </c>
      <c r="P225" s="32" t="s">
        <v>661</v>
      </c>
      <c r="Q225" s="31">
        <f>5297</f>
        <v>5297</v>
      </c>
      <c r="R225" s="32" t="s">
        <v>661</v>
      </c>
      <c r="S225" s="33">
        <f>5258</f>
        <v>5258</v>
      </c>
      <c r="T225" s="30">
        <f>93180</f>
        <v>93180</v>
      </c>
      <c r="U225" s="30">
        <f>15010</f>
        <v>15010</v>
      </c>
      <c r="V225" s="30">
        <f>488373029</f>
        <v>488373029</v>
      </c>
      <c r="W225" s="30">
        <f>78659409</f>
        <v>78659409</v>
      </c>
      <c r="X225" s="34">
        <f>19</f>
        <v>19</v>
      </c>
    </row>
    <row r="226" spans="1:24">
      <c r="A226" s="25" t="s">
        <v>1179</v>
      </c>
      <c r="B226" s="25" t="s">
        <v>1022</v>
      </c>
      <c r="C226" s="25" t="s">
        <v>1021</v>
      </c>
      <c r="D226" s="25" t="s">
        <v>1020</v>
      </c>
      <c r="E226" s="26" t="s">
        <v>43</v>
      </c>
      <c r="F226" s="27" t="s">
        <v>43</v>
      </c>
      <c r="G226" s="28" t="s">
        <v>43</v>
      </c>
      <c r="H226" s="29"/>
      <c r="I226" s="29" t="s">
        <v>44</v>
      </c>
      <c r="J226" s="30">
        <v>1</v>
      </c>
      <c r="K226" s="31">
        <f>981</f>
        <v>981</v>
      </c>
      <c r="L226" s="32" t="s">
        <v>1085</v>
      </c>
      <c r="M226" s="31">
        <f>1014</f>
        <v>1014</v>
      </c>
      <c r="N226" s="32" t="s">
        <v>852</v>
      </c>
      <c r="O226" s="31">
        <f>944</f>
        <v>944</v>
      </c>
      <c r="P226" s="32" t="s">
        <v>859</v>
      </c>
      <c r="Q226" s="31">
        <f>950</f>
        <v>950</v>
      </c>
      <c r="R226" s="32" t="s">
        <v>661</v>
      </c>
      <c r="S226" s="33">
        <f>982.47</f>
        <v>982.47</v>
      </c>
      <c r="T226" s="30">
        <f>289535</f>
        <v>289535</v>
      </c>
      <c r="U226" s="30">
        <f>210000</f>
        <v>210000</v>
      </c>
      <c r="V226" s="30">
        <f>276778589</f>
        <v>276778589</v>
      </c>
      <c r="W226" s="30">
        <f>199164000</f>
        <v>199164000</v>
      </c>
      <c r="X226" s="34">
        <f>19</f>
        <v>19</v>
      </c>
    </row>
    <row r="227" spans="1:24">
      <c r="A227" s="25" t="s">
        <v>1179</v>
      </c>
      <c r="B227" s="25" t="s">
        <v>1019</v>
      </c>
      <c r="C227" s="25" t="s">
        <v>1018</v>
      </c>
      <c r="D227" s="25" t="s">
        <v>1017</v>
      </c>
      <c r="E227" s="26" t="s">
        <v>43</v>
      </c>
      <c r="F227" s="27" t="s">
        <v>43</v>
      </c>
      <c r="G227" s="28" t="s">
        <v>43</v>
      </c>
      <c r="H227" s="29"/>
      <c r="I227" s="29" t="s">
        <v>44</v>
      </c>
      <c r="J227" s="30">
        <v>1</v>
      </c>
      <c r="K227" s="31">
        <f>1096</f>
        <v>1096</v>
      </c>
      <c r="L227" s="32" t="s">
        <v>1085</v>
      </c>
      <c r="M227" s="31">
        <f>1155</f>
        <v>1155</v>
      </c>
      <c r="N227" s="32" t="s">
        <v>1078</v>
      </c>
      <c r="O227" s="31">
        <f>1076</f>
        <v>1076</v>
      </c>
      <c r="P227" s="32" t="s">
        <v>852</v>
      </c>
      <c r="Q227" s="31">
        <f>1128</f>
        <v>1128</v>
      </c>
      <c r="R227" s="32" t="s">
        <v>661</v>
      </c>
      <c r="S227" s="33">
        <f>1108.37</f>
        <v>1108.3699999999999</v>
      </c>
      <c r="T227" s="30">
        <f>28593</f>
        <v>28593</v>
      </c>
      <c r="U227" s="30" t="str">
        <f>"－"</f>
        <v>－</v>
      </c>
      <c r="V227" s="30">
        <f>31707371</f>
        <v>31707371</v>
      </c>
      <c r="W227" s="30" t="str">
        <f>"－"</f>
        <v>－</v>
      </c>
      <c r="X227" s="34">
        <f>19</f>
        <v>19</v>
      </c>
    </row>
    <row r="228" spans="1:24">
      <c r="A228" s="25" t="s">
        <v>1179</v>
      </c>
      <c r="B228" s="25" t="s">
        <v>1016</v>
      </c>
      <c r="C228" s="25" t="s">
        <v>1015</v>
      </c>
      <c r="D228" s="25" t="s">
        <v>1014</v>
      </c>
      <c r="E228" s="26" t="s">
        <v>43</v>
      </c>
      <c r="F228" s="27" t="s">
        <v>43</v>
      </c>
      <c r="G228" s="28" t="s">
        <v>43</v>
      </c>
      <c r="H228" s="29"/>
      <c r="I228" s="29" t="s">
        <v>44</v>
      </c>
      <c r="J228" s="30">
        <v>1</v>
      </c>
      <c r="K228" s="31">
        <f>943</f>
        <v>943</v>
      </c>
      <c r="L228" s="32" t="s">
        <v>1085</v>
      </c>
      <c r="M228" s="31">
        <f>979</f>
        <v>979</v>
      </c>
      <c r="N228" s="32" t="s">
        <v>859</v>
      </c>
      <c r="O228" s="31">
        <f>914</f>
        <v>914</v>
      </c>
      <c r="P228" s="32" t="s">
        <v>756</v>
      </c>
      <c r="Q228" s="31">
        <f>968</f>
        <v>968</v>
      </c>
      <c r="R228" s="32" t="s">
        <v>661</v>
      </c>
      <c r="S228" s="33">
        <f>938.89</f>
        <v>938.89</v>
      </c>
      <c r="T228" s="30">
        <f>129156</f>
        <v>129156</v>
      </c>
      <c r="U228" s="30" t="str">
        <f>"－"</f>
        <v>－</v>
      </c>
      <c r="V228" s="30">
        <f>120991985</f>
        <v>120991985</v>
      </c>
      <c r="W228" s="30" t="str">
        <f>"－"</f>
        <v>－</v>
      </c>
      <c r="X228" s="34">
        <f>19</f>
        <v>19</v>
      </c>
    </row>
    <row r="229" spans="1:24">
      <c r="A229" s="25" t="s">
        <v>1179</v>
      </c>
      <c r="B229" s="25" t="s">
        <v>1013</v>
      </c>
      <c r="C229" s="25" t="s">
        <v>1012</v>
      </c>
      <c r="D229" s="25" t="s">
        <v>1011</v>
      </c>
      <c r="E229" s="26" t="s">
        <v>43</v>
      </c>
      <c r="F229" s="27" t="s">
        <v>43</v>
      </c>
      <c r="G229" s="28" t="s">
        <v>43</v>
      </c>
      <c r="H229" s="29"/>
      <c r="I229" s="29" t="s">
        <v>44</v>
      </c>
      <c r="J229" s="30">
        <v>1</v>
      </c>
      <c r="K229" s="31">
        <f>916</f>
        <v>916</v>
      </c>
      <c r="L229" s="32" t="s">
        <v>1085</v>
      </c>
      <c r="M229" s="31">
        <f>928</f>
        <v>928</v>
      </c>
      <c r="N229" s="32" t="s">
        <v>661</v>
      </c>
      <c r="O229" s="31">
        <f>891</f>
        <v>891</v>
      </c>
      <c r="P229" s="32" t="s">
        <v>756</v>
      </c>
      <c r="Q229" s="31">
        <f>919</f>
        <v>919</v>
      </c>
      <c r="R229" s="32" t="s">
        <v>661</v>
      </c>
      <c r="S229" s="33">
        <f>905.74</f>
        <v>905.74</v>
      </c>
      <c r="T229" s="30">
        <f>137958</f>
        <v>137958</v>
      </c>
      <c r="U229" s="30" t="str">
        <f>"－"</f>
        <v>－</v>
      </c>
      <c r="V229" s="30">
        <f>125100565</f>
        <v>125100565</v>
      </c>
      <c r="W229" s="30" t="str">
        <f>"－"</f>
        <v>－</v>
      </c>
      <c r="X229" s="34">
        <f>19</f>
        <v>19</v>
      </c>
    </row>
    <row r="230" spans="1:24">
      <c r="A230" s="25" t="s">
        <v>1179</v>
      </c>
      <c r="B230" s="25" t="s">
        <v>1010</v>
      </c>
      <c r="C230" s="25" t="s">
        <v>1009</v>
      </c>
      <c r="D230" s="25" t="s">
        <v>1008</v>
      </c>
      <c r="E230" s="26" t="s">
        <v>43</v>
      </c>
      <c r="F230" s="27" t="s">
        <v>43</v>
      </c>
      <c r="G230" s="28" t="s">
        <v>43</v>
      </c>
      <c r="H230" s="29"/>
      <c r="I230" s="29" t="s">
        <v>44</v>
      </c>
      <c r="J230" s="30">
        <v>1</v>
      </c>
      <c r="K230" s="31">
        <f>980</f>
        <v>980</v>
      </c>
      <c r="L230" s="32" t="s">
        <v>1085</v>
      </c>
      <c r="M230" s="31">
        <f>1002</f>
        <v>1002</v>
      </c>
      <c r="N230" s="32" t="s">
        <v>859</v>
      </c>
      <c r="O230" s="31">
        <f>951</f>
        <v>951</v>
      </c>
      <c r="P230" s="32" t="s">
        <v>1080</v>
      </c>
      <c r="Q230" s="31">
        <f>991</f>
        <v>991</v>
      </c>
      <c r="R230" s="32" t="s">
        <v>661</v>
      </c>
      <c r="S230" s="33">
        <f>968.42</f>
        <v>968.42</v>
      </c>
      <c r="T230" s="30">
        <f>49994</f>
        <v>49994</v>
      </c>
      <c r="U230" s="30" t="str">
        <f>"－"</f>
        <v>－</v>
      </c>
      <c r="V230" s="30">
        <f>49001747</f>
        <v>49001747</v>
      </c>
      <c r="W230" s="30" t="str">
        <f>"－"</f>
        <v>－</v>
      </c>
      <c r="X230" s="34">
        <f>19</f>
        <v>19</v>
      </c>
    </row>
    <row r="231" spans="1:24">
      <c r="A231" s="25" t="s">
        <v>1179</v>
      </c>
      <c r="B231" s="25" t="s">
        <v>1125</v>
      </c>
      <c r="C231" s="25" t="s">
        <v>1126</v>
      </c>
      <c r="D231" s="25" t="s">
        <v>1127</v>
      </c>
      <c r="E231" s="26" t="s">
        <v>43</v>
      </c>
      <c r="F231" s="27" t="s">
        <v>43</v>
      </c>
      <c r="G231" s="28" t="s">
        <v>43</v>
      </c>
      <c r="H231" s="29"/>
      <c r="I231" s="29" t="s">
        <v>44</v>
      </c>
      <c r="J231" s="30">
        <v>1</v>
      </c>
      <c r="K231" s="31">
        <f>1466</f>
        <v>1466</v>
      </c>
      <c r="L231" s="32" t="s">
        <v>1085</v>
      </c>
      <c r="M231" s="31">
        <f>1524</f>
        <v>1524</v>
      </c>
      <c r="N231" s="32" t="s">
        <v>859</v>
      </c>
      <c r="O231" s="31">
        <f>1438</f>
        <v>1438</v>
      </c>
      <c r="P231" s="32" t="s">
        <v>851</v>
      </c>
      <c r="Q231" s="31">
        <f>1514</f>
        <v>1514</v>
      </c>
      <c r="R231" s="32" t="s">
        <v>661</v>
      </c>
      <c r="S231" s="33">
        <f>1468.58</f>
        <v>1468.58</v>
      </c>
      <c r="T231" s="30">
        <f>180579</f>
        <v>180579</v>
      </c>
      <c r="U231" s="30">
        <f>1873</f>
        <v>1873</v>
      </c>
      <c r="V231" s="30">
        <f>268193321</f>
        <v>268193321</v>
      </c>
      <c r="W231" s="30">
        <f>2722906</f>
        <v>2722906</v>
      </c>
      <c r="X231" s="34">
        <f>19</f>
        <v>19</v>
      </c>
    </row>
    <row r="232" spans="1:24">
      <c r="A232" s="25" t="s">
        <v>1179</v>
      </c>
      <c r="B232" s="25" t="s">
        <v>1139</v>
      </c>
      <c r="C232" s="25" t="s">
        <v>1138</v>
      </c>
      <c r="D232" s="25" t="s">
        <v>1137</v>
      </c>
      <c r="E232" s="26" t="s">
        <v>43</v>
      </c>
      <c r="F232" s="27" t="s">
        <v>43</v>
      </c>
      <c r="G232" s="28" t="s">
        <v>43</v>
      </c>
      <c r="H232" s="29"/>
      <c r="I232" s="29" t="s">
        <v>44</v>
      </c>
      <c r="J232" s="30">
        <v>10</v>
      </c>
      <c r="K232" s="31">
        <f>152</f>
        <v>152</v>
      </c>
      <c r="L232" s="32" t="s">
        <v>1085</v>
      </c>
      <c r="M232" s="31">
        <f>164.3</f>
        <v>164.3</v>
      </c>
      <c r="N232" s="32" t="s">
        <v>756</v>
      </c>
      <c r="O232" s="31">
        <f>146.3</f>
        <v>146.30000000000001</v>
      </c>
      <c r="P232" s="32" t="s">
        <v>1078</v>
      </c>
      <c r="Q232" s="31">
        <f>152.6</f>
        <v>152.6</v>
      </c>
      <c r="R232" s="32" t="s">
        <v>661</v>
      </c>
      <c r="S232" s="33">
        <f>154.44</f>
        <v>154.44</v>
      </c>
      <c r="T232" s="30">
        <f>2496950</f>
        <v>2496950</v>
      </c>
      <c r="U232" s="30">
        <f>230</f>
        <v>230</v>
      </c>
      <c r="V232" s="30">
        <f>385520328</f>
        <v>385520328</v>
      </c>
      <c r="W232" s="30">
        <f>33923</f>
        <v>33923</v>
      </c>
      <c r="X232" s="34">
        <f>19</f>
        <v>19</v>
      </c>
    </row>
    <row r="233" spans="1:24">
      <c r="A233" s="25" t="s">
        <v>1179</v>
      </c>
      <c r="B233" s="25" t="s">
        <v>1136</v>
      </c>
      <c r="C233" s="25" t="s">
        <v>1135</v>
      </c>
      <c r="D233" s="25" t="s">
        <v>1134</v>
      </c>
      <c r="E233" s="26" t="s">
        <v>43</v>
      </c>
      <c r="F233" s="27" t="s">
        <v>43</v>
      </c>
      <c r="G233" s="28" t="s">
        <v>43</v>
      </c>
      <c r="H233" s="29"/>
      <c r="I233" s="29" t="s">
        <v>44</v>
      </c>
      <c r="J233" s="30">
        <v>10</v>
      </c>
      <c r="K233" s="31">
        <f>428.5</f>
        <v>428.5</v>
      </c>
      <c r="L233" s="32" t="s">
        <v>1085</v>
      </c>
      <c r="M233" s="31">
        <f>467.8</f>
        <v>467.8</v>
      </c>
      <c r="N233" s="32" t="s">
        <v>756</v>
      </c>
      <c r="O233" s="31">
        <f>415.7</f>
        <v>415.7</v>
      </c>
      <c r="P233" s="32" t="s">
        <v>1078</v>
      </c>
      <c r="Q233" s="31">
        <f>433.4</f>
        <v>433.4</v>
      </c>
      <c r="R233" s="32" t="s">
        <v>661</v>
      </c>
      <c r="S233" s="33">
        <f>441.64</f>
        <v>441.64</v>
      </c>
      <c r="T233" s="30">
        <f>527230</f>
        <v>527230</v>
      </c>
      <c r="U233" s="30" t="str">
        <f>"－"</f>
        <v>－</v>
      </c>
      <c r="V233" s="30">
        <f>232594545</f>
        <v>232594545</v>
      </c>
      <c r="W233" s="30" t="str">
        <f>"－"</f>
        <v>－</v>
      </c>
      <c r="X233" s="34">
        <f>19</f>
        <v>19</v>
      </c>
    </row>
    <row r="234" spans="1:24">
      <c r="A234" s="25" t="s">
        <v>1179</v>
      </c>
      <c r="B234" s="25" t="s">
        <v>844</v>
      </c>
      <c r="C234" s="25" t="s">
        <v>845</v>
      </c>
      <c r="D234" s="25" t="s">
        <v>846</v>
      </c>
      <c r="E234" s="26" t="s">
        <v>43</v>
      </c>
      <c r="F234" s="27" t="s">
        <v>43</v>
      </c>
      <c r="G234" s="28" t="s">
        <v>43</v>
      </c>
      <c r="H234" s="29"/>
      <c r="I234" s="29" t="s">
        <v>44</v>
      </c>
      <c r="J234" s="30">
        <v>10</v>
      </c>
      <c r="K234" s="31">
        <f>2981</f>
        <v>2981</v>
      </c>
      <c r="L234" s="32" t="s">
        <v>1085</v>
      </c>
      <c r="M234" s="31">
        <f>3040</f>
        <v>3040</v>
      </c>
      <c r="N234" s="32" t="s">
        <v>859</v>
      </c>
      <c r="O234" s="31">
        <f>2901</f>
        <v>2901</v>
      </c>
      <c r="P234" s="32" t="s">
        <v>662</v>
      </c>
      <c r="Q234" s="31">
        <f>3031</f>
        <v>3031</v>
      </c>
      <c r="R234" s="32" t="s">
        <v>661</v>
      </c>
      <c r="S234" s="33">
        <f>2970.95</f>
        <v>2970.95</v>
      </c>
      <c r="T234" s="30">
        <f>2330790</f>
        <v>2330790</v>
      </c>
      <c r="U234" s="30">
        <f>2240040</f>
        <v>2240040</v>
      </c>
      <c r="V234" s="30">
        <f>6932861020</f>
        <v>6932861020</v>
      </c>
      <c r="W234" s="30">
        <f>6663073565</f>
        <v>6663073565</v>
      </c>
      <c r="X234" s="34">
        <f>19</f>
        <v>19</v>
      </c>
    </row>
    <row r="235" spans="1:24">
      <c r="A235" s="25" t="s">
        <v>1179</v>
      </c>
      <c r="B235" s="25" t="s">
        <v>847</v>
      </c>
      <c r="C235" s="25" t="s">
        <v>848</v>
      </c>
      <c r="D235" s="25" t="s">
        <v>849</v>
      </c>
      <c r="E235" s="26" t="s">
        <v>43</v>
      </c>
      <c r="F235" s="27" t="s">
        <v>43</v>
      </c>
      <c r="G235" s="28" t="s">
        <v>43</v>
      </c>
      <c r="H235" s="29"/>
      <c r="I235" s="29" t="s">
        <v>44</v>
      </c>
      <c r="J235" s="30">
        <v>1</v>
      </c>
      <c r="K235" s="31">
        <f>1299</f>
        <v>1299</v>
      </c>
      <c r="L235" s="32" t="s">
        <v>1085</v>
      </c>
      <c r="M235" s="31">
        <f>1314</f>
        <v>1314</v>
      </c>
      <c r="N235" s="32" t="s">
        <v>1078</v>
      </c>
      <c r="O235" s="31">
        <f>1267</f>
        <v>1267</v>
      </c>
      <c r="P235" s="32" t="s">
        <v>1080</v>
      </c>
      <c r="Q235" s="31">
        <f>1298</f>
        <v>1298</v>
      </c>
      <c r="R235" s="32" t="s">
        <v>661</v>
      </c>
      <c r="S235" s="33">
        <f>1287.63</f>
        <v>1287.6300000000001</v>
      </c>
      <c r="T235" s="30">
        <f>892264</f>
        <v>892264</v>
      </c>
      <c r="U235" s="30">
        <f>93006</f>
        <v>93006</v>
      </c>
      <c r="V235" s="30">
        <f>1150506205</f>
        <v>1150506205</v>
      </c>
      <c r="W235" s="30">
        <f>119442604</f>
        <v>119442604</v>
      </c>
      <c r="X235" s="34">
        <f>19</f>
        <v>19</v>
      </c>
    </row>
    <row r="236" spans="1:24">
      <c r="A236" s="25" t="s">
        <v>1179</v>
      </c>
      <c r="B236" s="25" t="s">
        <v>853</v>
      </c>
      <c r="C236" s="25" t="s">
        <v>854</v>
      </c>
      <c r="D236" s="25" t="s">
        <v>855</v>
      </c>
      <c r="E236" s="26" t="s">
        <v>43</v>
      </c>
      <c r="F236" s="27" t="s">
        <v>43</v>
      </c>
      <c r="G236" s="28" t="s">
        <v>43</v>
      </c>
      <c r="H236" s="29"/>
      <c r="I236" s="29" t="s">
        <v>44</v>
      </c>
      <c r="J236" s="30">
        <v>1</v>
      </c>
      <c r="K236" s="31">
        <f>87550</f>
        <v>87550</v>
      </c>
      <c r="L236" s="32" t="s">
        <v>1085</v>
      </c>
      <c r="M236" s="31">
        <f>91990</f>
        <v>91990</v>
      </c>
      <c r="N236" s="32" t="s">
        <v>663</v>
      </c>
      <c r="O236" s="31">
        <f>84110</f>
        <v>84110</v>
      </c>
      <c r="P236" s="32" t="s">
        <v>851</v>
      </c>
      <c r="Q236" s="31">
        <f>90010</f>
        <v>90010</v>
      </c>
      <c r="R236" s="32" t="s">
        <v>661</v>
      </c>
      <c r="S236" s="33">
        <f>88281.58</f>
        <v>88281.58</v>
      </c>
      <c r="T236" s="30">
        <f>29151</f>
        <v>29151</v>
      </c>
      <c r="U236" s="30" t="str">
        <f>"－"</f>
        <v>－</v>
      </c>
      <c r="V236" s="30">
        <f>2591643550</f>
        <v>2591643550</v>
      </c>
      <c r="W236" s="30" t="str">
        <f>"－"</f>
        <v>－</v>
      </c>
      <c r="X236" s="34">
        <f>19</f>
        <v>19</v>
      </c>
    </row>
    <row r="237" spans="1:24">
      <c r="A237" s="25" t="s">
        <v>1179</v>
      </c>
      <c r="B237" s="25" t="s">
        <v>856</v>
      </c>
      <c r="C237" s="25" t="s">
        <v>857</v>
      </c>
      <c r="D237" s="25" t="s">
        <v>858</v>
      </c>
      <c r="E237" s="26" t="s">
        <v>43</v>
      </c>
      <c r="F237" s="27" t="s">
        <v>43</v>
      </c>
      <c r="G237" s="28" t="s">
        <v>43</v>
      </c>
      <c r="H237" s="29"/>
      <c r="I237" s="29" t="s">
        <v>44</v>
      </c>
      <c r="J237" s="30">
        <v>1</v>
      </c>
      <c r="K237" s="31">
        <f>6797</f>
        <v>6797</v>
      </c>
      <c r="L237" s="32" t="s">
        <v>1085</v>
      </c>
      <c r="M237" s="31">
        <f>6910</f>
        <v>6910</v>
      </c>
      <c r="N237" s="32" t="s">
        <v>851</v>
      </c>
      <c r="O237" s="31">
        <f>6598</f>
        <v>6598</v>
      </c>
      <c r="P237" s="32" t="s">
        <v>663</v>
      </c>
      <c r="Q237" s="31">
        <f>6630</f>
        <v>6630</v>
      </c>
      <c r="R237" s="32" t="s">
        <v>661</v>
      </c>
      <c r="S237" s="33">
        <f>6753.79</f>
        <v>6753.79</v>
      </c>
      <c r="T237" s="30">
        <f>44331</f>
        <v>44331</v>
      </c>
      <c r="U237" s="30">
        <f>19</f>
        <v>19</v>
      </c>
      <c r="V237" s="30">
        <f>299220587</f>
        <v>299220587</v>
      </c>
      <c r="W237" s="30">
        <f>128593</f>
        <v>128593</v>
      </c>
      <c r="X237" s="34">
        <f>19</f>
        <v>19</v>
      </c>
    </row>
    <row r="238" spans="1:24">
      <c r="A238" s="25" t="s">
        <v>1179</v>
      </c>
      <c r="B238" s="25" t="s">
        <v>860</v>
      </c>
      <c r="C238" s="25" t="s">
        <v>861</v>
      </c>
      <c r="D238" s="25" t="s">
        <v>862</v>
      </c>
      <c r="E238" s="26" t="s">
        <v>43</v>
      </c>
      <c r="F238" s="27" t="s">
        <v>43</v>
      </c>
      <c r="G238" s="28" t="s">
        <v>43</v>
      </c>
      <c r="H238" s="29"/>
      <c r="I238" s="29" t="s">
        <v>44</v>
      </c>
      <c r="J238" s="30">
        <v>10</v>
      </c>
      <c r="K238" s="31">
        <f>18990</f>
        <v>18990</v>
      </c>
      <c r="L238" s="32" t="s">
        <v>1085</v>
      </c>
      <c r="M238" s="31">
        <f>19915</f>
        <v>19915</v>
      </c>
      <c r="N238" s="32" t="s">
        <v>663</v>
      </c>
      <c r="O238" s="31">
        <f>18210</f>
        <v>18210</v>
      </c>
      <c r="P238" s="32" t="s">
        <v>851</v>
      </c>
      <c r="Q238" s="31">
        <f>19680</f>
        <v>19680</v>
      </c>
      <c r="R238" s="32" t="s">
        <v>661</v>
      </c>
      <c r="S238" s="33">
        <f>19124.21</f>
        <v>19124.21</v>
      </c>
      <c r="T238" s="30">
        <f>97710</f>
        <v>97710</v>
      </c>
      <c r="U238" s="30">
        <f>100</f>
        <v>100</v>
      </c>
      <c r="V238" s="30">
        <f>1874991200</f>
        <v>1874991200</v>
      </c>
      <c r="W238" s="30">
        <f>1905750</f>
        <v>1905750</v>
      </c>
      <c r="X238" s="34">
        <f>19</f>
        <v>19</v>
      </c>
    </row>
    <row r="239" spans="1:24">
      <c r="A239" s="25" t="s">
        <v>1179</v>
      </c>
      <c r="B239" s="25" t="s">
        <v>1133</v>
      </c>
      <c r="C239" s="25" t="s">
        <v>1132</v>
      </c>
      <c r="D239" s="25" t="s">
        <v>1131</v>
      </c>
      <c r="E239" s="26" t="s">
        <v>43</v>
      </c>
      <c r="F239" s="27" t="s">
        <v>43</v>
      </c>
      <c r="G239" s="28" t="s">
        <v>43</v>
      </c>
      <c r="H239" s="29"/>
      <c r="I239" s="29" t="s">
        <v>44</v>
      </c>
      <c r="J239" s="30">
        <v>1</v>
      </c>
      <c r="K239" s="31">
        <f>1110</f>
        <v>1110</v>
      </c>
      <c r="L239" s="32" t="s">
        <v>1085</v>
      </c>
      <c r="M239" s="31">
        <f>1150</f>
        <v>1150</v>
      </c>
      <c r="N239" s="32" t="s">
        <v>1078</v>
      </c>
      <c r="O239" s="31">
        <f>1077</f>
        <v>1077</v>
      </c>
      <c r="P239" s="32" t="s">
        <v>1080</v>
      </c>
      <c r="Q239" s="31">
        <f>1134</f>
        <v>1134</v>
      </c>
      <c r="R239" s="32" t="s">
        <v>661</v>
      </c>
      <c r="S239" s="33">
        <f>1116.11</f>
        <v>1116.1099999999999</v>
      </c>
      <c r="T239" s="30">
        <f>453604</f>
        <v>453604</v>
      </c>
      <c r="U239" s="30" t="str">
        <f>"－"</f>
        <v>－</v>
      </c>
      <c r="V239" s="30">
        <f>508121725</f>
        <v>508121725</v>
      </c>
      <c r="W239" s="30" t="str">
        <f>"－"</f>
        <v>－</v>
      </c>
      <c r="X239" s="34">
        <f>19</f>
        <v>19</v>
      </c>
    </row>
    <row r="240" spans="1:24">
      <c r="A240" s="25" t="s">
        <v>1179</v>
      </c>
      <c r="B240" s="25" t="s">
        <v>863</v>
      </c>
      <c r="C240" s="25" t="s">
        <v>864</v>
      </c>
      <c r="D240" s="25" t="s">
        <v>865</v>
      </c>
      <c r="E240" s="26" t="s">
        <v>43</v>
      </c>
      <c r="F240" s="27" t="s">
        <v>43</v>
      </c>
      <c r="G240" s="28" t="s">
        <v>43</v>
      </c>
      <c r="H240" s="29"/>
      <c r="I240" s="29" t="s">
        <v>44</v>
      </c>
      <c r="J240" s="30">
        <v>10</v>
      </c>
      <c r="K240" s="31">
        <f>6832</f>
        <v>6832</v>
      </c>
      <c r="L240" s="32" t="s">
        <v>1085</v>
      </c>
      <c r="M240" s="31">
        <f>6950</f>
        <v>6950</v>
      </c>
      <c r="N240" s="32" t="s">
        <v>851</v>
      </c>
      <c r="O240" s="31">
        <f>6640</f>
        <v>6640</v>
      </c>
      <c r="P240" s="32" t="s">
        <v>663</v>
      </c>
      <c r="Q240" s="31">
        <f>6680</f>
        <v>6680</v>
      </c>
      <c r="R240" s="32" t="s">
        <v>661</v>
      </c>
      <c r="S240" s="33">
        <f>6784.16</f>
        <v>6784.16</v>
      </c>
      <c r="T240" s="30">
        <f>9840</f>
        <v>9840</v>
      </c>
      <c r="U240" s="30" t="str">
        <f>"－"</f>
        <v>－</v>
      </c>
      <c r="V240" s="30">
        <f>66563310</f>
        <v>66563310</v>
      </c>
      <c r="W240" s="30" t="str">
        <f>"－"</f>
        <v>－</v>
      </c>
      <c r="X240" s="34">
        <f>19</f>
        <v>19</v>
      </c>
    </row>
    <row r="241" spans="1:24">
      <c r="A241" s="25" t="s">
        <v>1179</v>
      </c>
      <c r="B241" s="25" t="s">
        <v>866</v>
      </c>
      <c r="C241" s="25" t="s">
        <v>867</v>
      </c>
      <c r="D241" s="25" t="s">
        <v>868</v>
      </c>
      <c r="E241" s="26" t="s">
        <v>43</v>
      </c>
      <c r="F241" s="27" t="s">
        <v>43</v>
      </c>
      <c r="G241" s="28" t="s">
        <v>43</v>
      </c>
      <c r="H241" s="29"/>
      <c r="I241" s="29" t="s">
        <v>44</v>
      </c>
      <c r="J241" s="30">
        <v>10</v>
      </c>
      <c r="K241" s="31">
        <f>755</f>
        <v>755</v>
      </c>
      <c r="L241" s="32" t="s">
        <v>1085</v>
      </c>
      <c r="M241" s="31">
        <f>780</f>
        <v>780</v>
      </c>
      <c r="N241" s="32" t="s">
        <v>755</v>
      </c>
      <c r="O241" s="31">
        <f>740</f>
        <v>740</v>
      </c>
      <c r="P241" s="32" t="s">
        <v>1080</v>
      </c>
      <c r="Q241" s="31">
        <f>776.9</f>
        <v>776.9</v>
      </c>
      <c r="R241" s="32" t="s">
        <v>661</v>
      </c>
      <c r="S241" s="33">
        <f>759.99</f>
        <v>759.99</v>
      </c>
      <c r="T241" s="30">
        <f>6594890</f>
        <v>6594890</v>
      </c>
      <c r="U241" s="30">
        <f>6400010</f>
        <v>6400010</v>
      </c>
      <c r="V241" s="30">
        <f>5108479891</f>
        <v>5108479891</v>
      </c>
      <c r="W241" s="30">
        <f>4960177795</f>
        <v>4960177795</v>
      </c>
      <c r="X241" s="34">
        <f>19</f>
        <v>19</v>
      </c>
    </row>
    <row r="242" spans="1:24">
      <c r="A242" s="25" t="s">
        <v>1179</v>
      </c>
      <c r="B242" s="25" t="s">
        <v>869</v>
      </c>
      <c r="C242" s="25" t="s">
        <v>870</v>
      </c>
      <c r="D242" s="25" t="s">
        <v>871</v>
      </c>
      <c r="E242" s="26" t="s">
        <v>43</v>
      </c>
      <c r="F242" s="27" t="s">
        <v>43</v>
      </c>
      <c r="G242" s="28" t="s">
        <v>43</v>
      </c>
      <c r="H242" s="29"/>
      <c r="I242" s="29" t="s">
        <v>44</v>
      </c>
      <c r="J242" s="30">
        <v>10</v>
      </c>
      <c r="K242" s="31">
        <f>584.8</f>
        <v>584.79999999999995</v>
      </c>
      <c r="L242" s="32" t="s">
        <v>1085</v>
      </c>
      <c r="M242" s="31">
        <f>609.4</f>
        <v>609.4</v>
      </c>
      <c r="N242" s="32" t="s">
        <v>661</v>
      </c>
      <c r="O242" s="31">
        <f>575.5</f>
        <v>575.5</v>
      </c>
      <c r="P242" s="32" t="s">
        <v>1080</v>
      </c>
      <c r="Q242" s="31">
        <f>603.6</f>
        <v>603.6</v>
      </c>
      <c r="R242" s="32" t="s">
        <v>661</v>
      </c>
      <c r="S242" s="33">
        <f>592.71</f>
        <v>592.71</v>
      </c>
      <c r="T242" s="30">
        <f>9614930</f>
        <v>9614930</v>
      </c>
      <c r="U242" s="30">
        <f>9357200</f>
        <v>9357200</v>
      </c>
      <c r="V242" s="30">
        <f>5825541317</f>
        <v>5825541317</v>
      </c>
      <c r="W242" s="30">
        <f>5673203403</f>
        <v>5673203403</v>
      </c>
      <c r="X242" s="34">
        <f>19</f>
        <v>19</v>
      </c>
    </row>
    <row r="243" spans="1:24">
      <c r="A243" s="25" t="s">
        <v>1179</v>
      </c>
      <c r="B243" s="25" t="s">
        <v>906</v>
      </c>
      <c r="C243" s="25" t="s">
        <v>907</v>
      </c>
      <c r="D243" s="25" t="s">
        <v>908</v>
      </c>
      <c r="E243" s="26" t="s">
        <v>43</v>
      </c>
      <c r="F243" s="27" t="s">
        <v>43</v>
      </c>
      <c r="G243" s="28" t="s">
        <v>43</v>
      </c>
      <c r="H243" s="29"/>
      <c r="I243" s="29" t="s">
        <v>44</v>
      </c>
      <c r="J243" s="30">
        <v>1</v>
      </c>
      <c r="K243" s="31">
        <f>1942</f>
        <v>1942</v>
      </c>
      <c r="L243" s="32" t="s">
        <v>1085</v>
      </c>
      <c r="M243" s="31">
        <f>2042</f>
        <v>2042</v>
      </c>
      <c r="N243" s="32" t="s">
        <v>756</v>
      </c>
      <c r="O243" s="31">
        <f>1815</f>
        <v>1815</v>
      </c>
      <c r="P243" s="32" t="s">
        <v>1078</v>
      </c>
      <c r="Q243" s="31">
        <f>1880</f>
        <v>1880</v>
      </c>
      <c r="R243" s="32" t="s">
        <v>661</v>
      </c>
      <c r="S243" s="33">
        <f>1941.47</f>
        <v>1941.47</v>
      </c>
      <c r="T243" s="30">
        <f>11128160</f>
        <v>11128160</v>
      </c>
      <c r="U243" s="30">
        <f>575303</f>
        <v>575303</v>
      </c>
      <c r="V243" s="30">
        <f>21625553571</f>
        <v>21625553571</v>
      </c>
      <c r="W243" s="30">
        <f>1137366762</f>
        <v>1137366762</v>
      </c>
      <c r="X243" s="34">
        <f>19</f>
        <v>19</v>
      </c>
    </row>
    <row r="244" spans="1:24">
      <c r="A244" s="25" t="s">
        <v>1179</v>
      </c>
      <c r="B244" s="25" t="s">
        <v>909</v>
      </c>
      <c r="C244" s="25" t="s">
        <v>910</v>
      </c>
      <c r="D244" s="25" t="s">
        <v>911</v>
      </c>
      <c r="E244" s="26" t="s">
        <v>43</v>
      </c>
      <c r="F244" s="27" t="s">
        <v>43</v>
      </c>
      <c r="G244" s="28" t="s">
        <v>43</v>
      </c>
      <c r="H244" s="29"/>
      <c r="I244" s="29" t="s">
        <v>44</v>
      </c>
      <c r="J244" s="30">
        <v>1</v>
      </c>
      <c r="K244" s="31">
        <f>2549</f>
        <v>2549</v>
      </c>
      <c r="L244" s="32" t="s">
        <v>1085</v>
      </c>
      <c r="M244" s="31">
        <f>2614</f>
        <v>2614</v>
      </c>
      <c r="N244" s="32" t="s">
        <v>756</v>
      </c>
      <c r="O244" s="31">
        <f>2477</f>
        <v>2477</v>
      </c>
      <c r="P244" s="32" t="s">
        <v>851</v>
      </c>
      <c r="Q244" s="31">
        <f>2550</f>
        <v>2550</v>
      </c>
      <c r="R244" s="32" t="s">
        <v>661</v>
      </c>
      <c r="S244" s="33">
        <f>2544.89</f>
        <v>2544.89</v>
      </c>
      <c r="T244" s="30">
        <f>11234467</f>
        <v>11234467</v>
      </c>
      <c r="U244" s="30">
        <f>141501</f>
        <v>141501</v>
      </c>
      <c r="V244" s="30">
        <f>28613915257</f>
        <v>28613915257</v>
      </c>
      <c r="W244" s="30">
        <f>359782705</f>
        <v>359782705</v>
      </c>
      <c r="X244" s="34">
        <f>19</f>
        <v>19</v>
      </c>
    </row>
    <row r="245" spans="1:24">
      <c r="A245" s="25" t="s">
        <v>1179</v>
      </c>
      <c r="B245" s="25" t="s">
        <v>912</v>
      </c>
      <c r="C245" s="25" t="s">
        <v>913</v>
      </c>
      <c r="D245" s="25" t="s">
        <v>914</v>
      </c>
      <c r="E245" s="26" t="s">
        <v>43</v>
      </c>
      <c r="F245" s="27" t="s">
        <v>43</v>
      </c>
      <c r="G245" s="28" t="s">
        <v>43</v>
      </c>
      <c r="H245" s="29"/>
      <c r="I245" s="29" t="s">
        <v>44</v>
      </c>
      <c r="J245" s="30">
        <v>10</v>
      </c>
      <c r="K245" s="31">
        <f>793.5</f>
        <v>793.5</v>
      </c>
      <c r="L245" s="32" t="s">
        <v>1079</v>
      </c>
      <c r="M245" s="31">
        <f>793.5</f>
        <v>793.5</v>
      </c>
      <c r="N245" s="32" t="s">
        <v>1079</v>
      </c>
      <c r="O245" s="31">
        <f>744.2</f>
        <v>744.2</v>
      </c>
      <c r="P245" s="32" t="s">
        <v>851</v>
      </c>
      <c r="Q245" s="31">
        <f>752</f>
        <v>752</v>
      </c>
      <c r="R245" s="32" t="s">
        <v>661</v>
      </c>
      <c r="S245" s="33">
        <f>753.51</f>
        <v>753.51</v>
      </c>
      <c r="T245" s="30">
        <f>93240</f>
        <v>93240</v>
      </c>
      <c r="U245" s="30" t="str">
        <f>"－"</f>
        <v>－</v>
      </c>
      <c r="V245" s="30">
        <f>69418242</f>
        <v>69418242</v>
      </c>
      <c r="W245" s="30" t="str">
        <f>"－"</f>
        <v>－</v>
      </c>
      <c r="X245" s="34">
        <f>9</f>
        <v>9</v>
      </c>
    </row>
    <row r="246" spans="1:24">
      <c r="A246" s="25" t="s">
        <v>1179</v>
      </c>
      <c r="B246" s="25" t="s">
        <v>915</v>
      </c>
      <c r="C246" s="25" t="s">
        <v>916</v>
      </c>
      <c r="D246" s="25" t="s">
        <v>917</v>
      </c>
      <c r="E246" s="26" t="s">
        <v>43</v>
      </c>
      <c r="F246" s="27" t="s">
        <v>43</v>
      </c>
      <c r="G246" s="28" t="s">
        <v>43</v>
      </c>
      <c r="H246" s="29"/>
      <c r="I246" s="29" t="s">
        <v>44</v>
      </c>
      <c r="J246" s="30">
        <v>10</v>
      </c>
      <c r="K246" s="31">
        <f>747.2</f>
        <v>747.2</v>
      </c>
      <c r="L246" s="32" t="s">
        <v>1085</v>
      </c>
      <c r="M246" s="31">
        <f>822.1</f>
        <v>822.1</v>
      </c>
      <c r="N246" s="32" t="s">
        <v>1079</v>
      </c>
      <c r="O246" s="31">
        <f>737.3</f>
        <v>737.3</v>
      </c>
      <c r="P246" s="32" t="s">
        <v>851</v>
      </c>
      <c r="Q246" s="31">
        <f>746.6</f>
        <v>746.6</v>
      </c>
      <c r="R246" s="32" t="s">
        <v>755</v>
      </c>
      <c r="S246" s="33">
        <f>746.22</f>
        <v>746.22</v>
      </c>
      <c r="T246" s="30">
        <f>1090</f>
        <v>1090</v>
      </c>
      <c r="U246" s="30" t="str">
        <f>"－"</f>
        <v>－</v>
      </c>
      <c r="V246" s="30">
        <f>812412</f>
        <v>812412</v>
      </c>
      <c r="W246" s="30" t="str">
        <f>"－"</f>
        <v>－</v>
      </c>
      <c r="X246" s="34">
        <f>12</f>
        <v>12</v>
      </c>
    </row>
    <row r="247" spans="1:24">
      <c r="A247" s="25" t="s">
        <v>1179</v>
      </c>
      <c r="B247" s="25" t="s">
        <v>924</v>
      </c>
      <c r="C247" s="25" t="s">
        <v>925</v>
      </c>
      <c r="D247" s="25" t="s">
        <v>926</v>
      </c>
      <c r="E247" s="26" t="s">
        <v>43</v>
      </c>
      <c r="F247" s="27" t="s">
        <v>43</v>
      </c>
      <c r="G247" s="28" t="s">
        <v>43</v>
      </c>
      <c r="H247" s="29"/>
      <c r="I247" s="29" t="s">
        <v>44</v>
      </c>
      <c r="J247" s="30">
        <v>1</v>
      </c>
      <c r="K247" s="31">
        <f>17700</f>
        <v>17700</v>
      </c>
      <c r="L247" s="32" t="s">
        <v>1085</v>
      </c>
      <c r="M247" s="31">
        <f>18000</f>
        <v>18000</v>
      </c>
      <c r="N247" s="32" t="s">
        <v>663</v>
      </c>
      <c r="O247" s="31">
        <f>17285</f>
        <v>17285</v>
      </c>
      <c r="P247" s="32" t="s">
        <v>1080</v>
      </c>
      <c r="Q247" s="31">
        <f>17725</f>
        <v>17725</v>
      </c>
      <c r="R247" s="32" t="s">
        <v>661</v>
      </c>
      <c r="S247" s="33">
        <f>17629.47</f>
        <v>17629.47</v>
      </c>
      <c r="T247" s="30">
        <f>281973</f>
        <v>281973</v>
      </c>
      <c r="U247" s="30">
        <f>8501</f>
        <v>8501</v>
      </c>
      <c r="V247" s="30">
        <f>4960726373</f>
        <v>4960726373</v>
      </c>
      <c r="W247" s="30">
        <f>148951173</f>
        <v>148951173</v>
      </c>
      <c r="X247" s="34">
        <f>19</f>
        <v>19</v>
      </c>
    </row>
    <row r="248" spans="1:24">
      <c r="A248" s="25" t="s">
        <v>1179</v>
      </c>
      <c r="B248" s="25" t="s">
        <v>927</v>
      </c>
      <c r="C248" s="25" t="s">
        <v>928</v>
      </c>
      <c r="D248" s="25" t="s">
        <v>929</v>
      </c>
      <c r="E248" s="26" t="s">
        <v>43</v>
      </c>
      <c r="F248" s="27" t="s">
        <v>43</v>
      </c>
      <c r="G248" s="28" t="s">
        <v>43</v>
      </c>
      <c r="H248" s="29"/>
      <c r="I248" s="29" t="s">
        <v>44</v>
      </c>
      <c r="J248" s="30">
        <v>1</v>
      </c>
      <c r="K248" s="31">
        <f>45800</f>
        <v>45800</v>
      </c>
      <c r="L248" s="32" t="s">
        <v>1085</v>
      </c>
      <c r="M248" s="31">
        <f>46920</f>
        <v>46920</v>
      </c>
      <c r="N248" s="32" t="s">
        <v>756</v>
      </c>
      <c r="O248" s="31">
        <f>44420</f>
        <v>44420</v>
      </c>
      <c r="P248" s="32" t="s">
        <v>1080</v>
      </c>
      <c r="Q248" s="31">
        <f>46280</f>
        <v>46280</v>
      </c>
      <c r="R248" s="32" t="s">
        <v>661</v>
      </c>
      <c r="S248" s="33">
        <f>45674.21</f>
        <v>45674.21</v>
      </c>
      <c r="T248" s="30">
        <f>34935</f>
        <v>34935</v>
      </c>
      <c r="U248" s="30">
        <f>3</f>
        <v>3</v>
      </c>
      <c r="V248" s="30">
        <f>1602560870</f>
        <v>1602560870</v>
      </c>
      <c r="W248" s="30">
        <f>138350</f>
        <v>138350</v>
      </c>
      <c r="X248" s="34">
        <f>19</f>
        <v>19</v>
      </c>
    </row>
    <row r="249" spans="1:24">
      <c r="A249" s="25" t="s">
        <v>1179</v>
      </c>
      <c r="B249" s="25" t="s">
        <v>930</v>
      </c>
      <c r="C249" s="25" t="s">
        <v>931</v>
      </c>
      <c r="D249" s="25" t="s">
        <v>932</v>
      </c>
      <c r="E249" s="26" t="s">
        <v>43</v>
      </c>
      <c r="F249" s="27" t="s">
        <v>43</v>
      </c>
      <c r="G249" s="28" t="s">
        <v>43</v>
      </c>
      <c r="H249" s="29"/>
      <c r="I249" s="29" t="s">
        <v>44</v>
      </c>
      <c r="J249" s="30">
        <v>1</v>
      </c>
      <c r="K249" s="31">
        <f>16705</f>
        <v>16705</v>
      </c>
      <c r="L249" s="32" t="s">
        <v>1085</v>
      </c>
      <c r="M249" s="31">
        <f>17300</f>
        <v>17300</v>
      </c>
      <c r="N249" s="32" t="s">
        <v>851</v>
      </c>
      <c r="O249" s="31">
        <f>15765</f>
        <v>15765</v>
      </c>
      <c r="P249" s="32" t="s">
        <v>663</v>
      </c>
      <c r="Q249" s="31">
        <f>15940</f>
        <v>15940</v>
      </c>
      <c r="R249" s="32" t="s">
        <v>661</v>
      </c>
      <c r="S249" s="33">
        <f>16478.68</f>
        <v>16478.68</v>
      </c>
      <c r="T249" s="30">
        <f>106225</f>
        <v>106225</v>
      </c>
      <c r="U249" s="30">
        <f>4</f>
        <v>4</v>
      </c>
      <c r="V249" s="30">
        <f>1762633705</f>
        <v>1762633705</v>
      </c>
      <c r="W249" s="30">
        <f>66920</f>
        <v>66920</v>
      </c>
      <c r="X249" s="34">
        <f>19</f>
        <v>19</v>
      </c>
    </row>
    <row r="250" spans="1:24">
      <c r="A250" s="25" t="s">
        <v>1179</v>
      </c>
      <c r="B250" s="25" t="s">
        <v>1130</v>
      </c>
      <c r="C250" s="25" t="s">
        <v>1129</v>
      </c>
      <c r="D250" s="25" t="s">
        <v>1128</v>
      </c>
      <c r="E250" s="26" t="s">
        <v>43</v>
      </c>
      <c r="F250" s="27" t="s">
        <v>43</v>
      </c>
      <c r="G250" s="28" t="s">
        <v>43</v>
      </c>
      <c r="H250" s="29"/>
      <c r="I250" s="29" t="s">
        <v>44</v>
      </c>
      <c r="J250" s="30">
        <v>1</v>
      </c>
      <c r="K250" s="31">
        <f>1053</f>
        <v>1053</v>
      </c>
      <c r="L250" s="32" t="s">
        <v>1085</v>
      </c>
      <c r="M250" s="31">
        <f>1100</f>
        <v>1100</v>
      </c>
      <c r="N250" s="32" t="s">
        <v>663</v>
      </c>
      <c r="O250" s="31">
        <f>954</f>
        <v>954</v>
      </c>
      <c r="P250" s="32" t="s">
        <v>1078</v>
      </c>
      <c r="Q250" s="31">
        <f>1017</f>
        <v>1017</v>
      </c>
      <c r="R250" s="32" t="s">
        <v>661</v>
      </c>
      <c r="S250" s="33">
        <f>1027.58</f>
        <v>1027.58</v>
      </c>
      <c r="T250" s="30">
        <f>289522</f>
        <v>289522</v>
      </c>
      <c r="U250" s="30">
        <f>2</f>
        <v>2</v>
      </c>
      <c r="V250" s="30">
        <f>301705519</f>
        <v>301705519</v>
      </c>
      <c r="W250" s="30">
        <f>2103</f>
        <v>2103</v>
      </c>
      <c r="X250" s="34">
        <f>19</f>
        <v>19</v>
      </c>
    </row>
    <row r="251" spans="1:24">
      <c r="A251" s="25" t="s">
        <v>1179</v>
      </c>
      <c r="B251" s="25" t="s">
        <v>933</v>
      </c>
      <c r="C251" s="25" t="s">
        <v>934</v>
      </c>
      <c r="D251" s="25" t="s">
        <v>935</v>
      </c>
      <c r="E251" s="26" t="s">
        <v>43</v>
      </c>
      <c r="F251" s="27" t="s">
        <v>43</v>
      </c>
      <c r="G251" s="28" t="s">
        <v>43</v>
      </c>
      <c r="H251" s="29"/>
      <c r="I251" s="29" t="s">
        <v>44</v>
      </c>
      <c r="J251" s="30">
        <v>10</v>
      </c>
      <c r="K251" s="31">
        <f>259.8</f>
        <v>259.8</v>
      </c>
      <c r="L251" s="32" t="s">
        <v>1085</v>
      </c>
      <c r="M251" s="31">
        <f>259.8</f>
        <v>259.8</v>
      </c>
      <c r="N251" s="32" t="s">
        <v>1085</v>
      </c>
      <c r="O251" s="31">
        <f>238.8</f>
        <v>238.8</v>
      </c>
      <c r="P251" s="32" t="s">
        <v>662</v>
      </c>
      <c r="Q251" s="31">
        <f>251.9</f>
        <v>251.9</v>
      </c>
      <c r="R251" s="32" t="s">
        <v>661</v>
      </c>
      <c r="S251" s="33">
        <f>246.85</f>
        <v>246.85</v>
      </c>
      <c r="T251" s="30">
        <f>52480</f>
        <v>52480</v>
      </c>
      <c r="U251" s="30" t="str">
        <f>"－"</f>
        <v>－</v>
      </c>
      <c r="V251" s="30">
        <f>12939412</f>
        <v>12939412</v>
      </c>
      <c r="W251" s="30" t="str">
        <f>"－"</f>
        <v>－</v>
      </c>
      <c r="X251" s="34">
        <f>19</f>
        <v>19</v>
      </c>
    </row>
    <row r="252" spans="1:24">
      <c r="A252" s="25" t="s">
        <v>1179</v>
      </c>
      <c r="B252" s="25" t="s">
        <v>936</v>
      </c>
      <c r="C252" s="25" t="s">
        <v>937</v>
      </c>
      <c r="D252" s="25" t="s">
        <v>938</v>
      </c>
      <c r="E252" s="26" t="s">
        <v>43</v>
      </c>
      <c r="F252" s="27" t="s">
        <v>43</v>
      </c>
      <c r="G252" s="28" t="s">
        <v>43</v>
      </c>
      <c r="H252" s="29"/>
      <c r="I252" s="29" t="s">
        <v>44</v>
      </c>
      <c r="J252" s="30">
        <v>10</v>
      </c>
      <c r="K252" s="31">
        <f>772.8</f>
        <v>772.8</v>
      </c>
      <c r="L252" s="32" t="s">
        <v>1085</v>
      </c>
      <c r="M252" s="31">
        <f>787.5</f>
        <v>787.5</v>
      </c>
      <c r="N252" s="32" t="s">
        <v>851</v>
      </c>
      <c r="O252" s="31">
        <f>767</f>
        <v>767</v>
      </c>
      <c r="P252" s="32" t="s">
        <v>1077</v>
      </c>
      <c r="Q252" s="31">
        <f>782.7</f>
        <v>782.7</v>
      </c>
      <c r="R252" s="32" t="s">
        <v>661</v>
      </c>
      <c r="S252" s="33">
        <f>777.77</f>
        <v>777.77</v>
      </c>
      <c r="T252" s="30">
        <f>26794120</f>
        <v>26794120</v>
      </c>
      <c r="U252" s="30">
        <f>25800000</f>
        <v>25800000</v>
      </c>
      <c r="V252" s="30">
        <f>20843706664</f>
        <v>20843706664</v>
      </c>
      <c r="W252" s="30">
        <f>20067832000</f>
        <v>20067832000</v>
      </c>
      <c r="X252" s="34">
        <f>19</f>
        <v>19</v>
      </c>
    </row>
    <row r="253" spans="1:24">
      <c r="A253" s="25" t="s">
        <v>1179</v>
      </c>
      <c r="B253" s="25" t="s">
        <v>954</v>
      </c>
      <c r="C253" s="25" t="s">
        <v>955</v>
      </c>
      <c r="D253" s="25" t="s">
        <v>956</v>
      </c>
      <c r="E253" s="26" t="s">
        <v>43</v>
      </c>
      <c r="F253" s="27" t="s">
        <v>43</v>
      </c>
      <c r="G253" s="28" t="s">
        <v>43</v>
      </c>
      <c r="H253" s="29"/>
      <c r="I253" s="29" t="s">
        <v>44</v>
      </c>
      <c r="J253" s="30">
        <v>1</v>
      </c>
      <c r="K253" s="31">
        <f>1276</f>
        <v>1276</v>
      </c>
      <c r="L253" s="32" t="s">
        <v>1085</v>
      </c>
      <c r="M253" s="31">
        <f>1312</f>
        <v>1312</v>
      </c>
      <c r="N253" s="32" t="s">
        <v>755</v>
      </c>
      <c r="O253" s="31">
        <f>1249</f>
        <v>1249</v>
      </c>
      <c r="P253" s="32" t="s">
        <v>1080</v>
      </c>
      <c r="Q253" s="31">
        <f>1305</f>
        <v>1305</v>
      </c>
      <c r="R253" s="32" t="s">
        <v>661</v>
      </c>
      <c r="S253" s="33">
        <f>1278.21</f>
        <v>1278.21</v>
      </c>
      <c r="T253" s="30">
        <f>74667</f>
        <v>74667</v>
      </c>
      <c r="U253" s="30">
        <f>4</f>
        <v>4</v>
      </c>
      <c r="V253" s="30">
        <f>95806745</f>
        <v>95806745</v>
      </c>
      <c r="W253" s="30">
        <f>5052</f>
        <v>5052</v>
      </c>
      <c r="X253" s="34">
        <f>19</f>
        <v>19</v>
      </c>
    </row>
    <row r="254" spans="1:24">
      <c r="A254" s="25" t="s">
        <v>1179</v>
      </c>
      <c r="B254" s="25" t="s">
        <v>957</v>
      </c>
      <c r="C254" s="25" t="s">
        <v>958</v>
      </c>
      <c r="D254" s="25" t="s">
        <v>959</v>
      </c>
      <c r="E254" s="26" t="s">
        <v>43</v>
      </c>
      <c r="F254" s="27" t="s">
        <v>43</v>
      </c>
      <c r="G254" s="28" t="s">
        <v>43</v>
      </c>
      <c r="H254" s="29"/>
      <c r="I254" s="29" t="s">
        <v>44</v>
      </c>
      <c r="J254" s="30">
        <v>1</v>
      </c>
      <c r="K254" s="31">
        <f>1229</f>
        <v>1229</v>
      </c>
      <c r="L254" s="32" t="s">
        <v>1085</v>
      </c>
      <c r="M254" s="31">
        <f>1249</f>
        <v>1249</v>
      </c>
      <c r="N254" s="32" t="s">
        <v>850</v>
      </c>
      <c r="O254" s="31">
        <f>1208</f>
        <v>1208</v>
      </c>
      <c r="P254" s="32" t="s">
        <v>1080</v>
      </c>
      <c r="Q254" s="31">
        <f>1238</f>
        <v>1238</v>
      </c>
      <c r="R254" s="32" t="s">
        <v>661</v>
      </c>
      <c r="S254" s="33">
        <f>1229.42</f>
        <v>1229.42</v>
      </c>
      <c r="T254" s="30">
        <f>150405</f>
        <v>150405</v>
      </c>
      <c r="U254" s="30">
        <f>7</f>
        <v>7</v>
      </c>
      <c r="V254" s="30">
        <f>184704543</f>
        <v>184704543</v>
      </c>
      <c r="W254" s="30">
        <f>8474</f>
        <v>8474</v>
      </c>
      <c r="X254" s="34">
        <f>19</f>
        <v>19</v>
      </c>
    </row>
    <row r="255" spans="1:24">
      <c r="A255" s="25" t="s">
        <v>1179</v>
      </c>
      <c r="B255" s="25" t="s">
        <v>960</v>
      </c>
      <c r="C255" s="25" t="s">
        <v>961</v>
      </c>
      <c r="D255" s="25" t="s">
        <v>962</v>
      </c>
      <c r="E255" s="26" t="s">
        <v>43</v>
      </c>
      <c r="F255" s="27" t="s">
        <v>43</v>
      </c>
      <c r="G255" s="28" t="s">
        <v>43</v>
      </c>
      <c r="H255" s="29"/>
      <c r="I255" s="29" t="s">
        <v>44</v>
      </c>
      <c r="J255" s="30">
        <v>1</v>
      </c>
      <c r="K255" s="31">
        <f>870</f>
        <v>870</v>
      </c>
      <c r="L255" s="32" t="s">
        <v>1085</v>
      </c>
      <c r="M255" s="31">
        <f>954</f>
        <v>954</v>
      </c>
      <c r="N255" s="32" t="s">
        <v>859</v>
      </c>
      <c r="O255" s="31">
        <f>848</f>
        <v>848</v>
      </c>
      <c r="P255" s="32" t="s">
        <v>1077</v>
      </c>
      <c r="Q255" s="31">
        <f>921</f>
        <v>921</v>
      </c>
      <c r="R255" s="32" t="s">
        <v>661</v>
      </c>
      <c r="S255" s="33">
        <f>896.79</f>
        <v>896.79</v>
      </c>
      <c r="T255" s="30">
        <f>125069</f>
        <v>125069</v>
      </c>
      <c r="U255" s="30">
        <f>2</f>
        <v>2</v>
      </c>
      <c r="V255" s="30">
        <f>111269575</f>
        <v>111269575</v>
      </c>
      <c r="W255" s="30">
        <f>1735</f>
        <v>1735</v>
      </c>
      <c r="X255" s="34">
        <f>19</f>
        <v>19</v>
      </c>
    </row>
    <row r="256" spans="1:24">
      <c r="A256" s="25" t="s">
        <v>1179</v>
      </c>
      <c r="B256" s="25" t="s">
        <v>1031</v>
      </c>
      <c r="C256" s="25" t="s">
        <v>1032</v>
      </c>
      <c r="D256" s="25" t="s">
        <v>1033</v>
      </c>
      <c r="E256" s="26" t="s">
        <v>43</v>
      </c>
      <c r="F256" s="27" t="s">
        <v>43</v>
      </c>
      <c r="G256" s="28" t="s">
        <v>43</v>
      </c>
      <c r="H256" s="29"/>
      <c r="I256" s="29" t="s">
        <v>44</v>
      </c>
      <c r="J256" s="30">
        <v>10</v>
      </c>
      <c r="K256" s="31">
        <f>209.4</f>
        <v>209.4</v>
      </c>
      <c r="L256" s="32" t="s">
        <v>1085</v>
      </c>
      <c r="M256" s="31">
        <f>210.2</f>
        <v>210.2</v>
      </c>
      <c r="N256" s="32" t="s">
        <v>1079</v>
      </c>
      <c r="O256" s="31">
        <f>203.4</f>
        <v>203.4</v>
      </c>
      <c r="P256" s="32" t="s">
        <v>851</v>
      </c>
      <c r="Q256" s="31">
        <f>206.7</f>
        <v>206.7</v>
      </c>
      <c r="R256" s="32" t="s">
        <v>661</v>
      </c>
      <c r="S256" s="33">
        <f>206.54</f>
        <v>206.54</v>
      </c>
      <c r="T256" s="30">
        <f>11205320</f>
        <v>11205320</v>
      </c>
      <c r="U256" s="30">
        <f>2894950</f>
        <v>2894950</v>
      </c>
      <c r="V256" s="30">
        <f>2317082776</f>
        <v>2317082776</v>
      </c>
      <c r="W256" s="30">
        <f>600712972</f>
        <v>600712972</v>
      </c>
      <c r="X256" s="34">
        <f>19</f>
        <v>19</v>
      </c>
    </row>
    <row r="257" spans="1:24">
      <c r="A257" s="25" t="s">
        <v>1179</v>
      </c>
      <c r="B257" s="25" t="s">
        <v>1034</v>
      </c>
      <c r="C257" s="25" t="s">
        <v>1035</v>
      </c>
      <c r="D257" s="25" t="s">
        <v>1036</v>
      </c>
      <c r="E257" s="26" t="s">
        <v>43</v>
      </c>
      <c r="F257" s="27" t="s">
        <v>43</v>
      </c>
      <c r="G257" s="28" t="s">
        <v>43</v>
      </c>
      <c r="H257" s="29"/>
      <c r="I257" s="29" t="s">
        <v>44</v>
      </c>
      <c r="J257" s="30">
        <v>10</v>
      </c>
      <c r="K257" s="31">
        <f>223.3</f>
        <v>223.3</v>
      </c>
      <c r="L257" s="32" t="s">
        <v>1085</v>
      </c>
      <c r="M257" s="31">
        <f>225.2</f>
        <v>225.2</v>
      </c>
      <c r="N257" s="32" t="s">
        <v>1085</v>
      </c>
      <c r="O257" s="31">
        <f>212.5</f>
        <v>212.5</v>
      </c>
      <c r="P257" s="32" t="s">
        <v>661</v>
      </c>
      <c r="Q257" s="31">
        <f>213.1</f>
        <v>213.1</v>
      </c>
      <c r="R257" s="32" t="s">
        <v>661</v>
      </c>
      <c r="S257" s="33">
        <f>214.87</f>
        <v>214.87</v>
      </c>
      <c r="T257" s="30">
        <f>996070</f>
        <v>996070</v>
      </c>
      <c r="U257" s="30" t="str">
        <f>"－"</f>
        <v>－</v>
      </c>
      <c r="V257" s="30">
        <f>215208242</f>
        <v>215208242</v>
      </c>
      <c r="W257" s="30" t="str">
        <f>"－"</f>
        <v>－</v>
      </c>
      <c r="X257" s="34">
        <f>19</f>
        <v>19</v>
      </c>
    </row>
    <row r="258" spans="1:24">
      <c r="A258" s="25" t="s">
        <v>1179</v>
      </c>
      <c r="B258" s="25" t="s">
        <v>1037</v>
      </c>
      <c r="C258" s="25" t="s">
        <v>1038</v>
      </c>
      <c r="D258" s="25" t="s">
        <v>1039</v>
      </c>
      <c r="E258" s="26" t="s">
        <v>43</v>
      </c>
      <c r="F258" s="27" t="s">
        <v>43</v>
      </c>
      <c r="G258" s="28" t="s">
        <v>43</v>
      </c>
      <c r="H258" s="29"/>
      <c r="I258" s="29" t="s">
        <v>44</v>
      </c>
      <c r="J258" s="30">
        <v>10</v>
      </c>
      <c r="K258" s="31">
        <f>219.2</f>
        <v>219.2</v>
      </c>
      <c r="L258" s="32" t="s">
        <v>1085</v>
      </c>
      <c r="M258" s="31">
        <f>221</f>
        <v>221</v>
      </c>
      <c r="N258" s="32" t="s">
        <v>1079</v>
      </c>
      <c r="O258" s="31">
        <f>214.1</f>
        <v>214.1</v>
      </c>
      <c r="P258" s="32" t="s">
        <v>1080</v>
      </c>
      <c r="Q258" s="31">
        <f>215.5</f>
        <v>215.5</v>
      </c>
      <c r="R258" s="32" t="s">
        <v>661</v>
      </c>
      <c r="S258" s="33">
        <f>216.53</f>
        <v>216.53</v>
      </c>
      <c r="T258" s="30">
        <f>552410</f>
        <v>552410</v>
      </c>
      <c r="U258" s="30">
        <f>4090</f>
        <v>4090</v>
      </c>
      <c r="V258" s="30">
        <f>119824544</f>
        <v>119824544</v>
      </c>
      <c r="W258" s="30">
        <f>826844</f>
        <v>826844</v>
      </c>
      <c r="X258" s="34">
        <f>19</f>
        <v>19</v>
      </c>
    </row>
    <row r="259" spans="1:24">
      <c r="A259" s="25" t="s">
        <v>1179</v>
      </c>
      <c r="B259" s="25" t="s">
        <v>1040</v>
      </c>
      <c r="C259" s="25" t="s">
        <v>1041</v>
      </c>
      <c r="D259" s="25" t="s">
        <v>1042</v>
      </c>
      <c r="E259" s="26" t="s">
        <v>43</v>
      </c>
      <c r="F259" s="27" t="s">
        <v>43</v>
      </c>
      <c r="G259" s="28" t="s">
        <v>43</v>
      </c>
      <c r="H259" s="29"/>
      <c r="I259" s="29" t="s">
        <v>44</v>
      </c>
      <c r="J259" s="30">
        <v>10</v>
      </c>
      <c r="K259" s="31">
        <f>225.4</f>
        <v>225.4</v>
      </c>
      <c r="L259" s="32" t="s">
        <v>1085</v>
      </c>
      <c r="M259" s="31">
        <f>234.7</f>
        <v>234.7</v>
      </c>
      <c r="N259" s="32" t="s">
        <v>1077</v>
      </c>
      <c r="O259" s="31">
        <f>219.8</f>
        <v>219.8</v>
      </c>
      <c r="P259" s="32" t="s">
        <v>661</v>
      </c>
      <c r="Q259" s="31">
        <f>220.9</f>
        <v>220.9</v>
      </c>
      <c r="R259" s="32" t="s">
        <v>661</v>
      </c>
      <c r="S259" s="33">
        <f>222.63</f>
        <v>222.63</v>
      </c>
      <c r="T259" s="30">
        <f>767720</f>
        <v>767720</v>
      </c>
      <c r="U259" s="30">
        <f>2260</f>
        <v>2260</v>
      </c>
      <c r="V259" s="30">
        <f>170707444</f>
        <v>170707444</v>
      </c>
      <c r="W259" s="30">
        <f>463292</f>
        <v>463292</v>
      </c>
      <c r="X259" s="34">
        <f>19</f>
        <v>19</v>
      </c>
    </row>
    <row r="260" spans="1:24">
      <c r="A260" s="25" t="s">
        <v>1179</v>
      </c>
      <c r="B260" s="25" t="s">
        <v>1043</v>
      </c>
      <c r="C260" s="25" t="s">
        <v>1044</v>
      </c>
      <c r="D260" s="25" t="s">
        <v>1045</v>
      </c>
      <c r="E260" s="26" t="s">
        <v>43</v>
      </c>
      <c r="F260" s="27" t="s">
        <v>43</v>
      </c>
      <c r="G260" s="28" t="s">
        <v>43</v>
      </c>
      <c r="H260" s="29"/>
      <c r="I260" s="29" t="s">
        <v>44</v>
      </c>
      <c r="J260" s="30">
        <v>10</v>
      </c>
      <c r="K260" s="31">
        <f>194.8</f>
        <v>194.8</v>
      </c>
      <c r="L260" s="32" t="s">
        <v>1085</v>
      </c>
      <c r="M260" s="31">
        <f>195</f>
        <v>195</v>
      </c>
      <c r="N260" s="32" t="s">
        <v>1077</v>
      </c>
      <c r="O260" s="31">
        <f>189.9</f>
        <v>189.9</v>
      </c>
      <c r="P260" s="32" t="s">
        <v>851</v>
      </c>
      <c r="Q260" s="31">
        <f>193</f>
        <v>193</v>
      </c>
      <c r="R260" s="32" t="s">
        <v>661</v>
      </c>
      <c r="S260" s="33">
        <f>192.44</f>
        <v>192.44</v>
      </c>
      <c r="T260" s="30">
        <f>1411680</f>
        <v>1411680</v>
      </c>
      <c r="U260" s="30">
        <f>1131170</f>
        <v>1131170</v>
      </c>
      <c r="V260" s="30">
        <f>272363511</f>
        <v>272363511</v>
      </c>
      <c r="W260" s="30">
        <f>218328061</f>
        <v>218328061</v>
      </c>
      <c r="X260" s="34">
        <f>19</f>
        <v>19</v>
      </c>
    </row>
    <row r="261" spans="1:24">
      <c r="A261" s="25" t="s">
        <v>1179</v>
      </c>
      <c r="B261" s="25" t="s">
        <v>1140</v>
      </c>
      <c r="C261" s="25" t="s">
        <v>1141</v>
      </c>
      <c r="D261" s="25" t="s">
        <v>1142</v>
      </c>
      <c r="E261" s="26" t="s">
        <v>43</v>
      </c>
      <c r="F261" s="27" t="s">
        <v>43</v>
      </c>
      <c r="G261" s="28" t="s">
        <v>43</v>
      </c>
      <c r="H261" s="29"/>
      <c r="I261" s="29" t="s">
        <v>44</v>
      </c>
      <c r="J261" s="30">
        <v>1</v>
      </c>
      <c r="K261" s="31">
        <f>2090</f>
        <v>2090</v>
      </c>
      <c r="L261" s="32" t="s">
        <v>1085</v>
      </c>
      <c r="M261" s="31">
        <f>2090</f>
        <v>2090</v>
      </c>
      <c r="N261" s="32" t="s">
        <v>1085</v>
      </c>
      <c r="O261" s="31">
        <f>1932</f>
        <v>1932</v>
      </c>
      <c r="P261" s="32" t="s">
        <v>1078</v>
      </c>
      <c r="Q261" s="31">
        <f>1969</f>
        <v>1969</v>
      </c>
      <c r="R261" s="32" t="s">
        <v>661</v>
      </c>
      <c r="S261" s="33">
        <f>1984.32</f>
        <v>1984.32</v>
      </c>
      <c r="T261" s="30">
        <f>976240</f>
        <v>976240</v>
      </c>
      <c r="U261" s="30">
        <f>53</f>
        <v>53</v>
      </c>
      <c r="V261" s="30">
        <f>1927587149</f>
        <v>1927587149</v>
      </c>
      <c r="W261" s="30">
        <f>105276</f>
        <v>105276</v>
      </c>
      <c r="X261" s="34">
        <f>19</f>
        <v>19</v>
      </c>
    </row>
    <row r="262" spans="1:24">
      <c r="A262" s="25" t="s">
        <v>1179</v>
      </c>
      <c r="B262" s="25" t="s">
        <v>1143</v>
      </c>
      <c r="C262" s="25" t="s">
        <v>1144</v>
      </c>
      <c r="D262" s="25" t="s">
        <v>1145</v>
      </c>
      <c r="E262" s="26" t="s">
        <v>43</v>
      </c>
      <c r="F262" s="27" t="s">
        <v>43</v>
      </c>
      <c r="G262" s="28" t="s">
        <v>43</v>
      </c>
      <c r="H262" s="29"/>
      <c r="I262" s="29" t="s">
        <v>44</v>
      </c>
      <c r="J262" s="30">
        <v>1</v>
      </c>
      <c r="K262" s="31">
        <f>1049</f>
        <v>1049</v>
      </c>
      <c r="L262" s="32" t="s">
        <v>1085</v>
      </c>
      <c r="M262" s="31">
        <f>1049</f>
        <v>1049</v>
      </c>
      <c r="N262" s="32" t="s">
        <v>1085</v>
      </c>
      <c r="O262" s="31">
        <f>994</f>
        <v>994</v>
      </c>
      <c r="P262" s="32" t="s">
        <v>662</v>
      </c>
      <c r="Q262" s="31">
        <f>1040</f>
        <v>1040</v>
      </c>
      <c r="R262" s="32" t="s">
        <v>661</v>
      </c>
      <c r="S262" s="33">
        <f>1020.32</f>
        <v>1020.32</v>
      </c>
      <c r="T262" s="30">
        <f>150213</f>
        <v>150213</v>
      </c>
      <c r="U262" s="30">
        <f>59770</f>
        <v>59770</v>
      </c>
      <c r="V262" s="30">
        <f>152635102</f>
        <v>152635102</v>
      </c>
      <c r="W262" s="30">
        <f>60733677</f>
        <v>60733677</v>
      </c>
      <c r="X262" s="34">
        <f>19</f>
        <v>19</v>
      </c>
    </row>
    <row r="263" spans="1:24">
      <c r="A263" s="25" t="s">
        <v>1179</v>
      </c>
      <c r="B263" s="25" t="s">
        <v>1146</v>
      </c>
      <c r="C263" s="25" t="s">
        <v>1147</v>
      </c>
      <c r="D263" s="25" t="s">
        <v>1148</v>
      </c>
      <c r="E263" s="26" t="s">
        <v>43</v>
      </c>
      <c r="F263" s="27" t="s">
        <v>43</v>
      </c>
      <c r="G263" s="28" t="s">
        <v>43</v>
      </c>
      <c r="H263" s="29"/>
      <c r="I263" s="29" t="s">
        <v>44</v>
      </c>
      <c r="J263" s="30">
        <v>1</v>
      </c>
      <c r="K263" s="31">
        <f>1025</f>
        <v>1025</v>
      </c>
      <c r="L263" s="32" t="s">
        <v>1085</v>
      </c>
      <c r="M263" s="31">
        <f>1026</f>
        <v>1026</v>
      </c>
      <c r="N263" s="32" t="s">
        <v>1079</v>
      </c>
      <c r="O263" s="31">
        <f>978</f>
        <v>978</v>
      </c>
      <c r="P263" s="32" t="s">
        <v>662</v>
      </c>
      <c r="Q263" s="31">
        <f>1022</f>
        <v>1022</v>
      </c>
      <c r="R263" s="32" t="s">
        <v>661</v>
      </c>
      <c r="S263" s="33">
        <f>1005.63</f>
        <v>1005.63</v>
      </c>
      <c r="T263" s="30">
        <f>1294611</f>
        <v>1294611</v>
      </c>
      <c r="U263" s="30">
        <f>580281</f>
        <v>580281</v>
      </c>
      <c r="V263" s="30">
        <f>1301075675</f>
        <v>1301075675</v>
      </c>
      <c r="W263" s="30">
        <f>589082062</f>
        <v>589082062</v>
      </c>
      <c r="X263" s="34">
        <f>19</f>
        <v>19</v>
      </c>
    </row>
    <row r="264" spans="1:24">
      <c r="A264" s="25" t="s">
        <v>1179</v>
      </c>
      <c r="B264" s="25" t="s">
        <v>1149</v>
      </c>
      <c r="C264" s="25" t="s">
        <v>1150</v>
      </c>
      <c r="D264" s="25" t="s">
        <v>1151</v>
      </c>
      <c r="E264" s="26" t="s">
        <v>43</v>
      </c>
      <c r="F264" s="27" t="s">
        <v>43</v>
      </c>
      <c r="G264" s="28" t="s">
        <v>43</v>
      </c>
      <c r="H264" s="29"/>
      <c r="I264" s="29" t="s">
        <v>44</v>
      </c>
      <c r="J264" s="30">
        <v>10</v>
      </c>
      <c r="K264" s="31">
        <f>495.2</f>
        <v>495.2</v>
      </c>
      <c r="L264" s="32" t="s">
        <v>1085</v>
      </c>
      <c r="M264" s="31">
        <f>495.2</f>
        <v>495.2</v>
      </c>
      <c r="N264" s="32" t="s">
        <v>1085</v>
      </c>
      <c r="O264" s="31">
        <f>487.1</f>
        <v>487.1</v>
      </c>
      <c r="P264" s="32" t="s">
        <v>1075</v>
      </c>
      <c r="Q264" s="31">
        <f>488.6</f>
        <v>488.6</v>
      </c>
      <c r="R264" s="32" t="s">
        <v>661</v>
      </c>
      <c r="S264" s="33">
        <f>489.47</f>
        <v>489.47</v>
      </c>
      <c r="T264" s="30">
        <f>37050</f>
        <v>37050</v>
      </c>
      <c r="U264" s="30">
        <f>30</f>
        <v>30</v>
      </c>
      <c r="V264" s="30">
        <f>18131318</f>
        <v>18131318</v>
      </c>
      <c r="W264" s="30">
        <f>14695</f>
        <v>14695</v>
      </c>
      <c r="X264" s="34">
        <f>19</f>
        <v>19</v>
      </c>
    </row>
    <row r="265" spans="1:24">
      <c r="A265" s="25" t="s">
        <v>1179</v>
      </c>
      <c r="B265" s="25" t="s">
        <v>1152</v>
      </c>
      <c r="C265" s="25" t="s">
        <v>1153</v>
      </c>
      <c r="D265" s="25" t="s">
        <v>1154</v>
      </c>
      <c r="E265" s="26" t="s">
        <v>43</v>
      </c>
      <c r="F265" s="27" t="s">
        <v>43</v>
      </c>
      <c r="G265" s="28" t="s">
        <v>43</v>
      </c>
      <c r="H265" s="29"/>
      <c r="I265" s="29" t="s">
        <v>44</v>
      </c>
      <c r="J265" s="30">
        <v>10</v>
      </c>
      <c r="K265" s="31">
        <f>184.2</f>
        <v>184.2</v>
      </c>
      <c r="L265" s="32" t="s">
        <v>1085</v>
      </c>
      <c r="M265" s="31">
        <f>184.4</f>
        <v>184.4</v>
      </c>
      <c r="N265" s="32" t="s">
        <v>1079</v>
      </c>
      <c r="O265" s="31">
        <f>172</f>
        <v>172</v>
      </c>
      <c r="P265" s="32" t="s">
        <v>851</v>
      </c>
      <c r="Q265" s="31">
        <f>177.8</f>
        <v>177.8</v>
      </c>
      <c r="R265" s="32" t="s">
        <v>661</v>
      </c>
      <c r="S265" s="33">
        <f>177.45</f>
        <v>177.45</v>
      </c>
      <c r="T265" s="30">
        <f>5016010</f>
        <v>5016010</v>
      </c>
      <c r="U265" s="30" t="str">
        <f>"－"</f>
        <v>－</v>
      </c>
      <c r="V265" s="30">
        <f>882233176</f>
        <v>882233176</v>
      </c>
      <c r="W265" s="30" t="str">
        <f>"－"</f>
        <v>－</v>
      </c>
      <c r="X265" s="34">
        <f>19</f>
        <v>19</v>
      </c>
    </row>
    <row r="266" spans="1:24">
      <c r="A266" s="25" t="s">
        <v>1179</v>
      </c>
      <c r="B266" s="25" t="s">
        <v>1155</v>
      </c>
      <c r="C266" s="25" t="s">
        <v>1156</v>
      </c>
      <c r="D266" s="25" t="s">
        <v>1157</v>
      </c>
      <c r="E266" s="26" t="s">
        <v>43</v>
      </c>
      <c r="F266" s="27" t="s">
        <v>43</v>
      </c>
      <c r="G266" s="28" t="s">
        <v>43</v>
      </c>
      <c r="H266" s="29"/>
      <c r="I266" s="29" t="s">
        <v>44</v>
      </c>
      <c r="J266" s="30">
        <v>10</v>
      </c>
      <c r="K266" s="31">
        <f>163.4</f>
        <v>163.4</v>
      </c>
      <c r="L266" s="32" t="s">
        <v>1085</v>
      </c>
      <c r="M266" s="31">
        <f>163.4</f>
        <v>163.4</v>
      </c>
      <c r="N266" s="32" t="s">
        <v>1085</v>
      </c>
      <c r="O266" s="31">
        <f>151.9</f>
        <v>151.9</v>
      </c>
      <c r="P266" s="32" t="s">
        <v>851</v>
      </c>
      <c r="Q266" s="31">
        <f>159.6</f>
        <v>159.6</v>
      </c>
      <c r="R266" s="32" t="s">
        <v>661</v>
      </c>
      <c r="S266" s="33">
        <f>157.76</f>
        <v>157.76</v>
      </c>
      <c r="T266" s="30">
        <f>2786870</f>
        <v>2786870</v>
      </c>
      <c r="U266" s="30">
        <f>50</f>
        <v>50</v>
      </c>
      <c r="V266" s="30">
        <f>434055783</f>
        <v>434055783</v>
      </c>
      <c r="W266" s="30">
        <f>7398</f>
        <v>7398</v>
      </c>
      <c r="X266" s="34">
        <f>19</f>
        <v>19</v>
      </c>
    </row>
    <row r="267" spans="1:24">
      <c r="A267" s="25" t="s">
        <v>1179</v>
      </c>
      <c r="B267" s="25" t="s">
        <v>526</v>
      </c>
      <c r="C267" s="25" t="s">
        <v>527</v>
      </c>
      <c r="D267" s="25" t="s">
        <v>528</v>
      </c>
      <c r="E267" s="26" t="s">
        <v>43</v>
      </c>
      <c r="F267" s="27" t="s">
        <v>43</v>
      </c>
      <c r="G267" s="28" t="s">
        <v>43</v>
      </c>
      <c r="H267" s="29"/>
      <c r="I267" s="29" t="s">
        <v>44</v>
      </c>
      <c r="J267" s="30">
        <v>10</v>
      </c>
      <c r="K267" s="31">
        <f>901.1</f>
        <v>901.1</v>
      </c>
      <c r="L267" s="32" t="s">
        <v>1085</v>
      </c>
      <c r="M267" s="31">
        <f>903.4</f>
        <v>903.4</v>
      </c>
      <c r="N267" s="32" t="s">
        <v>661</v>
      </c>
      <c r="O267" s="31">
        <f>890.5</f>
        <v>890.5</v>
      </c>
      <c r="P267" s="32" t="s">
        <v>1080</v>
      </c>
      <c r="Q267" s="31">
        <f>902</f>
        <v>902</v>
      </c>
      <c r="R267" s="32" t="s">
        <v>661</v>
      </c>
      <c r="S267" s="33">
        <f>896.77</f>
        <v>896.77</v>
      </c>
      <c r="T267" s="30">
        <f>7771110</f>
        <v>7771110</v>
      </c>
      <c r="U267" s="30">
        <f>6571840</f>
        <v>6571840</v>
      </c>
      <c r="V267" s="30">
        <f>6969088001</f>
        <v>6969088001</v>
      </c>
      <c r="W267" s="30">
        <f>5893610503</f>
        <v>5893610503</v>
      </c>
      <c r="X267" s="34">
        <f>19</f>
        <v>19</v>
      </c>
    </row>
    <row r="268" spans="1:24">
      <c r="A268" s="25" t="s">
        <v>1179</v>
      </c>
      <c r="B268" s="25" t="s">
        <v>529</v>
      </c>
      <c r="C268" s="25" t="s">
        <v>530</v>
      </c>
      <c r="D268" s="25" t="s">
        <v>531</v>
      </c>
      <c r="E268" s="26" t="s">
        <v>43</v>
      </c>
      <c r="F268" s="27" t="s">
        <v>43</v>
      </c>
      <c r="G268" s="28" t="s">
        <v>43</v>
      </c>
      <c r="H268" s="29"/>
      <c r="I268" s="29" t="s">
        <v>44</v>
      </c>
      <c r="J268" s="30">
        <v>10</v>
      </c>
      <c r="K268" s="31">
        <f>1120</f>
        <v>1120</v>
      </c>
      <c r="L268" s="32" t="s">
        <v>1085</v>
      </c>
      <c r="M268" s="31">
        <f>1123</f>
        <v>1123</v>
      </c>
      <c r="N268" s="32" t="s">
        <v>1085</v>
      </c>
      <c r="O268" s="31">
        <f>1091.5</f>
        <v>1091.5</v>
      </c>
      <c r="P268" s="32" t="s">
        <v>739</v>
      </c>
      <c r="Q268" s="31">
        <f>1102</f>
        <v>1102</v>
      </c>
      <c r="R268" s="32" t="s">
        <v>661</v>
      </c>
      <c r="S268" s="33">
        <f>1105.39</f>
        <v>1105.3900000000001</v>
      </c>
      <c r="T268" s="30">
        <f>2579790</f>
        <v>2579790</v>
      </c>
      <c r="U268" s="30">
        <f>1625200</f>
        <v>1625200</v>
      </c>
      <c r="V268" s="30">
        <f>2858637691</f>
        <v>2858637691</v>
      </c>
      <c r="W268" s="30">
        <f>1802183206</f>
        <v>1802183206</v>
      </c>
      <c r="X268" s="34">
        <f>19</f>
        <v>19</v>
      </c>
    </row>
    <row r="269" spans="1:24">
      <c r="A269" s="25" t="s">
        <v>1179</v>
      </c>
      <c r="B269" s="25" t="s">
        <v>532</v>
      </c>
      <c r="C269" s="25" t="s">
        <v>533</v>
      </c>
      <c r="D269" s="25" t="s">
        <v>534</v>
      </c>
      <c r="E269" s="26" t="s">
        <v>43</v>
      </c>
      <c r="F269" s="27" t="s">
        <v>43</v>
      </c>
      <c r="G269" s="28" t="s">
        <v>43</v>
      </c>
      <c r="H269" s="29"/>
      <c r="I269" s="29" t="s">
        <v>44</v>
      </c>
      <c r="J269" s="30">
        <v>10</v>
      </c>
      <c r="K269" s="31">
        <f>769.8</f>
        <v>769.8</v>
      </c>
      <c r="L269" s="32" t="s">
        <v>1085</v>
      </c>
      <c r="M269" s="31">
        <f>769.9</f>
        <v>769.9</v>
      </c>
      <c r="N269" s="32" t="s">
        <v>1079</v>
      </c>
      <c r="O269" s="31">
        <f>755.2</f>
        <v>755.2</v>
      </c>
      <c r="P269" s="32" t="s">
        <v>1075</v>
      </c>
      <c r="Q269" s="31">
        <f>765.9</f>
        <v>765.9</v>
      </c>
      <c r="R269" s="32" t="s">
        <v>661</v>
      </c>
      <c r="S269" s="33">
        <f>763.57</f>
        <v>763.57</v>
      </c>
      <c r="T269" s="30">
        <f>2842990</f>
        <v>2842990</v>
      </c>
      <c r="U269" s="30">
        <f>2578220</f>
        <v>2578220</v>
      </c>
      <c r="V269" s="30">
        <f>2171193321</f>
        <v>2171193321</v>
      </c>
      <c r="W269" s="30">
        <f>1968941285</f>
        <v>1968941285</v>
      </c>
      <c r="X269" s="34">
        <f>19</f>
        <v>19</v>
      </c>
    </row>
    <row r="270" spans="1:24">
      <c r="A270" s="25" t="s">
        <v>1179</v>
      </c>
      <c r="B270" s="25" t="s">
        <v>535</v>
      </c>
      <c r="C270" s="25" t="s">
        <v>536</v>
      </c>
      <c r="D270" s="25" t="s">
        <v>537</v>
      </c>
      <c r="E270" s="26" t="s">
        <v>43</v>
      </c>
      <c r="F270" s="27" t="s">
        <v>43</v>
      </c>
      <c r="G270" s="28" t="s">
        <v>43</v>
      </c>
      <c r="H270" s="29"/>
      <c r="I270" s="29" t="s">
        <v>44</v>
      </c>
      <c r="J270" s="30">
        <v>10</v>
      </c>
      <c r="K270" s="31">
        <f>2708</f>
        <v>2708</v>
      </c>
      <c r="L270" s="32" t="s">
        <v>1085</v>
      </c>
      <c r="M270" s="31">
        <f>2783</f>
        <v>2783</v>
      </c>
      <c r="N270" s="32" t="s">
        <v>663</v>
      </c>
      <c r="O270" s="31">
        <f>2668</f>
        <v>2668</v>
      </c>
      <c r="P270" s="32" t="s">
        <v>1080</v>
      </c>
      <c r="Q270" s="31">
        <f>2752</f>
        <v>2752</v>
      </c>
      <c r="R270" s="32" t="s">
        <v>661</v>
      </c>
      <c r="S270" s="33">
        <f>2723.05</f>
        <v>2723.05</v>
      </c>
      <c r="T270" s="30">
        <f>1530020</f>
        <v>1530020</v>
      </c>
      <c r="U270" s="30">
        <f>1031100</f>
        <v>1031100</v>
      </c>
      <c r="V270" s="30">
        <f>4159461495</f>
        <v>4159461495</v>
      </c>
      <c r="W270" s="30">
        <f>2805748410</f>
        <v>2805748410</v>
      </c>
      <c r="X270" s="34">
        <f>19</f>
        <v>19</v>
      </c>
    </row>
    <row r="271" spans="1:24">
      <c r="A271" s="25" t="s">
        <v>1179</v>
      </c>
      <c r="B271" s="25" t="s">
        <v>538</v>
      </c>
      <c r="C271" s="25" t="s">
        <v>539</v>
      </c>
      <c r="D271" s="25" t="s">
        <v>540</v>
      </c>
      <c r="E271" s="26" t="s">
        <v>43</v>
      </c>
      <c r="F271" s="27" t="s">
        <v>43</v>
      </c>
      <c r="G271" s="28" t="s">
        <v>43</v>
      </c>
      <c r="H271" s="29"/>
      <c r="I271" s="29" t="s">
        <v>44</v>
      </c>
      <c r="J271" s="30">
        <v>10</v>
      </c>
      <c r="K271" s="31">
        <f>1668</f>
        <v>1668</v>
      </c>
      <c r="L271" s="32" t="s">
        <v>1085</v>
      </c>
      <c r="M271" s="31">
        <f>1715.5</f>
        <v>1715.5</v>
      </c>
      <c r="N271" s="32" t="s">
        <v>661</v>
      </c>
      <c r="O271" s="31">
        <f>1641</f>
        <v>1641</v>
      </c>
      <c r="P271" s="32" t="s">
        <v>851</v>
      </c>
      <c r="Q271" s="31">
        <f>1714</f>
        <v>1714</v>
      </c>
      <c r="R271" s="32" t="s">
        <v>661</v>
      </c>
      <c r="S271" s="33">
        <f>1680.63</f>
        <v>1680.63</v>
      </c>
      <c r="T271" s="30">
        <f>503140</f>
        <v>503140</v>
      </c>
      <c r="U271" s="30">
        <f>231100</f>
        <v>231100</v>
      </c>
      <c r="V271" s="30">
        <f>840939205</f>
        <v>840939205</v>
      </c>
      <c r="W271" s="30">
        <f>384543635</f>
        <v>384543635</v>
      </c>
      <c r="X271" s="34">
        <f>19</f>
        <v>19</v>
      </c>
    </row>
    <row r="272" spans="1:24">
      <c r="A272" s="25" t="s">
        <v>1179</v>
      </c>
      <c r="B272" s="25" t="s">
        <v>541</v>
      </c>
      <c r="C272" s="25" t="s">
        <v>542</v>
      </c>
      <c r="D272" s="25" t="s">
        <v>543</v>
      </c>
      <c r="E272" s="26" t="s">
        <v>43</v>
      </c>
      <c r="F272" s="27" t="s">
        <v>43</v>
      </c>
      <c r="G272" s="28" t="s">
        <v>43</v>
      </c>
      <c r="H272" s="29"/>
      <c r="I272" s="29" t="s">
        <v>44</v>
      </c>
      <c r="J272" s="30">
        <v>10</v>
      </c>
      <c r="K272" s="31">
        <f>1466</f>
        <v>1466</v>
      </c>
      <c r="L272" s="32" t="s">
        <v>1085</v>
      </c>
      <c r="M272" s="31">
        <f>1468</f>
        <v>1468</v>
      </c>
      <c r="N272" s="32" t="s">
        <v>850</v>
      </c>
      <c r="O272" s="31">
        <f>1416</f>
        <v>1416</v>
      </c>
      <c r="P272" s="32" t="s">
        <v>1080</v>
      </c>
      <c r="Q272" s="31">
        <f>1445</f>
        <v>1445</v>
      </c>
      <c r="R272" s="32" t="s">
        <v>661</v>
      </c>
      <c r="S272" s="33">
        <f>1444.95</f>
        <v>1444.95</v>
      </c>
      <c r="T272" s="30">
        <f>914940</f>
        <v>914940</v>
      </c>
      <c r="U272" s="30">
        <f>300850</f>
        <v>300850</v>
      </c>
      <c r="V272" s="30">
        <f>1323719005</f>
        <v>1323719005</v>
      </c>
      <c r="W272" s="30">
        <f>436212470</f>
        <v>436212470</v>
      </c>
      <c r="X272" s="34">
        <f>19</f>
        <v>19</v>
      </c>
    </row>
    <row r="273" spans="1:24">
      <c r="A273" s="25" t="s">
        <v>1179</v>
      </c>
      <c r="B273" s="25" t="s">
        <v>544</v>
      </c>
      <c r="C273" s="25" t="s">
        <v>1046</v>
      </c>
      <c r="D273" s="25" t="s">
        <v>1047</v>
      </c>
      <c r="E273" s="26" t="s">
        <v>43</v>
      </c>
      <c r="F273" s="27" t="s">
        <v>43</v>
      </c>
      <c r="G273" s="28" t="s">
        <v>43</v>
      </c>
      <c r="H273" s="29"/>
      <c r="I273" s="29" t="s">
        <v>44</v>
      </c>
      <c r="J273" s="30">
        <v>10</v>
      </c>
      <c r="K273" s="31">
        <f>502.5</f>
        <v>502.5</v>
      </c>
      <c r="L273" s="32" t="s">
        <v>1085</v>
      </c>
      <c r="M273" s="31">
        <f>516.5</f>
        <v>516.5</v>
      </c>
      <c r="N273" s="32" t="s">
        <v>859</v>
      </c>
      <c r="O273" s="31">
        <f>482.1</f>
        <v>482.1</v>
      </c>
      <c r="P273" s="32" t="s">
        <v>662</v>
      </c>
      <c r="Q273" s="31">
        <f>508.8</f>
        <v>508.8</v>
      </c>
      <c r="R273" s="32" t="s">
        <v>661</v>
      </c>
      <c r="S273" s="33">
        <f>499.07</f>
        <v>499.07</v>
      </c>
      <c r="T273" s="30">
        <f>12587550</f>
        <v>12587550</v>
      </c>
      <c r="U273" s="30">
        <f>2672870</f>
        <v>2672870</v>
      </c>
      <c r="V273" s="30">
        <f>6322506288</f>
        <v>6322506288</v>
      </c>
      <c r="W273" s="30">
        <f>1363122368</f>
        <v>1363122368</v>
      </c>
      <c r="X273" s="34">
        <f>19</f>
        <v>19</v>
      </c>
    </row>
    <row r="274" spans="1:24">
      <c r="A274" s="25" t="s">
        <v>1179</v>
      </c>
      <c r="B274" s="25" t="s">
        <v>545</v>
      </c>
      <c r="C274" s="25" t="s">
        <v>546</v>
      </c>
      <c r="D274" s="25" t="s">
        <v>547</v>
      </c>
      <c r="E274" s="26" t="s">
        <v>43</v>
      </c>
      <c r="F274" s="27" t="s">
        <v>43</v>
      </c>
      <c r="G274" s="28" t="s">
        <v>43</v>
      </c>
      <c r="H274" s="29"/>
      <c r="I274" s="29" t="s">
        <v>44</v>
      </c>
      <c r="J274" s="30">
        <v>10</v>
      </c>
      <c r="K274" s="31">
        <f>1014</f>
        <v>1014</v>
      </c>
      <c r="L274" s="32" t="s">
        <v>1085</v>
      </c>
      <c r="M274" s="31">
        <f>1052</f>
        <v>1052</v>
      </c>
      <c r="N274" s="32" t="s">
        <v>1078</v>
      </c>
      <c r="O274" s="31">
        <f>992.3</f>
        <v>992.3</v>
      </c>
      <c r="P274" s="32" t="s">
        <v>756</v>
      </c>
      <c r="Q274" s="31">
        <f>1045</f>
        <v>1045</v>
      </c>
      <c r="R274" s="32" t="s">
        <v>661</v>
      </c>
      <c r="S274" s="33">
        <f>1011.34</f>
        <v>1011.34</v>
      </c>
      <c r="T274" s="30">
        <f>1110470</f>
        <v>1110470</v>
      </c>
      <c r="U274" s="30">
        <f>1002100</f>
        <v>1002100</v>
      </c>
      <c r="V274" s="30">
        <f>1112332686</f>
        <v>1112332686</v>
      </c>
      <c r="W274" s="30">
        <f>1002612594</f>
        <v>1002612594</v>
      </c>
      <c r="X274" s="34">
        <f>19</f>
        <v>19</v>
      </c>
    </row>
    <row r="275" spans="1:24">
      <c r="A275" s="25" t="s">
        <v>1179</v>
      </c>
      <c r="B275" s="25" t="s">
        <v>548</v>
      </c>
      <c r="C275" s="25" t="s">
        <v>549</v>
      </c>
      <c r="D275" s="25" t="s">
        <v>550</v>
      </c>
      <c r="E275" s="26" t="s">
        <v>43</v>
      </c>
      <c r="F275" s="27" t="s">
        <v>43</v>
      </c>
      <c r="G275" s="28" t="s">
        <v>43</v>
      </c>
      <c r="H275" s="29"/>
      <c r="I275" s="29" t="s">
        <v>44</v>
      </c>
      <c r="J275" s="30">
        <v>1</v>
      </c>
      <c r="K275" s="31">
        <f>1617</f>
        <v>1617</v>
      </c>
      <c r="L275" s="32" t="s">
        <v>1085</v>
      </c>
      <c r="M275" s="31">
        <f>1625</f>
        <v>1625</v>
      </c>
      <c r="N275" s="32" t="s">
        <v>661</v>
      </c>
      <c r="O275" s="31">
        <f>1545</f>
        <v>1545</v>
      </c>
      <c r="P275" s="32" t="s">
        <v>662</v>
      </c>
      <c r="Q275" s="31">
        <f>1625</f>
        <v>1625</v>
      </c>
      <c r="R275" s="32" t="s">
        <v>661</v>
      </c>
      <c r="S275" s="33">
        <f>1593.53</f>
        <v>1593.53</v>
      </c>
      <c r="T275" s="30">
        <f>51148</f>
        <v>51148</v>
      </c>
      <c r="U275" s="30">
        <f>2</f>
        <v>2</v>
      </c>
      <c r="V275" s="30">
        <f>81206577</f>
        <v>81206577</v>
      </c>
      <c r="W275" s="30">
        <f>3207</f>
        <v>3207</v>
      </c>
      <c r="X275" s="34">
        <f>19</f>
        <v>19</v>
      </c>
    </row>
    <row r="276" spans="1:24">
      <c r="A276" s="25" t="s">
        <v>1179</v>
      </c>
      <c r="B276" s="25" t="s">
        <v>551</v>
      </c>
      <c r="C276" s="25" t="s">
        <v>552</v>
      </c>
      <c r="D276" s="25" t="s">
        <v>553</v>
      </c>
      <c r="E276" s="26" t="s">
        <v>43</v>
      </c>
      <c r="F276" s="27" t="s">
        <v>43</v>
      </c>
      <c r="G276" s="28" t="s">
        <v>43</v>
      </c>
      <c r="H276" s="29"/>
      <c r="I276" s="29" t="s">
        <v>44</v>
      </c>
      <c r="J276" s="30">
        <v>10</v>
      </c>
      <c r="K276" s="31">
        <f>1121</f>
        <v>1121</v>
      </c>
      <c r="L276" s="32" t="s">
        <v>1085</v>
      </c>
      <c r="M276" s="31">
        <f>1135</f>
        <v>1135</v>
      </c>
      <c r="N276" s="32" t="s">
        <v>1078</v>
      </c>
      <c r="O276" s="31">
        <f>1096.5</f>
        <v>1096.5</v>
      </c>
      <c r="P276" s="32" t="s">
        <v>662</v>
      </c>
      <c r="Q276" s="31">
        <f>1117</f>
        <v>1117</v>
      </c>
      <c r="R276" s="32" t="s">
        <v>661</v>
      </c>
      <c r="S276" s="33">
        <f>1117.63</f>
        <v>1117.6300000000001</v>
      </c>
      <c r="T276" s="30">
        <f>51850</f>
        <v>51850</v>
      </c>
      <c r="U276" s="30">
        <f>120</f>
        <v>120</v>
      </c>
      <c r="V276" s="30">
        <f>57928270</f>
        <v>57928270</v>
      </c>
      <c r="W276" s="30">
        <f>134705</f>
        <v>134705</v>
      </c>
      <c r="X276" s="34">
        <f>19</f>
        <v>19</v>
      </c>
    </row>
    <row r="277" spans="1:24">
      <c r="A277" s="25" t="s">
        <v>1179</v>
      </c>
      <c r="B277" s="25" t="s">
        <v>554</v>
      </c>
      <c r="C277" s="25" t="s">
        <v>555</v>
      </c>
      <c r="D277" s="25" t="s">
        <v>556</v>
      </c>
      <c r="E277" s="26" t="s">
        <v>43</v>
      </c>
      <c r="F277" s="27" t="s">
        <v>43</v>
      </c>
      <c r="G277" s="28" t="s">
        <v>43</v>
      </c>
      <c r="H277" s="29"/>
      <c r="I277" s="29" t="s">
        <v>44</v>
      </c>
      <c r="J277" s="30">
        <v>10</v>
      </c>
      <c r="K277" s="31">
        <f>1479</f>
        <v>1479</v>
      </c>
      <c r="L277" s="32" t="s">
        <v>1085</v>
      </c>
      <c r="M277" s="31">
        <f>1500</f>
        <v>1500</v>
      </c>
      <c r="N277" s="32" t="s">
        <v>1085</v>
      </c>
      <c r="O277" s="31">
        <f>1428</f>
        <v>1428</v>
      </c>
      <c r="P277" s="32" t="s">
        <v>1080</v>
      </c>
      <c r="Q277" s="31">
        <f>1485</f>
        <v>1485</v>
      </c>
      <c r="R277" s="32" t="s">
        <v>661</v>
      </c>
      <c r="S277" s="33">
        <f>1462.76</f>
        <v>1462.76</v>
      </c>
      <c r="T277" s="30">
        <f>67410</f>
        <v>67410</v>
      </c>
      <c r="U277" s="30">
        <f>10</f>
        <v>10</v>
      </c>
      <c r="V277" s="30">
        <f>98717950</f>
        <v>98717950</v>
      </c>
      <c r="W277" s="30">
        <f>14650</f>
        <v>14650</v>
      </c>
      <c r="X277" s="34">
        <f>19</f>
        <v>19</v>
      </c>
    </row>
    <row r="278" spans="1:24">
      <c r="A278" s="25" t="s">
        <v>1179</v>
      </c>
      <c r="B278" s="25" t="s">
        <v>557</v>
      </c>
      <c r="C278" s="25" t="s">
        <v>558</v>
      </c>
      <c r="D278" s="25" t="s">
        <v>559</v>
      </c>
      <c r="E278" s="26" t="s">
        <v>43</v>
      </c>
      <c r="F278" s="27" t="s">
        <v>43</v>
      </c>
      <c r="G278" s="28" t="s">
        <v>43</v>
      </c>
      <c r="H278" s="29"/>
      <c r="I278" s="29" t="s">
        <v>44</v>
      </c>
      <c r="J278" s="30">
        <v>10</v>
      </c>
      <c r="K278" s="31">
        <f>1793.5</f>
        <v>1793.5</v>
      </c>
      <c r="L278" s="32" t="s">
        <v>1085</v>
      </c>
      <c r="M278" s="31">
        <f>1823</f>
        <v>1823</v>
      </c>
      <c r="N278" s="32" t="s">
        <v>663</v>
      </c>
      <c r="O278" s="31">
        <f>1759</f>
        <v>1759</v>
      </c>
      <c r="P278" s="32" t="s">
        <v>851</v>
      </c>
      <c r="Q278" s="31">
        <f>1812</f>
        <v>1812</v>
      </c>
      <c r="R278" s="32" t="s">
        <v>661</v>
      </c>
      <c r="S278" s="33">
        <f>1791.87</f>
        <v>1791.87</v>
      </c>
      <c r="T278" s="30">
        <f>5750510</f>
        <v>5750510</v>
      </c>
      <c r="U278" s="30">
        <f>4386910</f>
        <v>4386910</v>
      </c>
      <c r="V278" s="30">
        <f>10307254152</f>
        <v>10307254152</v>
      </c>
      <c r="W278" s="30">
        <f>7872216667</f>
        <v>7872216667</v>
      </c>
      <c r="X278" s="34">
        <f>19</f>
        <v>19</v>
      </c>
    </row>
    <row r="279" spans="1:24">
      <c r="A279" s="25" t="s">
        <v>1179</v>
      </c>
      <c r="B279" s="25" t="s">
        <v>560</v>
      </c>
      <c r="C279" s="25" t="s">
        <v>561</v>
      </c>
      <c r="D279" s="25" t="s">
        <v>562</v>
      </c>
      <c r="E279" s="26" t="s">
        <v>43</v>
      </c>
      <c r="F279" s="27" t="s">
        <v>43</v>
      </c>
      <c r="G279" s="28" t="s">
        <v>43</v>
      </c>
      <c r="H279" s="29"/>
      <c r="I279" s="29" t="s">
        <v>44</v>
      </c>
      <c r="J279" s="30">
        <v>1</v>
      </c>
      <c r="K279" s="31">
        <f>5830</f>
        <v>5830</v>
      </c>
      <c r="L279" s="32" t="s">
        <v>1085</v>
      </c>
      <c r="M279" s="31">
        <f>6150</f>
        <v>6150</v>
      </c>
      <c r="N279" s="32" t="s">
        <v>663</v>
      </c>
      <c r="O279" s="31">
        <f>5720</f>
        <v>5720</v>
      </c>
      <c r="P279" s="32" t="s">
        <v>1080</v>
      </c>
      <c r="Q279" s="31">
        <f>5940</f>
        <v>5940</v>
      </c>
      <c r="R279" s="32" t="s">
        <v>661</v>
      </c>
      <c r="S279" s="33">
        <f>5921.05</f>
        <v>5921.05</v>
      </c>
      <c r="T279" s="30">
        <f>134824</f>
        <v>134824</v>
      </c>
      <c r="U279" s="30" t="str">
        <f>"－"</f>
        <v>－</v>
      </c>
      <c r="V279" s="30">
        <f>798887580</f>
        <v>798887580</v>
      </c>
      <c r="W279" s="30" t="str">
        <f>"－"</f>
        <v>－</v>
      </c>
      <c r="X279" s="34">
        <f>19</f>
        <v>19</v>
      </c>
    </row>
    <row r="280" spans="1:24">
      <c r="A280" s="25" t="s">
        <v>1179</v>
      </c>
      <c r="B280" s="25" t="s">
        <v>563</v>
      </c>
      <c r="C280" s="25" t="s">
        <v>564</v>
      </c>
      <c r="D280" s="25" t="s">
        <v>565</v>
      </c>
      <c r="E280" s="26" t="s">
        <v>43</v>
      </c>
      <c r="F280" s="27" t="s">
        <v>43</v>
      </c>
      <c r="G280" s="28" t="s">
        <v>43</v>
      </c>
      <c r="H280" s="29"/>
      <c r="I280" s="29" t="s">
        <v>44</v>
      </c>
      <c r="J280" s="30">
        <v>10</v>
      </c>
      <c r="K280" s="31">
        <f>2259</f>
        <v>2259</v>
      </c>
      <c r="L280" s="32" t="s">
        <v>739</v>
      </c>
      <c r="M280" s="31">
        <f>2333.5</f>
        <v>2333.5</v>
      </c>
      <c r="N280" s="32" t="s">
        <v>1075</v>
      </c>
      <c r="O280" s="31">
        <f>2204</f>
        <v>2204</v>
      </c>
      <c r="P280" s="32" t="s">
        <v>755</v>
      </c>
      <c r="Q280" s="31">
        <f>2306.5</f>
        <v>2306.5</v>
      </c>
      <c r="R280" s="32" t="s">
        <v>755</v>
      </c>
      <c r="S280" s="33">
        <f>2298.38</f>
        <v>2298.38</v>
      </c>
      <c r="T280" s="30">
        <f>2170</f>
        <v>2170</v>
      </c>
      <c r="U280" s="30" t="str">
        <f>"－"</f>
        <v>－</v>
      </c>
      <c r="V280" s="30">
        <f>4944235</f>
        <v>4944235</v>
      </c>
      <c r="W280" s="30" t="str">
        <f>"－"</f>
        <v>－</v>
      </c>
      <c r="X280" s="34">
        <f>4</f>
        <v>4</v>
      </c>
    </row>
    <row r="281" spans="1:24">
      <c r="A281" s="25" t="s">
        <v>1179</v>
      </c>
      <c r="B281" s="25" t="s">
        <v>566</v>
      </c>
      <c r="C281" s="25" t="s">
        <v>567</v>
      </c>
      <c r="D281" s="25" t="s">
        <v>568</v>
      </c>
      <c r="E281" s="26" t="s">
        <v>43</v>
      </c>
      <c r="F281" s="27" t="s">
        <v>43</v>
      </c>
      <c r="G281" s="28" t="s">
        <v>43</v>
      </c>
      <c r="H281" s="29"/>
      <c r="I281" s="29" t="s">
        <v>44</v>
      </c>
      <c r="J281" s="30">
        <v>10</v>
      </c>
      <c r="K281" s="31">
        <f>2864.5</f>
        <v>2864.5</v>
      </c>
      <c r="L281" s="32" t="s">
        <v>1085</v>
      </c>
      <c r="M281" s="31">
        <f>2873.5</f>
        <v>2873.5</v>
      </c>
      <c r="N281" s="32" t="s">
        <v>661</v>
      </c>
      <c r="O281" s="31">
        <f>2729</f>
        <v>2729</v>
      </c>
      <c r="P281" s="32" t="s">
        <v>662</v>
      </c>
      <c r="Q281" s="31">
        <f>2867</f>
        <v>2867</v>
      </c>
      <c r="R281" s="32" t="s">
        <v>661</v>
      </c>
      <c r="S281" s="33">
        <f>2815.32</f>
        <v>2815.32</v>
      </c>
      <c r="T281" s="30">
        <f>471770</f>
        <v>471770</v>
      </c>
      <c r="U281" s="30">
        <f>50410</f>
        <v>50410</v>
      </c>
      <c r="V281" s="30">
        <f>1334145000</f>
        <v>1334145000</v>
      </c>
      <c r="W281" s="30">
        <f>143231440</f>
        <v>143231440</v>
      </c>
      <c r="X281" s="34">
        <f>19</f>
        <v>19</v>
      </c>
    </row>
    <row r="282" spans="1:24">
      <c r="A282" s="25" t="s">
        <v>1179</v>
      </c>
      <c r="B282" s="25" t="s">
        <v>569</v>
      </c>
      <c r="C282" s="25" t="s">
        <v>570</v>
      </c>
      <c r="D282" s="25" t="s">
        <v>571</v>
      </c>
      <c r="E282" s="26" t="s">
        <v>43</v>
      </c>
      <c r="F282" s="27" t="s">
        <v>43</v>
      </c>
      <c r="G282" s="28" t="s">
        <v>43</v>
      </c>
      <c r="H282" s="29"/>
      <c r="I282" s="29" t="s">
        <v>44</v>
      </c>
      <c r="J282" s="30">
        <v>1</v>
      </c>
      <c r="K282" s="31">
        <f>40300</f>
        <v>40300</v>
      </c>
      <c r="L282" s="32" t="s">
        <v>1085</v>
      </c>
      <c r="M282" s="31">
        <f>40510</f>
        <v>40510</v>
      </c>
      <c r="N282" s="32" t="s">
        <v>1079</v>
      </c>
      <c r="O282" s="31">
        <f>38410</f>
        <v>38410</v>
      </c>
      <c r="P282" s="32" t="s">
        <v>662</v>
      </c>
      <c r="Q282" s="31">
        <f>40020</f>
        <v>40020</v>
      </c>
      <c r="R282" s="32" t="s">
        <v>661</v>
      </c>
      <c r="S282" s="33">
        <f>39662.22</f>
        <v>39662.22</v>
      </c>
      <c r="T282" s="30">
        <f>85141</f>
        <v>85141</v>
      </c>
      <c r="U282" s="30">
        <f>11484</f>
        <v>11484</v>
      </c>
      <c r="V282" s="30">
        <f>3378143041</f>
        <v>3378143041</v>
      </c>
      <c r="W282" s="30">
        <f>459782851</f>
        <v>459782851</v>
      </c>
      <c r="X282" s="34">
        <f>18</f>
        <v>18</v>
      </c>
    </row>
    <row r="283" spans="1:24">
      <c r="A283" s="25" t="s">
        <v>1179</v>
      </c>
      <c r="B283" s="25" t="s">
        <v>572</v>
      </c>
      <c r="C283" s="25" t="s">
        <v>573</v>
      </c>
      <c r="D283" s="25" t="s">
        <v>574</v>
      </c>
      <c r="E283" s="26" t="s">
        <v>43</v>
      </c>
      <c r="F283" s="27" t="s">
        <v>43</v>
      </c>
      <c r="G283" s="28" t="s">
        <v>43</v>
      </c>
      <c r="H283" s="29"/>
      <c r="I283" s="29" t="s">
        <v>44</v>
      </c>
      <c r="J283" s="30">
        <v>1</v>
      </c>
      <c r="K283" s="31">
        <f>25915</f>
        <v>25915</v>
      </c>
      <c r="L283" s="32" t="s">
        <v>1085</v>
      </c>
      <c r="M283" s="31">
        <f>25915</f>
        <v>25915</v>
      </c>
      <c r="N283" s="32" t="s">
        <v>1085</v>
      </c>
      <c r="O283" s="31">
        <f>24920</f>
        <v>24920</v>
      </c>
      <c r="P283" s="32" t="s">
        <v>851</v>
      </c>
      <c r="Q283" s="31">
        <f>25710</f>
        <v>25710</v>
      </c>
      <c r="R283" s="32" t="s">
        <v>661</v>
      </c>
      <c r="S283" s="33">
        <f>25463.5</f>
        <v>25463.5</v>
      </c>
      <c r="T283" s="30">
        <f>10715</f>
        <v>10715</v>
      </c>
      <c r="U283" s="30">
        <f>3934</f>
        <v>3934</v>
      </c>
      <c r="V283" s="30">
        <f>273273587</f>
        <v>273273587</v>
      </c>
      <c r="W283" s="30">
        <f>99695202</f>
        <v>99695202</v>
      </c>
      <c r="X283" s="34">
        <f>10</f>
        <v>10</v>
      </c>
    </row>
    <row r="284" spans="1:24">
      <c r="A284" s="25" t="s">
        <v>1179</v>
      </c>
      <c r="B284" s="25" t="s">
        <v>575</v>
      </c>
      <c r="C284" s="25" t="s">
        <v>576</v>
      </c>
      <c r="D284" s="25" t="s">
        <v>577</v>
      </c>
      <c r="E284" s="26" t="s">
        <v>43</v>
      </c>
      <c r="F284" s="27" t="s">
        <v>43</v>
      </c>
      <c r="G284" s="28" t="s">
        <v>43</v>
      </c>
      <c r="H284" s="29"/>
      <c r="I284" s="29" t="s">
        <v>44</v>
      </c>
      <c r="J284" s="30">
        <v>10</v>
      </c>
      <c r="K284" s="31">
        <f>1033</f>
        <v>1033</v>
      </c>
      <c r="L284" s="32" t="s">
        <v>1085</v>
      </c>
      <c r="M284" s="31">
        <f>1039</f>
        <v>1039</v>
      </c>
      <c r="N284" s="32" t="s">
        <v>1078</v>
      </c>
      <c r="O284" s="31">
        <f>989</f>
        <v>989</v>
      </c>
      <c r="P284" s="32" t="s">
        <v>756</v>
      </c>
      <c r="Q284" s="31">
        <f>1036.5</f>
        <v>1036.5</v>
      </c>
      <c r="R284" s="32" t="s">
        <v>661</v>
      </c>
      <c r="S284" s="33">
        <f>1012.39</f>
        <v>1012.39</v>
      </c>
      <c r="T284" s="30">
        <f>37260</f>
        <v>37260</v>
      </c>
      <c r="U284" s="30">
        <f>10</f>
        <v>10</v>
      </c>
      <c r="V284" s="30">
        <f>37701462</f>
        <v>37701462</v>
      </c>
      <c r="W284" s="30">
        <f>9951</f>
        <v>9951</v>
      </c>
      <c r="X284" s="34">
        <f>18</f>
        <v>18</v>
      </c>
    </row>
    <row r="285" spans="1:24">
      <c r="A285" s="25" t="s">
        <v>1179</v>
      </c>
      <c r="B285" s="25" t="s">
        <v>578</v>
      </c>
      <c r="C285" s="25" t="s">
        <v>918</v>
      </c>
      <c r="D285" s="25" t="s">
        <v>919</v>
      </c>
      <c r="E285" s="26" t="s">
        <v>43</v>
      </c>
      <c r="F285" s="27" t="s">
        <v>43</v>
      </c>
      <c r="G285" s="28" t="s">
        <v>43</v>
      </c>
      <c r="H285" s="29"/>
      <c r="I285" s="29" t="s">
        <v>44</v>
      </c>
      <c r="J285" s="30">
        <v>1</v>
      </c>
      <c r="K285" s="31">
        <f>1011</f>
        <v>1011</v>
      </c>
      <c r="L285" s="32" t="s">
        <v>1085</v>
      </c>
      <c r="M285" s="31">
        <f>1043</f>
        <v>1043</v>
      </c>
      <c r="N285" s="32" t="s">
        <v>859</v>
      </c>
      <c r="O285" s="31">
        <f>988</f>
        <v>988</v>
      </c>
      <c r="P285" s="32" t="s">
        <v>663</v>
      </c>
      <c r="Q285" s="31">
        <f>1035</f>
        <v>1035</v>
      </c>
      <c r="R285" s="32" t="s">
        <v>661</v>
      </c>
      <c r="S285" s="33">
        <f>1007.42</f>
        <v>1007.42</v>
      </c>
      <c r="T285" s="30">
        <f>67456</f>
        <v>67456</v>
      </c>
      <c r="U285" s="30">
        <f>3</f>
        <v>3</v>
      </c>
      <c r="V285" s="30">
        <f>67980869</f>
        <v>67980869</v>
      </c>
      <c r="W285" s="30">
        <f>3011</f>
        <v>3011</v>
      </c>
      <c r="X285" s="34">
        <f>19</f>
        <v>19</v>
      </c>
    </row>
    <row r="286" spans="1:24">
      <c r="A286" s="25" t="s">
        <v>1179</v>
      </c>
      <c r="B286" s="25" t="s">
        <v>579</v>
      </c>
      <c r="C286" s="25" t="s">
        <v>580</v>
      </c>
      <c r="D286" s="25" t="s">
        <v>581</v>
      </c>
      <c r="E286" s="26" t="s">
        <v>43</v>
      </c>
      <c r="F286" s="27" t="s">
        <v>43</v>
      </c>
      <c r="G286" s="28" t="s">
        <v>43</v>
      </c>
      <c r="H286" s="29"/>
      <c r="I286" s="29" t="s">
        <v>44</v>
      </c>
      <c r="J286" s="30">
        <v>1</v>
      </c>
      <c r="K286" s="31">
        <f>1695</f>
        <v>1695</v>
      </c>
      <c r="L286" s="32" t="s">
        <v>1085</v>
      </c>
      <c r="M286" s="31">
        <f>1695</f>
        <v>1695</v>
      </c>
      <c r="N286" s="32" t="s">
        <v>1085</v>
      </c>
      <c r="O286" s="31">
        <f>1601</f>
        <v>1601</v>
      </c>
      <c r="P286" s="32" t="s">
        <v>662</v>
      </c>
      <c r="Q286" s="31">
        <f>1665</f>
        <v>1665</v>
      </c>
      <c r="R286" s="32" t="s">
        <v>661</v>
      </c>
      <c r="S286" s="33">
        <f>1644.11</f>
        <v>1644.11</v>
      </c>
      <c r="T286" s="30">
        <f>397998</f>
        <v>397998</v>
      </c>
      <c r="U286" s="30">
        <f>99476</f>
        <v>99476</v>
      </c>
      <c r="V286" s="30">
        <f>653686552</f>
        <v>653686552</v>
      </c>
      <c r="W286" s="30">
        <f>162531273</f>
        <v>162531273</v>
      </c>
      <c r="X286" s="34">
        <f>19</f>
        <v>19</v>
      </c>
    </row>
    <row r="287" spans="1:24">
      <c r="A287" s="25" t="s">
        <v>1179</v>
      </c>
      <c r="B287" s="25" t="s">
        <v>582</v>
      </c>
      <c r="C287" s="25" t="s">
        <v>583</v>
      </c>
      <c r="D287" s="25" t="s">
        <v>584</v>
      </c>
      <c r="E287" s="26" t="s">
        <v>43</v>
      </c>
      <c r="F287" s="27" t="s">
        <v>43</v>
      </c>
      <c r="G287" s="28" t="s">
        <v>43</v>
      </c>
      <c r="H287" s="29"/>
      <c r="I287" s="29" t="s">
        <v>44</v>
      </c>
      <c r="J287" s="30">
        <v>1</v>
      </c>
      <c r="K287" s="31">
        <f>14235</f>
        <v>14235</v>
      </c>
      <c r="L287" s="32" t="s">
        <v>1085</v>
      </c>
      <c r="M287" s="31">
        <f>20670</f>
        <v>20670</v>
      </c>
      <c r="N287" s="32" t="s">
        <v>859</v>
      </c>
      <c r="O287" s="31">
        <f>13980</f>
        <v>13980</v>
      </c>
      <c r="P287" s="32" t="s">
        <v>1080</v>
      </c>
      <c r="Q287" s="31">
        <f>14450</f>
        <v>14450</v>
      </c>
      <c r="R287" s="32" t="s">
        <v>661</v>
      </c>
      <c r="S287" s="33">
        <f>14606.05</f>
        <v>14606.05</v>
      </c>
      <c r="T287" s="30">
        <f>40279</f>
        <v>40279</v>
      </c>
      <c r="U287" s="30">
        <f>2</f>
        <v>2</v>
      </c>
      <c r="V287" s="30">
        <f>681251125</f>
        <v>681251125</v>
      </c>
      <c r="W287" s="30">
        <f>28605</f>
        <v>28605</v>
      </c>
      <c r="X287" s="34">
        <f>19</f>
        <v>19</v>
      </c>
    </row>
    <row r="288" spans="1:24">
      <c r="A288" s="25" t="s">
        <v>1179</v>
      </c>
      <c r="B288" s="25" t="s">
        <v>585</v>
      </c>
      <c r="C288" s="25" t="s">
        <v>586</v>
      </c>
      <c r="D288" s="25" t="s">
        <v>587</v>
      </c>
      <c r="E288" s="26" t="s">
        <v>43</v>
      </c>
      <c r="F288" s="27" t="s">
        <v>43</v>
      </c>
      <c r="G288" s="28" t="s">
        <v>43</v>
      </c>
      <c r="H288" s="29"/>
      <c r="I288" s="29" t="s">
        <v>44</v>
      </c>
      <c r="J288" s="30">
        <v>1</v>
      </c>
      <c r="K288" s="31">
        <f>1819</f>
        <v>1819</v>
      </c>
      <c r="L288" s="32" t="s">
        <v>1085</v>
      </c>
      <c r="M288" s="31">
        <f>1861</f>
        <v>1861</v>
      </c>
      <c r="N288" s="32" t="s">
        <v>859</v>
      </c>
      <c r="O288" s="31">
        <f>1762</f>
        <v>1762</v>
      </c>
      <c r="P288" s="32" t="s">
        <v>1076</v>
      </c>
      <c r="Q288" s="31">
        <f>1842</f>
        <v>1842</v>
      </c>
      <c r="R288" s="32" t="s">
        <v>661</v>
      </c>
      <c r="S288" s="33">
        <f>1796.32</f>
        <v>1796.32</v>
      </c>
      <c r="T288" s="30">
        <f>35389</f>
        <v>35389</v>
      </c>
      <c r="U288" s="30">
        <f>5500</f>
        <v>5500</v>
      </c>
      <c r="V288" s="30">
        <f>63890080</f>
        <v>63890080</v>
      </c>
      <c r="W288" s="30">
        <f>9972050</f>
        <v>9972050</v>
      </c>
      <c r="X288" s="34">
        <f>19</f>
        <v>19</v>
      </c>
    </row>
    <row r="289" spans="1:24">
      <c r="A289" s="25" t="s">
        <v>1179</v>
      </c>
      <c r="B289" s="25" t="s">
        <v>588</v>
      </c>
      <c r="C289" s="25" t="s">
        <v>589</v>
      </c>
      <c r="D289" s="25" t="s">
        <v>590</v>
      </c>
      <c r="E289" s="26" t="s">
        <v>43</v>
      </c>
      <c r="F289" s="27" t="s">
        <v>43</v>
      </c>
      <c r="G289" s="28" t="s">
        <v>43</v>
      </c>
      <c r="H289" s="29"/>
      <c r="I289" s="29" t="s">
        <v>44</v>
      </c>
      <c r="J289" s="30">
        <v>10</v>
      </c>
      <c r="K289" s="31">
        <f>1601</f>
        <v>1601</v>
      </c>
      <c r="L289" s="32" t="s">
        <v>1085</v>
      </c>
      <c r="M289" s="31">
        <f>4150</f>
        <v>4150</v>
      </c>
      <c r="N289" s="32" t="s">
        <v>859</v>
      </c>
      <c r="O289" s="31">
        <f>1571</f>
        <v>1571</v>
      </c>
      <c r="P289" s="32" t="s">
        <v>1077</v>
      </c>
      <c r="Q289" s="31">
        <f>1713.5</f>
        <v>1713.5</v>
      </c>
      <c r="R289" s="32" t="s">
        <v>661</v>
      </c>
      <c r="S289" s="33">
        <f>1771.13</f>
        <v>1771.13</v>
      </c>
      <c r="T289" s="30">
        <f>2091410</f>
        <v>2091410</v>
      </c>
      <c r="U289" s="30">
        <f>17510</f>
        <v>17510</v>
      </c>
      <c r="V289" s="30">
        <f>4963175515</f>
        <v>4963175515</v>
      </c>
      <c r="W289" s="30">
        <f>29737175</f>
        <v>29737175</v>
      </c>
      <c r="X289" s="34">
        <f>19</f>
        <v>19</v>
      </c>
    </row>
    <row r="290" spans="1:24">
      <c r="A290" s="25" t="s">
        <v>1179</v>
      </c>
      <c r="B290" s="25" t="s">
        <v>591</v>
      </c>
      <c r="C290" s="25" t="s">
        <v>664</v>
      </c>
      <c r="D290" s="25" t="s">
        <v>665</v>
      </c>
      <c r="E290" s="26" t="s">
        <v>43</v>
      </c>
      <c r="F290" s="27" t="s">
        <v>43</v>
      </c>
      <c r="G290" s="28" t="s">
        <v>43</v>
      </c>
      <c r="H290" s="29"/>
      <c r="I290" s="29" t="s">
        <v>44</v>
      </c>
      <c r="J290" s="30">
        <v>10</v>
      </c>
      <c r="K290" s="31">
        <f>780</f>
        <v>780</v>
      </c>
      <c r="L290" s="32" t="s">
        <v>1085</v>
      </c>
      <c r="M290" s="31">
        <f>789.8</f>
        <v>789.8</v>
      </c>
      <c r="N290" s="32" t="s">
        <v>1085</v>
      </c>
      <c r="O290" s="31">
        <f>773</f>
        <v>773</v>
      </c>
      <c r="P290" s="32" t="s">
        <v>851</v>
      </c>
      <c r="Q290" s="31">
        <f>785.6</f>
        <v>785.6</v>
      </c>
      <c r="R290" s="32" t="s">
        <v>661</v>
      </c>
      <c r="S290" s="33">
        <f>780.59</f>
        <v>780.59</v>
      </c>
      <c r="T290" s="30">
        <f>609350</f>
        <v>609350</v>
      </c>
      <c r="U290" s="30">
        <f>536700</f>
        <v>536700</v>
      </c>
      <c r="V290" s="30">
        <f>475772741</f>
        <v>475772741</v>
      </c>
      <c r="W290" s="30">
        <f>419151582</f>
        <v>419151582</v>
      </c>
      <c r="X290" s="34">
        <f>19</f>
        <v>19</v>
      </c>
    </row>
    <row r="291" spans="1:24">
      <c r="A291" s="25" t="s">
        <v>1179</v>
      </c>
      <c r="B291" s="25" t="s">
        <v>592</v>
      </c>
      <c r="C291" s="25" t="s">
        <v>593</v>
      </c>
      <c r="D291" s="25" t="s">
        <v>594</v>
      </c>
      <c r="E291" s="26" t="s">
        <v>43</v>
      </c>
      <c r="F291" s="27" t="s">
        <v>43</v>
      </c>
      <c r="G291" s="28" t="s">
        <v>43</v>
      </c>
      <c r="H291" s="29"/>
      <c r="I291" s="29" t="s">
        <v>44</v>
      </c>
      <c r="J291" s="30">
        <v>10</v>
      </c>
      <c r="K291" s="31">
        <f>1734.5</f>
        <v>1734.5</v>
      </c>
      <c r="L291" s="32" t="s">
        <v>1085</v>
      </c>
      <c r="M291" s="31">
        <f>1768</f>
        <v>1768</v>
      </c>
      <c r="N291" s="32" t="s">
        <v>755</v>
      </c>
      <c r="O291" s="31">
        <f>1674</f>
        <v>1674</v>
      </c>
      <c r="P291" s="32" t="s">
        <v>851</v>
      </c>
      <c r="Q291" s="31">
        <f>1765</f>
        <v>1765</v>
      </c>
      <c r="R291" s="32" t="s">
        <v>661</v>
      </c>
      <c r="S291" s="33">
        <f>1708.63</f>
        <v>1708.63</v>
      </c>
      <c r="T291" s="30">
        <f>2544460</f>
        <v>2544460</v>
      </c>
      <c r="U291" s="30">
        <f>2395130</f>
        <v>2395130</v>
      </c>
      <c r="V291" s="30">
        <f>4296256940</f>
        <v>4296256940</v>
      </c>
      <c r="W291" s="30">
        <f>4039379245</f>
        <v>4039379245</v>
      </c>
      <c r="X291" s="34">
        <f>19</f>
        <v>19</v>
      </c>
    </row>
    <row r="292" spans="1:24">
      <c r="A292" s="25" t="s">
        <v>1179</v>
      </c>
      <c r="B292" s="25" t="s">
        <v>595</v>
      </c>
      <c r="C292" s="25" t="s">
        <v>596</v>
      </c>
      <c r="D292" s="25" t="s">
        <v>597</v>
      </c>
      <c r="E292" s="26" t="s">
        <v>43</v>
      </c>
      <c r="F292" s="27" t="s">
        <v>43</v>
      </c>
      <c r="G292" s="28" t="s">
        <v>43</v>
      </c>
      <c r="H292" s="29"/>
      <c r="I292" s="29" t="s">
        <v>44</v>
      </c>
      <c r="J292" s="30">
        <v>10</v>
      </c>
      <c r="K292" s="31">
        <f>1732</f>
        <v>1732</v>
      </c>
      <c r="L292" s="32" t="s">
        <v>1085</v>
      </c>
      <c r="M292" s="31">
        <f>1765</f>
        <v>1765</v>
      </c>
      <c r="N292" s="32" t="s">
        <v>859</v>
      </c>
      <c r="O292" s="31">
        <f>1670</f>
        <v>1670</v>
      </c>
      <c r="P292" s="32" t="s">
        <v>756</v>
      </c>
      <c r="Q292" s="31">
        <f>1756</f>
        <v>1756</v>
      </c>
      <c r="R292" s="32" t="s">
        <v>661</v>
      </c>
      <c r="S292" s="33">
        <f>1705.79</f>
        <v>1705.79</v>
      </c>
      <c r="T292" s="30">
        <f>743780</f>
        <v>743780</v>
      </c>
      <c r="U292" s="30">
        <f>175460</f>
        <v>175460</v>
      </c>
      <c r="V292" s="30">
        <f>1279121735</f>
        <v>1279121735</v>
      </c>
      <c r="W292" s="30">
        <f>304114075</f>
        <v>304114075</v>
      </c>
      <c r="X292" s="34">
        <f>19</f>
        <v>19</v>
      </c>
    </row>
    <row r="293" spans="1:24">
      <c r="A293" s="25" t="s">
        <v>1179</v>
      </c>
      <c r="B293" s="25" t="s">
        <v>598</v>
      </c>
      <c r="C293" s="25" t="s">
        <v>599</v>
      </c>
      <c r="D293" s="25" t="s">
        <v>600</v>
      </c>
      <c r="E293" s="26" t="s">
        <v>43</v>
      </c>
      <c r="F293" s="27" t="s">
        <v>43</v>
      </c>
      <c r="G293" s="28" t="s">
        <v>43</v>
      </c>
      <c r="H293" s="29"/>
      <c r="I293" s="29" t="s">
        <v>44</v>
      </c>
      <c r="J293" s="30">
        <v>10</v>
      </c>
      <c r="K293" s="31">
        <f>2822</f>
        <v>2822</v>
      </c>
      <c r="L293" s="32" t="s">
        <v>1085</v>
      </c>
      <c r="M293" s="31">
        <f>2825</f>
        <v>2825</v>
      </c>
      <c r="N293" s="32" t="s">
        <v>1079</v>
      </c>
      <c r="O293" s="31">
        <f>2683.5</f>
        <v>2683.5</v>
      </c>
      <c r="P293" s="32" t="s">
        <v>662</v>
      </c>
      <c r="Q293" s="31">
        <f>2820</f>
        <v>2820</v>
      </c>
      <c r="R293" s="32" t="s">
        <v>661</v>
      </c>
      <c r="S293" s="33">
        <f>2774.71</f>
        <v>2774.71</v>
      </c>
      <c r="T293" s="30">
        <f>415990</f>
        <v>415990</v>
      </c>
      <c r="U293" s="30">
        <f>10</f>
        <v>10</v>
      </c>
      <c r="V293" s="30">
        <f>1164063165</f>
        <v>1164063165</v>
      </c>
      <c r="W293" s="30">
        <f>27850</f>
        <v>27850</v>
      </c>
      <c r="X293" s="34">
        <f>17</f>
        <v>17</v>
      </c>
    </row>
    <row r="294" spans="1:24">
      <c r="A294" s="25" t="s">
        <v>1179</v>
      </c>
      <c r="B294" s="25" t="s">
        <v>601</v>
      </c>
      <c r="C294" s="25" t="s">
        <v>602</v>
      </c>
      <c r="D294" s="25" t="s">
        <v>603</v>
      </c>
      <c r="E294" s="26" t="s">
        <v>43</v>
      </c>
      <c r="F294" s="27" t="s">
        <v>43</v>
      </c>
      <c r="G294" s="28" t="s">
        <v>43</v>
      </c>
      <c r="H294" s="29"/>
      <c r="I294" s="29" t="s">
        <v>44</v>
      </c>
      <c r="J294" s="30">
        <v>1</v>
      </c>
      <c r="K294" s="31">
        <f>26890</f>
        <v>26890</v>
      </c>
      <c r="L294" s="32" t="s">
        <v>1085</v>
      </c>
      <c r="M294" s="31">
        <f>27480</f>
        <v>27480</v>
      </c>
      <c r="N294" s="32" t="s">
        <v>663</v>
      </c>
      <c r="O294" s="31">
        <f>26400</f>
        <v>26400</v>
      </c>
      <c r="P294" s="32" t="s">
        <v>851</v>
      </c>
      <c r="Q294" s="31">
        <f>27060</f>
        <v>27060</v>
      </c>
      <c r="R294" s="32" t="s">
        <v>661</v>
      </c>
      <c r="S294" s="33">
        <f>26915.26</f>
        <v>26915.26</v>
      </c>
      <c r="T294" s="30">
        <f>880130</f>
        <v>880130</v>
      </c>
      <c r="U294" s="30">
        <f>62706</f>
        <v>62706</v>
      </c>
      <c r="V294" s="30">
        <f>23704999516</f>
        <v>23704999516</v>
      </c>
      <c r="W294" s="30">
        <f>1688207741</f>
        <v>1688207741</v>
      </c>
      <c r="X294" s="34">
        <f>19</f>
        <v>19</v>
      </c>
    </row>
    <row r="295" spans="1:24">
      <c r="A295" s="25" t="s">
        <v>1179</v>
      </c>
      <c r="B295" s="25" t="s">
        <v>604</v>
      </c>
      <c r="C295" s="25" t="s">
        <v>605</v>
      </c>
      <c r="D295" s="25" t="s">
        <v>606</v>
      </c>
      <c r="E295" s="26" t="s">
        <v>43</v>
      </c>
      <c r="F295" s="27" t="s">
        <v>43</v>
      </c>
      <c r="G295" s="28" t="s">
        <v>43</v>
      </c>
      <c r="H295" s="29"/>
      <c r="I295" s="29" t="s">
        <v>44</v>
      </c>
      <c r="J295" s="30">
        <v>1</v>
      </c>
      <c r="K295" s="31">
        <f>22000</f>
        <v>22000</v>
      </c>
      <c r="L295" s="32" t="s">
        <v>1085</v>
      </c>
      <c r="M295" s="31">
        <f>22385</f>
        <v>22385</v>
      </c>
      <c r="N295" s="32" t="s">
        <v>663</v>
      </c>
      <c r="O295" s="31">
        <f>21540</f>
        <v>21540</v>
      </c>
      <c r="P295" s="32" t="s">
        <v>1080</v>
      </c>
      <c r="Q295" s="31">
        <f>22260</f>
        <v>22260</v>
      </c>
      <c r="R295" s="32" t="s">
        <v>661</v>
      </c>
      <c r="S295" s="33">
        <f>21986.05</f>
        <v>21986.05</v>
      </c>
      <c r="T295" s="30">
        <f>258662</f>
        <v>258662</v>
      </c>
      <c r="U295" s="30">
        <f>2031</f>
        <v>2031</v>
      </c>
      <c r="V295" s="30">
        <f>5678984411</f>
        <v>5678984411</v>
      </c>
      <c r="W295" s="30">
        <f>44584616</f>
        <v>44584616</v>
      </c>
      <c r="X295" s="34">
        <f>19</f>
        <v>19</v>
      </c>
    </row>
    <row r="296" spans="1:24">
      <c r="A296" s="25" t="s">
        <v>1179</v>
      </c>
      <c r="B296" s="25" t="s">
        <v>607</v>
      </c>
      <c r="C296" s="25" t="s">
        <v>608</v>
      </c>
      <c r="D296" s="25" t="s">
        <v>609</v>
      </c>
      <c r="E296" s="26" t="s">
        <v>43</v>
      </c>
      <c r="F296" s="27" t="s">
        <v>43</v>
      </c>
      <c r="G296" s="28" t="s">
        <v>43</v>
      </c>
      <c r="H296" s="29"/>
      <c r="I296" s="29" t="s">
        <v>44</v>
      </c>
      <c r="J296" s="30">
        <v>1</v>
      </c>
      <c r="K296" s="31">
        <f>37250</f>
        <v>37250</v>
      </c>
      <c r="L296" s="32" t="s">
        <v>1085</v>
      </c>
      <c r="M296" s="31">
        <f>37250</f>
        <v>37250</v>
      </c>
      <c r="N296" s="32" t="s">
        <v>1085</v>
      </c>
      <c r="O296" s="31">
        <f>36590</f>
        <v>36590</v>
      </c>
      <c r="P296" s="32" t="s">
        <v>756</v>
      </c>
      <c r="Q296" s="31">
        <f>36800</f>
        <v>36800</v>
      </c>
      <c r="R296" s="32" t="s">
        <v>663</v>
      </c>
      <c r="S296" s="33">
        <f>36880</f>
        <v>36880</v>
      </c>
      <c r="T296" s="30">
        <f>4</f>
        <v>4</v>
      </c>
      <c r="U296" s="30" t="str">
        <f>"－"</f>
        <v>－</v>
      </c>
      <c r="V296" s="30">
        <f>147890</f>
        <v>147890</v>
      </c>
      <c r="W296" s="30" t="str">
        <f>"－"</f>
        <v>－</v>
      </c>
      <c r="X296" s="34">
        <f>3</f>
        <v>3</v>
      </c>
    </row>
    <row r="297" spans="1:24">
      <c r="A297" s="25" t="s">
        <v>1179</v>
      </c>
      <c r="B297" s="25" t="s">
        <v>610</v>
      </c>
      <c r="C297" s="25" t="s">
        <v>611</v>
      </c>
      <c r="D297" s="25" t="s">
        <v>612</v>
      </c>
      <c r="E297" s="26" t="s">
        <v>43</v>
      </c>
      <c r="F297" s="27" t="s">
        <v>43</v>
      </c>
      <c r="G297" s="28" t="s">
        <v>43</v>
      </c>
      <c r="H297" s="29"/>
      <c r="I297" s="29" t="s">
        <v>44</v>
      </c>
      <c r="J297" s="30">
        <v>1</v>
      </c>
      <c r="K297" s="31">
        <f>2332</f>
        <v>2332</v>
      </c>
      <c r="L297" s="32" t="s">
        <v>1085</v>
      </c>
      <c r="M297" s="31">
        <f>2344</f>
        <v>2344</v>
      </c>
      <c r="N297" s="32" t="s">
        <v>1079</v>
      </c>
      <c r="O297" s="31">
        <f>2298</f>
        <v>2298</v>
      </c>
      <c r="P297" s="32" t="s">
        <v>1080</v>
      </c>
      <c r="Q297" s="31">
        <f>2314</f>
        <v>2314</v>
      </c>
      <c r="R297" s="32" t="s">
        <v>661</v>
      </c>
      <c r="S297" s="33">
        <f>2316.21</f>
        <v>2316.21</v>
      </c>
      <c r="T297" s="30">
        <f>2473051</f>
        <v>2473051</v>
      </c>
      <c r="U297" s="30">
        <f>2389180</f>
        <v>2389180</v>
      </c>
      <c r="V297" s="30">
        <f>5723941043</f>
        <v>5723941043</v>
      </c>
      <c r="W297" s="30">
        <f>5529625351</f>
        <v>5529625351</v>
      </c>
      <c r="X297" s="34">
        <f>19</f>
        <v>19</v>
      </c>
    </row>
    <row r="298" spans="1:24">
      <c r="A298" s="25" t="s">
        <v>1179</v>
      </c>
      <c r="B298" s="25" t="s">
        <v>613</v>
      </c>
      <c r="C298" s="25" t="s">
        <v>614</v>
      </c>
      <c r="D298" s="25" t="s">
        <v>615</v>
      </c>
      <c r="E298" s="26" t="s">
        <v>43</v>
      </c>
      <c r="F298" s="27" t="s">
        <v>43</v>
      </c>
      <c r="G298" s="28" t="s">
        <v>43</v>
      </c>
      <c r="H298" s="29"/>
      <c r="I298" s="29" t="s">
        <v>44</v>
      </c>
      <c r="J298" s="30">
        <v>10</v>
      </c>
      <c r="K298" s="31">
        <f>3186</f>
        <v>3186</v>
      </c>
      <c r="L298" s="32" t="s">
        <v>1085</v>
      </c>
      <c r="M298" s="31">
        <f>3305</f>
        <v>3305</v>
      </c>
      <c r="N298" s="32" t="s">
        <v>661</v>
      </c>
      <c r="O298" s="31">
        <f>3115</f>
        <v>3115</v>
      </c>
      <c r="P298" s="32" t="s">
        <v>1080</v>
      </c>
      <c r="Q298" s="31">
        <f>3305</f>
        <v>3305</v>
      </c>
      <c r="R298" s="32" t="s">
        <v>661</v>
      </c>
      <c r="S298" s="33">
        <f>3206.53</f>
        <v>3206.53</v>
      </c>
      <c r="T298" s="30">
        <f>2840330</f>
        <v>2840330</v>
      </c>
      <c r="U298" s="30">
        <f>2209150</f>
        <v>2209150</v>
      </c>
      <c r="V298" s="30">
        <f>9236245030</f>
        <v>9236245030</v>
      </c>
      <c r="W298" s="30">
        <f>7203369860</f>
        <v>7203369860</v>
      </c>
      <c r="X298" s="34">
        <f>19</f>
        <v>19</v>
      </c>
    </row>
    <row r="299" spans="1:24">
      <c r="A299" s="25" t="s">
        <v>1179</v>
      </c>
      <c r="B299" s="25" t="s">
        <v>616</v>
      </c>
      <c r="C299" s="25" t="s">
        <v>617</v>
      </c>
      <c r="D299" s="25" t="s">
        <v>618</v>
      </c>
      <c r="E299" s="26" t="s">
        <v>43</v>
      </c>
      <c r="F299" s="27" t="s">
        <v>43</v>
      </c>
      <c r="G299" s="28" t="s">
        <v>43</v>
      </c>
      <c r="H299" s="29"/>
      <c r="I299" s="29" t="s">
        <v>44</v>
      </c>
      <c r="J299" s="30">
        <v>10</v>
      </c>
      <c r="K299" s="31">
        <f>335.1</f>
        <v>335.1</v>
      </c>
      <c r="L299" s="32" t="s">
        <v>1085</v>
      </c>
      <c r="M299" s="31">
        <f>343</f>
        <v>343</v>
      </c>
      <c r="N299" s="32" t="s">
        <v>663</v>
      </c>
      <c r="O299" s="31">
        <f>327.9</f>
        <v>327.9</v>
      </c>
      <c r="P299" s="32" t="s">
        <v>851</v>
      </c>
      <c r="Q299" s="31">
        <f>341</f>
        <v>341</v>
      </c>
      <c r="R299" s="32" t="s">
        <v>661</v>
      </c>
      <c r="S299" s="33">
        <f>335.98</f>
        <v>335.98</v>
      </c>
      <c r="T299" s="30">
        <f>29344180</f>
        <v>29344180</v>
      </c>
      <c r="U299" s="30">
        <f>12827850</f>
        <v>12827850</v>
      </c>
      <c r="V299" s="30">
        <f>9834042163</f>
        <v>9834042163</v>
      </c>
      <c r="W299" s="30">
        <f>4296669366</f>
        <v>4296669366</v>
      </c>
      <c r="X299" s="34">
        <f>19</f>
        <v>19</v>
      </c>
    </row>
    <row r="300" spans="1:24">
      <c r="A300" s="25" t="s">
        <v>1179</v>
      </c>
      <c r="B300" s="25" t="s">
        <v>619</v>
      </c>
      <c r="C300" s="25" t="s">
        <v>620</v>
      </c>
      <c r="D300" s="25" t="s">
        <v>621</v>
      </c>
      <c r="E300" s="26" t="s">
        <v>43</v>
      </c>
      <c r="F300" s="27" t="s">
        <v>43</v>
      </c>
      <c r="G300" s="28" t="s">
        <v>43</v>
      </c>
      <c r="H300" s="29"/>
      <c r="I300" s="29" t="s">
        <v>44</v>
      </c>
      <c r="J300" s="30">
        <v>1</v>
      </c>
      <c r="K300" s="31">
        <f>2748</f>
        <v>2748</v>
      </c>
      <c r="L300" s="32" t="s">
        <v>1085</v>
      </c>
      <c r="M300" s="31">
        <f>2748</f>
        <v>2748</v>
      </c>
      <c r="N300" s="32" t="s">
        <v>1085</v>
      </c>
      <c r="O300" s="31">
        <f>2607</f>
        <v>2607</v>
      </c>
      <c r="P300" s="32" t="s">
        <v>662</v>
      </c>
      <c r="Q300" s="31">
        <f>2718</f>
        <v>2718</v>
      </c>
      <c r="R300" s="32" t="s">
        <v>661</v>
      </c>
      <c r="S300" s="33">
        <f>2678.05</f>
        <v>2678.05</v>
      </c>
      <c r="T300" s="30">
        <f>573351</f>
        <v>573351</v>
      </c>
      <c r="U300" s="30">
        <f>164360</f>
        <v>164360</v>
      </c>
      <c r="V300" s="30">
        <f>1526557988</f>
        <v>1526557988</v>
      </c>
      <c r="W300" s="30">
        <f>436087345</f>
        <v>436087345</v>
      </c>
      <c r="X300" s="34">
        <f>19</f>
        <v>19</v>
      </c>
    </row>
    <row r="301" spans="1:24">
      <c r="A301" s="25" t="s">
        <v>1179</v>
      </c>
      <c r="B301" s="25" t="s">
        <v>622</v>
      </c>
      <c r="C301" s="25" t="s">
        <v>623</v>
      </c>
      <c r="D301" s="25" t="s">
        <v>624</v>
      </c>
      <c r="E301" s="26" t="s">
        <v>43</v>
      </c>
      <c r="F301" s="27" t="s">
        <v>43</v>
      </c>
      <c r="G301" s="28" t="s">
        <v>43</v>
      </c>
      <c r="H301" s="29"/>
      <c r="I301" s="29" t="s">
        <v>44</v>
      </c>
      <c r="J301" s="30">
        <v>1</v>
      </c>
      <c r="K301" s="31">
        <f>823</f>
        <v>823</v>
      </c>
      <c r="L301" s="32" t="s">
        <v>1085</v>
      </c>
      <c r="M301" s="31">
        <f>851</f>
        <v>851</v>
      </c>
      <c r="N301" s="32" t="s">
        <v>1078</v>
      </c>
      <c r="O301" s="31">
        <f>805</f>
        <v>805</v>
      </c>
      <c r="P301" s="32" t="s">
        <v>851</v>
      </c>
      <c r="Q301" s="31">
        <f>849</f>
        <v>849</v>
      </c>
      <c r="R301" s="32" t="s">
        <v>661</v>
      </c>
      <c r="S301" s="33">
        <f>822.42</f>
        <v>822.42</v>
      </c>
      <c r="T301" s="30">
        <f>232550</f>
        <v>232550</v>
      </c>
      <c r="U301" s="30">
        <f>2</f>
        <v>2</v>
      </c>
      <c r="V301" s="30">
        <f>191447379</f>
        <v>191447379</v>
      </c>
      <c r="W301" s="30">
        <f>1639</f>
        <v>1639</v>
      </c>
      <c r="X301" s="34">
        <f>19</f>
        <v>19</v>
      </c>
    </row>
    <row r="302" spans="1:24">
      <c r="A302" s="25" t="s">
        <v>1179</v>
      </c>
      <c r="B302" s="25" t="s">
        <v>625</v>
      </c>
      <c r="C302" s="25" t="s">
        <v>626</v>
      </c>
      <c r="D302" s="25" t="s">
        <v>627</v>
      </c>
      <c r="E302" s="26" t="s">
        <v>43</v>
      </c>
      <c r="F302" s="27" t="s">
        <v>43</v>
      </c>
      <c r="G302" s="28" t="s">
        <v>43</v>
      </c>
      <c r="H302" s="29"/>
      <c r="I302" s="29" t="s">
        <v>44</v>
      </c>
      <c r="J302" s="30">
        <v>10</v>
      </c>
      <c r="K302" s="31">
        <f>949.2</f>
        <v>949.2</v>
      </c>
      <c r="L302" s="32" t="s">
        <v>1085</v>
      </c>
      <c r="M302" s="31">
        <f>967.4</f>
        <v>967.4</v>
      </c>
      <c r="N302" s="32" t="s">
        <v>859</v>
      </c>
      <c r="O302" s="31">
        <f>917</f>
        <v>917</v>
      </c>
      <c r="P302" s="32" t="s">
        <v>1081</v>
      </c>
      <c r="Q302" s="31">
        <f>960</f>
        <v>960</v>
      </c>
      <c r="R302" s="32" t="s">
        <v>661</v>
      </c>
      <c r="S302" s="33">
        <f>934.24</f>
        <v>934.24</v>
      </c>
      <c r="T302" s="30">
        <f>2497000</f>
        <v>2497000</v>
      </c>
      <c r="U302" s="30">
        <f>2450020</f>
        <v>2450020</v>
      </c>
      <c r="V302" s="30">
        <f>2342959522</f>
        <v>2342959522</v>
      </c>
      <c r="W302" s="30">
        <f>2298681615</f>
        <v>2298681615</v>
      </c>
      <c r="X302" s="34">
        <f>19</f>
        <v>19</v>
      </c>
    </row>
    <row r="303" spans="1:24">
      <c r="A303" s="25" t="s">
        <v>1179</v>
      </c>
      <c r="B303" s="25" t="s">
        <v>628</v>
      </c>
      <c r="C303" s="25" t="s">
        <v>629</v>
      </c>
      <c r="D303" s="25" t="s">
        <v>630</v>
      </c>
      <c r="E303" s="26" t="s">
        <v>43</v>
      </c>
      <c r="F303" s="27" t="s">
        <v>43</v>
      </c>
      <c r="G303" s="28" t="s">
        <v>43</v>
      </c>
      <c r="H303" s="29"/>
      <c r="I303" s="29" t="s">
        <v>44</v>
      </c>
      <c r="J303" s="30">
        <v>10</v>
      </c>
      <c r="K303" s="31">
        <f>363.4</f>
        <v>363.4</v>
      </c>
      <c r="L303" s="32" t="s">
        <v>1085</v>
      </c>
      <c r="M303" s="31">
        <f>371.3</f>
        <v>371.3</v>
      </c>
      <c r="N303" s="32" t="s">
        <v>755</v>
      </c>
      <c r="O303" s="31">
        <f>350.9</f>
        <v>350.9</v>
      </c>
      <c r="P303" s="32" t="s">
        <v>738</v>
      </c>
      <c r="Q303" s="31">
        <f>371.3</f>
        <v>371.3</v>
      </c>
      <c r="R303" s="32" t="s">
        <v>755</v>
      </c>
      <c r="S303" s="33">
        <f>364.12</f>
        <v>364.12</v>
      </c>
      <c r="T303" s="30">
        <f>4750</f>
        <v>4750</v>
      </c>
      <c r="U303" s="30">
        <f>10</f>
        <v>10</v>
      </c>
      <c r="V303" s="30">
        <f>1705041</f>
        <v>1705041</v>
      </c>
      <c r="W303" s="30">
        <f>3601</f>
        <v>3601</v>
      </c>
      <c r="X303" s="34">
        <f>14</f>
        <v>14</v>
      </c>
    </row>
    <row r="304" spans="1:24">
      <c r="A304" s="25" t="s">
        <v>1179</v>
      </c>
      <c r="B304" s="25" t="s">
        <v>631</v>
      </c>
      <c r="C304" s="25" t="s">
        <v>632</v>
      </c>
      <c r="D304" s="25" t="s">
        <v>633</v>
      </c>
      <c r="E304" s="26" t="s">
        <v>43</v>
      </c>
      <c r="F304" s="27" t="s">
        <v>43</v>
      </c>
      <c r="G304" s="28" t="s">
        <v>43</v>
      </c>
      <c r="H304" s="29"/>
      <c r="I304" s="29" t="s">
        <v>44</v>
      </c>
      <c r="J304" s="30">
        <v>10</v>
      </c>
      <c r="K304" s="31">
        <f>5776</f>
        <v>5776</v>
      </c>
      <c r="L304" s="32" t="s">
        <v>1085</v>
      </c>
      <c r="M304" s="31">
        <f>5875</f>
        <v>5875</v>
      </c>
      <c r="N304" s="32" t="s">
        <v>663</v>
      </c>
      <c r="O304" s="31">
        <f>5608</f>
        <v>5608</v>
      </c>
      <c r="P304" s="32" t="s">
        <v>851</v>
      </c>
      <c r="Q304" s="31">
        <f>5726</f>
        <v>5726</v>
      </c>
      <c r="R304" s="32" t="s">
        <v>661</v>
      </c>
      <c r="S304" s="33">
        <f>5740.84</f>
        <v>5740.84</v>
      </c>
      <c r="T304" s="30">
        <f>1027420</f>
        <v>1027420</v>
      </c>
      <c r="U304" s="30">
        <f>430000</f>
        <v>430000</v>
      </c>
      <c r="V304" s="30">
        <f>5932546900</f>
        <v>5932546900</v>
      </c>
      <c r="W304" s="30">
        <f>2506112300</f>
        <v>2506112300</v>
      </c>
      <c r="X304" s="34">
        <f>19</f>
        <v>19</v>
      </c>
    </row>
    <row r="305" spans="1:24">
      <c r="A305" s="25" t="s">
        <v>1179</v>
      </c>
      <c r="B305" s="25" t="s">
        <v>634</v>
      </c>
      <c r="C305" s="25" t="s">
        <v>635</v>
      </c>
      <c r="D305" s="25" t="s">
        <v>636</v>
      </c>
      <c r="E305" s="26" t="s">
        <v>43</v>
      </c>
      <c r="F305" s="27" t="s">
        <v>43</v>
      </c>
      <c r="G305" s="28" t="s">
        <v>43</v>
      </c>
      <c r="H305" s="29"/>
      <c r="I305" s="29" t="s">
        <v>44</v>
      </c>
      <c r="J305" s="30">
        <v>10</v>
      </c>
      <c r="K305" s="31">
        <f>3297</f>
        <v>3297</v>
      </c>
      <c r="L305" s="32" t="s">
        <v>1085</v>
      </c>
      <c r="M305" s="31">
        <f>3377</f>
        <v>3377</v>
      </c>
      <c r="N305" s="32" t="s">
        <v>663</v>
      </c>
      <c r="O305" s="31">
        <f>3205</f>
        <v>3205</v>
      </c>
      <c r="P305" s="32" t="s">
        <v>851</v>
      </c>
      <c r="Q305" s="31">
        <f>3331</f>
        <v>3331</v>
      </c>
      <c r="R305" s="32" t="s">
        <v>661</v>
      </c>
      <c r="S305" s="33">
        <f>3295.37</f>
        <v>3295.37</v>
      </c>
      <c r="T305" s="30">
        <f>5135250</f>
        <v>5135250</v>
      </c>
      <c r="U305" s="30">
        <f>3526450</f>
        <v>3526450</v>
      </c>
      <c r="V305" s="30">
        <f>17028300448</f>
        <v>17028300448</v>
      </c>
      <c r="W305" s="30">
        <f>11715292788</f>
        <v>11715292788</v>
      </c>
      <c r="X305" s="34">
        <f>19</f>
        <v>19</v>
      </c>
    </row>
    <row r="306" spans="1:24">
      <c r="A306" s="25" t="s">
        <v>1179</v>
      </c>
      <c r="B306" s="25" t="s">
        <v>1158</v>
      </c>
      <c r="C306" s="25" t="s">
        <v>1159</v>
      </c>
      <c r="D306" s="25" t="s">
        <v>1160</v>
      </c>
      <c r="E306" s="26" t="s">
        <v>43</v>
      </c>
      <c r="F306" s="27" t="s">
        <v>43</v>
      </c>
      <c r="G306" s="28" t="s">
        <v>43</v>
      </c>
      <c r="H306" s="29"/>
      <c r="I306" s="29" t="s">
        <v>44</v>
      </c>
      <c r="J306" s="30">
        <v>1</v>
      </c>
      <c r="K306" s="31">
        <f>2209</f>
        <v>2209</v>
      </c>
      <c r="L306" s="32" t="s">
        <v>1085</v>
      </c>
      <c r="M306" s="31">
        <f>2235</f>
        <v>2235</v>
      </c>
      <c r="N306" s="32" t="s">
        <v>1075</v>
      </c>
      <c r="O306" s="31">
        <f>2090</f>
        <v>2090</v>
      </c>
      <c r="P306" s="32" t="s">
        <v>662</v>
      </c>
      <c r="Q306" s="31">
        <f>2160</f>
        <v>2160</v>
      </c>
      <c r="R306" s="32" t="s">
        <v>661</v>
      </c>
      <c r="S306" s="33">
        <f>2160.47</f>
        <v>2160.4699999999998</v>
      </c>
      <c r="T306" s="30">
        <f>89281</f>
        <v>89281</v>
      </c>
      <c r="U306" s="30" t="str">
        <f>"－"</f>
        <v>－</v>
      </c>
      <c r="V306" s="30">
        <f>192876304</f>
        <v>192876304</v>
      </c>
      <c r="W306" s="30" t="str">
        <f>"－"</f>
        <v>－</v>
      </c>
      <c r="X306" s="34">
        <f>19</f>
        <v>19</v>
      </c>
    </row>
    <row r="307" spans="1:24">
      <c r="A307" s="25" t="s">
        <v>1179</v>
      </c>
      <c r="B307" s="25" t="s">
        <v>1161</v>
      </c>
      <c r="C307" s="25" t="s">
        <v>1162</v>
      </c>
      <c r="D307" s="25" t="s">
        <v>1163</v>
      </c>
      <c r="E307" s="26" t="s">
        <v>43</v>
      </c>
      <c r="F307" s="27" t="s">
        <v>43</v>
      </c>
      <c r="G307" s="28" t="s">
        <v>43</v>
      </c>
      <c r="H307" s="29"/>
      <c r="I307" s="29" t="s">
        <v>44</v>
      </c>
      <c r="J307" s="30">
        <v>1</v>
      </c>
      <c r="K307" s="31">
        <f>1932</f>
        <v>1932</v>
      </c>
      <c r="L307" s="32" t="s">
        <v>1085</v>
      </c>
      <c r="M307" s="31">
        <f>1993</f>
        <v>1993</v>
      </c>
      <c r="N307" s="32" t="s">
        <v>852</v>
      </c>
      <c r="O307" s="31">
        <f>1839</f>
        <v>1839</v>
      </c>
      <c r="P307" s="32" t="s">
        <v>756</v>
      </c>
      <c r="Q307" s="31">
        <f>1934</f>
        <v>1934</v>
      </c>
      <c r="R307" s="32" t="s">
        <v>661</v>
      </c>
      <c r="S307" s="33">
        <f>1890.11</f>
        <v>1890.11</v>
      </c>
      <c r="T307" s="30">
        <f>74504</f>
        <v>74504</v>
      </c>
      <c r="U307" s="30" t="str">
        <f>"－"</f>
        <v>－</v>
      </c>
      <c r="V307" s="30">
        <f>140434526</f>
        <v>140434526</v>
      </c>
      <c r="W307" s="30" t="str">
        <f>"－"</f>
        <v>－</v>
      </c>
      <c r="X307" s="34">
        <f>19</f>
        <v>19</v>
      </c>
    </row>
    <row r="308" spans="1:24">
      <c r="A308" s="25" t="s">
        <v>1179</v>
      </c>
      <c r="B308" s="25" t="s">
        <v>637</v>
      </c>
      <c r="C308" s="25" t="s">
        <v>638</v>
      </c>
      <c r="D308" s="25" t="s">
        <v>639</v>
      </c>
      <c r="E308" s="26" t="s">
        <v>43</v>
      </c>
      <c r="F308" s="27" t="s">
        <v>43</v>
      </c>
      <c r="G308" s="28" t="s">
        <v>43</v>
      </c>
      <c r="H308" s="29"/>
      <c r="I308" s="29" t="s">
        <v>44</v>
      </c>
      <c r="J308" s="30">
        <v>10</v>
      </c>
      <c r="K308" s="31">
        <f>362.5</f>
        <v>362.5</v>
      </c>
      <c r="L308" s="32" t="s">
        <v>1085</v>
      </c>
      <c r="M308" s="31">
        <f>364.2</f>
        <v>364.2</v>
      </c>
      <c r="N308" s="32" t="s">
        <v>1079</v>
      </c>
      <c r="O308" s="31">
        <f>352.5</f>
        <v>352.5</v>
      </c>
      <c r="P308" s="32" t="s">
        <v>661</v>
      </c>
      <c r="Q308" s="31">
        <f>354.1</f>
        <v>354.1</v>
      </c>
      <c r="R308" s="32" t="s">
        <v>661</v>
      </c>
      <c r="S308" s="33">
        <f>358.13</f>
        <v>358.13</v>
      </c>
      <c r="T308" s="30">
        <f>5074140</f>
        <v>5074140</v>
      </c>
      <c r="U308" s="30">
        <f>2910010</f>
        <v>2910010</v>
      </c>
      <c r="V308" s="30">
        <f>1813991604</f>
        <v>1813991604</v>
      </c>
      <c r="W308" s="30">
        <f>1034863369</f>
        <v>1034863369</v>
      </c>
      <c r="X308" s="34">
        <f>19</f>
        <v>19</v>
      </c>
    </row>
    <row r="309" spans="1:24">
      <c r="A309" s="25" t="s">
        <v>1179</v>
      </c>
      <c r="B309" s="25" t="s">
        <v>640</v>
      </c>
      <c r="C309" s="25" t="s">
        <v>641</v>
      </c>
      <c r="D309" s="25" t="s">
        <v>642</v>
      </c>
      <c r="E309" s="26" t="s">
        <v>43</v>
      </c>
      <c r="F309" s="27" t="s">
        <v>43</v>
      </c>
      <c r="G309" s="28" t="s">
        <v>43</v>
      </c>
      <c r="H309" s="29"/>
      <c r="I309" s="29" t="s">
        <v>44</v>
      </c>
      <c r="J309" s="30">
        <v>1</v>
      </c>
      <c r="K309" s="31">
        <f>1127</f>
        <v>1127</v>
      </c>
      <c r="L309" s="32" t="s">
        <v>1085</v>
      </c>
      <c r="M309" s="31">
        <f>1129</f>
        <v>1129</v>
      </c>
      <c r="N309" s="32" t="s">
        <v>1079</v>
      </c>
      <c r="O309" s="31">
        <f>1091</f>
        <v>1091</v>
      </c>
      <c r="P309" s="32" t="s">
        <v>851</v>
      </c>
      <c r="Q309" s="31">
        <f>1123</f>
        <v>1123</v>
      </c>
      <c r="R309" s="32" t="s">
        <v>661</v>
      </c>
      <c r="S309" s="33">
        <f>1114.32</f>
        <v>1114.32</v>
      </c>
      <c r="T309" s="30">
        <f>19485061</f>
        <v>19485061</v>
      </c>
      <c r="U309" s="30">
        <f>274500</f>
        <v>274500</v>
      </c>
      <c r="V309" s="30">
        <f>21678681465</f>
        <v>21678681465</v>
      </c>
      <c r="W309" s="30">
        <f>305948530</f>
        <v>305948530</v>
      </c>
      <c r="X309" s="34">
        <f>19</f>
        <v>19</v>
      </c>
    </row>
    <row r="310" spans="1:24">
      <c r="A310" s="25" t="s">
        <v>1179</v>
      </c>
      <c r="B310" s="25" t="s">
        <v>643</v>
      </c>
      <c r="C310" s="25" t="s">
        <v>644</v>
      </c>
      <c r="D310" s="25" t="s">
        <v>645</v>
      </c>
      <c r="E310" s="26" t="s">
        <v>43</v>
      </c>
      <c r="F310" s="27" t="s">
        <v>43</v>
      </c>
      <c r="G310" s="28" t="s">
        <v>43</v>
      </c>
      <c r="H310" s="29"/>
      <c r="I310" s="29" t="s">
        <v>44</v>
      </c>
      <c r="J310" s="30">
        <v>1</v>
      </c>
      <c r="K310" s="31">
        <f>1723</f>
        <v>1723</v>
      </c>
      <c r="L310" s="32" t="s">
        <v>1085</v>
      </c>
      <c r="M310" s="31">
        <f>1739</f>
        <v>1739</v>
      </c>
      <c r="N310" s="32" t="s">
        <v>1079</v>
      </c>
      <c r="O310" s="31">
        <f>1679</f>
        <v>1679</v>
      </c>
      <c r="P310" s="32" t="s">
        <v>1080</v>
      </c>
      <c r="Q310" s="31">
        <f>1718</f>
        <v>1718</v>
      </c>
      <c r="R310" s="32" t="s">
        <v>661</v>
      </c>
      <c r="S310" s="33">
        <f>1708.89</f>
        <v>1708.89</v>
      </c>
      <c r="T310" s="30">
        <f>36826</f>
        <v>36826</v>
      </c>
      <c r="U310" s="30">
        <f>1</f>
        <v>1</v>
      </c>
      <c r="V310" s="30">
        <f>63002205</f>
        <v>63002205</v>
      </c>
      <c r="W310" s="30">
        <f>1723</f>
        <v>1723</v>
      </c>
      <c r="X310" s="34">
        <f>19</f>
        <v>19</v>
      </c>
    </row>
    <row r="311" spans="1:24">
      <c r="A311" s="25" t="s">
        <v>1179</v>
      </c>
      <c r="B311" s="25" t="s">
        <v>646</v>
      </c>
      <c r="C311" s="25" t="s">
        <v>647</v>
      </c>
      <c r="D311" s="25" t="s">
        <v>648</v>
      </c>
      <c r="E311" s="26" t="s">
        <v>43</v>
      </c>
      <c r="F311" s="27" t="s">
        <v>43</v>
      </c>
      <c r="G311" s="28" t="s">
        <v>43</v>
      </c>
      <c r="H311" s="29"/>
      <c r="I311" s="29" t="s">
        <v>44</v>
      </c>
      <c r="J311" s="30">
        <v>1</v>
      </c>
      <c r="K311" s="31">
        <f>2076</f>
        <v>2076</v>
      </c>
      <c r="L311" s="32" t="s">
        <v>1085</v>
      </c>
      <c r="M311" s="31">
        <f>2087</f>
        <v>2087</v>
      </c>
      <c r="N311" s="32" t="s">
        <v>852</v>
      </c>
      <c r="O311" s="31">
        <f>2060</f>
        <v>2060</v>
      </c>
      <c r="P311" s="32" t="s">
        <v>851</v>
      </c>
      <c r="Q311" s="31">
        <f>2077</f>
        <v>2077</v>
      </c>
      <c r="R311" s="32" t="s">
        <v>661</v>
      </c>
      <c r="S311" s="33">
        <f>2071.95</f>
        <v>2071.9499999999998</v>
      </c>
      <c r="T311" s="30">
        <f>291657</f>
        <v>291657</v>
      </c>
      <c r="U311" s="30">
        <f>289000</f>
        <v>289000</v>
      </c>
      <c r="V311" s="30">
        <f>605656836</f>
        <v>605656836</v>
      </c>
      <c r="W311" s="30">
        <f>600137400</f>
        <v>600137400</v>
      </c>
      <c r="X311" s="34">
        <f>19</f>
        <v>19</v>
      </c>
    </row>
    <row r="312" spans="1:24">
      <c r="A312" s="25" t="s">
        <v>1179</v>
      </c>
      <c r="B312" s="25" t="s">
        <v>649</v>
      </c>
      <c r="C312" s="25" t="s">
        <v>650</v>
      </c>
      <c r="D312" s="25" t="s">
        <v>920</v>
      </c>
      <c r="E312" s="26" t="s">
        <v>43</v>
      </c>
      <c r="F312" s="27" t="s">
        <v>43</v>
      </c>
      <c r="G312" s="28" t="s">
        <v>43</v>
      </c>
      <c r="H312" s="29"/>
      <c r="I312" s="29" t="s">
        <v>44</v>
      </c>
      <c r="J312" s="30">
        <v>1</v>
      </c>
      <c r="K312" s="31">
        <f>4010</f>
        <v>4010</v>
      </c>
      <c r="L312" s="32" t="s">
        <v>1085</v>
      </c>
      <c r="M312" s="31">
        <f>4045</f>
        <v>4045</v>
      </c>
      <c r="N312" s="32" t="s">
        <v>1079</v>
      </c>
      <c r="O312" s="31">
        <f>3820</f>
        <v>3820</v>
      </c>
      <c r="P312" s="32" t="s">
        <v>662</v>
      </c>
      <c r="Q312" s="31">
        <f>3980</f>
        <v>3980</v>
      </c>
      <c r="R312" s="32" t="s">
        <v>661</v>
      </c>
      <c r="S312" s="33">
        <f>3942.11</f>
        <v>3942.11</v>
      </c>
      <c r="T312" s="30">
        <f>624446</f>
        <v>624446</v>
      </c>
      <c r="U312" s="30">
        <f>247212</f>
        <v>247212</v>
      </c>
      <c r="V312" s="30">
        <f>2452326785</f>
        <v>2452326785</v>
      </c>
      <c r="W312" s="30">
        <f>971294440</f>
        <v>971294440</v>
      </c>
      <c r="X312" s="34">
        <f>19</f>
        <v>19</v>
      </c>
    </row>
    <row r="313" spans="1:24">
      <c r="A313" s="25" t="s">
        <v>1179</v>
      </c>
      <c r="B313" s="25" t="s">
        <v>651</v>
      </c>
      <c r="C313" s="25" t="s">
        <v>652</v>
      </c>
      <c r="D313" s="25" t="s">
        <v>921</v>
      </c>
      <c r="E313" s="26" t="s">
        <v>43</v>
      </c>
      <c r="F313" s="27" t="s">
        <v>43</v>
      </c>
      <c r="G313" s="28" t="s">
        <v>43</v>
      </c>
      <c r="H313" s="29"/>
      <c r="I313" s="29" t="s">
        <v>44</v>
      </c>
      <c r="J313" s="30">
        <v>1</v>
      </c>
      <c r="K313" s="31">
        <f>2811</f>
        <v>2811</v>
      </c>
      <c r="L313" s="32" t="s">
        <v>1085</v>
      </c>
      <c r="M313" s="31">
        <f>2811</f>
        <v>2811</v>
      </c>
      <c r="N313" s="32" t="s">
        <v>1085</v>
      </c>
      <c r="O313" s="31">
        <f>2653</f>
        <v>2653</v>
      </c>
      <c r="P313" s="32" t="s">
        <v>662</v>
      </c>
      <c r="Q313" s="31">
        <f>2796</f>
        <v>2796</v>
      </c>
      <c r="R313" s="32" t="s">
        <v>661</v>
      </c>
      <c r="S313" s="33">
        <f>2744.42</f>
        <v>2744.42</v>
      </c>
      <c r="T313" s="30">
        <f>364660</f>
        <v>364660</v>
      </c>
      <c r="U313" s="30">
        <f>2</f>
        <v>2</v>
      </c>
      <c r="V313" s="30">
        <f>1004057051</f>
        <v>1004057051</v>
      </c>
      <c r="W313" s="30">
        <f>5562</f>
        <v>5562</v>
      </c>
      <c r="X313" s="34">
        <f>19</f>
        <v>19</v>
      </c>
    </row>
    <row r="314" spans="1:24">
      <c r="A314" s="25" t="s">
        <v>1179</v>
      </c>
      <c r="B314" s="25" t="s">
        <v>653</v>
      </c>
      <c r="C314" s="25" t="s">
        <v>654</v>
      </c>
      <c r="D314" s="25" t="s">
        <v>655</v>
      </c>
      <c r="E314" s="26" t="s">
        <v>43</v>
      </c>
      <c r="F314" s="27" t="s">
        <v>43</v>
      </c>
      <c r="G314" s="28" t="s">
        <v>43</v>
      </c>
      <c r="H314" s="29"/>
      <c r="I314" s="29" t="s">
        <v>44</v>
      </c>
      <c r="J314" s="30">
        <v>1</v>
      </c>
      <c r="K314" s="31">
        <f>2435</f>
        <v>2435</v>
      </c>
      <c r="L314" s="32" t="s">
        <v>1085</v>
      </c>
      <c r="M314" s="31">
        <f>2480</f>
        <v>2480</v>
      </c>
      <c r="N314" s="32" t="s">
        <v>661</v>
      </c>
      <c r="O314" s="31">
        <f>2325</f>
        <v>2325</v>
      </c>
      <c r="P314" s="32" t="s">
        <v>662</v>
      </c>
      <c r="Q314" s="31">
        <f>2479</f>
        <v>2479</v>
      </c>
      <c r="R314" s="32" t="s">
        <v>661</v>
      </c>
      <c r="S314" s="33">
        <f>2403.11</f>
        <v>2403.11</v>
      </c>
      <c r="T314" s="30">
        <f>57700</f>
        <v>57700</v>
      </c>
      <c r="U314" s="30" t="str">
        <f>"－"</f>
        <v>－</v>
      </c>
      <c r="V314" s="30">
        <f>140736240</f>
        <v>140736240</v>
      </c>
      <c r="W314" s="30" t="str">
        <f>"－"</f>
        <v>－</v>
      </c>
      <c r="X314" s="34">
        <f>19</f>
        <v>19</v>
      </c>
    </row>
    <row r="315" spans="1:24">
      <c r="A315" s="25" t="s">
        <v>1179</v>
      </c>
      <c r="B315" s="25" t="s">
        <v>656</v>
      </c>
      <c r="C315" s="25" t="s">
        <v>657</v>
      </c>
      <c r="D315" s="25" t="s">
        <v>658</v>
      </c>
      <c r="E315" s="26" t="s">
        <v>43</v>
      </c>
      <c r="F315" s="27" t="s">
        <v>43</v>
      </c>
      <c r="G315" s="28" t="s">
        <v>43</v>
      </c>
      <c r="H315" s="29"/>
      <c r="I315" s="29" t="s">
        <v>44</v>
      </c>
      <c r="J315" s="30">
        <v>1</v>
      </c>
      <c r="K315" s="31">
        <f>1346</f>
        <v>1346</v>
      </c>
      <c r="L315" s="32" t="s">
        <v>1085</v>
      </c>
      <c r="M315" s="31">
        <f>1447</f>
        <v>1447</v>
      </c>
      <c r="N315" s="32" t="s">
        <v>661</v>
      </c>
      <c r="O315" s="31">
        <f>1306</f>
        <v>1306</v>
      </c>
      <c r="P315" s="32" t="s">
        <v>662</v>
      </c>
      <c r="Q315" s="31">
        <f>1410</f>
        <v>1410</v>
      </c>
      <c r="R315" s="32" t="s">
        <v>661</v>
      </c>
      <c r="S315" s="33">
        <f>1345.47</f>
        <v>1345.47</v>
      </c>
      <c r="T315" s="30">
        <f>8841</f>
        <v>8841</v>
      </c>
      <c r="U315" s="30" t="str">
        <f>"－"</f>
        <v>－</v>
      </c>
      <c r="V315" s="30">
        <f>11795684</f>
        <v>11795684</v>
      </c>
      <c r="W315" s="30" t="str">
        <f>"－"</f>
        <v>－</v>
      </c>
      <c r="X315" s="34">
        <f>19</f>
        <v>19</v>
      </c>
    </row>
    <row r="316" spans="1:24">
      <c r="A316" s="25" t="s">
        <v>1179</v>
      </c>
      <c r="B316" s="25" t="s">
        <v>666</v>
      </c>
      <c r="C316" s="25" t="s">
        <v>667</v>
      </c>
      <c r="D316" s="25" t="s">
        <v>668</v>
      </c>
      <c r="E316" s="26" t="s">
        <v>43</v>
      </c>
      <c r="F316" s="27" t="s">
        <v>43</v>
      </c>
      <c r="G316" s="28" t="s">
        <v>43</v>
      </c>
      <c r="H316" s="29"/>
      <c r="I316" s="29" t="s">
        <v>44</v>
      </c>
      <c r="J316" s="30">
        <v>1</v>
      </c>
      <c r="K316" s="31">
        <f>1977</f>
        <v>1977</v>
      </c>
      <c r="L316" s="32" t="s">
        <v>1085</v>
      </c>
      <c r="M316" s="31">
        <f>2930</f>
        <v>2930</v>
      </c>
      <c r="N316" s="32" t="s">
        <v>859</v>
      </c>
      <c r="O316" s="31">
        <f>1950</f>
        <v>1950</v>
      </c>
      <c r="P316" s="32" t="s">
        <v>1085</v>
      </c>
      <c r="Q316" s="31">
        <f>2012</f>
        <v>2012</v>
      </c>
      <c r="R316" s="32" t="s">
        <v>661</v>
      </c>
      <c r="S316" s="33">
        <f>2057.95</f>
        <v>2057.9499999999998</v>
      </c>
      <c r="T316" s="30">
        <f>524353</f>
        <v>524353</v>
      </c>
      <c r="U316" s="30" t="str">
        <f>"－"</f>
        <v>－</v>
      </c>
      <c r="V316" s="30">
        <f>1210817581</f>
        <v>1210817581</v>
      </c>
      <c r="W316" s="30" t="str">
        <f>"－"</f>
        <v>－</v>
      </c>
      <c r="X316" s="34">
        <f>19</f>
        <v>19</v>
      </c>
    </row>
    <row r="317" spans="1:24">
      <c r="A317" s="25" t="s">
        <v>1179</v>
      </c>
      <c r="B317" s="25" t="s">
        <v>669</v>
      </c>
      <c r="C317" s="25" t="s">
        <v>670</v>
      </c>
      <c r="D317" s="25" t="s">
        <v>671</v>
      </c>
      <c r="E317" s="26" t="s">
        <v>43</v>
      </c>
      <c r="F317" s="27" t="s">
        <v>43</v>
      </c>
      <c r="G317" s="28" t="s">
        <v>43</v>
      </c>
      <c r="H317" s="29"/>
      <c r="I317" s="29" t="s">
        <v>44</v>
      </c>
      <c r="J317" s="30">
        <v>1</v>
      </c>
      <c r="K317" s="31">
        <f>2900</f>
        <v>2900</v>
      </c>
      <c r="L317" s="32" t="s">
        <v>1085</v>
      </c>
      <c r="M317" s="31">
        <f>6650</f>
        <v>6650</v>
      </c>
      <c r="N317" s="32" t="s">
        <v>859</v>
      </c>
      <c r="O317" s="31">
        <f>2675</f>
        <v>2675</v>
      </c>
      <c r="P317" s="32" t="s">
        <v>1080</v>
      </c>
      <c r="Q317" s="31">
        <f>2838</f>
        <v>2838</v>
      </c>
      <c r="R317" s="32" t="s">
        <v>661</v>
      </c>
      <c r="S317" s="33">
        <f>2988.32</f>
        <v>2988.32</v>
      </c>
      <c r="T317" s="30">
        <f>160421</f>
        <v>160421</v>
      </c>
      <c r="U317" s="30">
        <f>2</f>
        <v>2</v>
      </c>
      <c r="V317" s="30">
        <f>615793084</f>
        <v>615793084</v>
      </c>
      <c r="W317" s="30">
        <f>5481</f>
        <v>5481</v>
      </c>
      <c r="X317" s="34">
        <f>19</f>
        <v>19</v>
      </c>
    </row>
    <row r="318" spans="1:24">
      <c r="A318" s="25" t="s">
        <v>1179</v>
      </c>
      <c r="B318" s="25" t="s">
        <v>672</v>
      </c>
      <c r="C318" s="25" t="s">
        <v>673</v>
      </c>
      <c r="D318" s="25" t="s">
        <v>674</v>
      </c>
      <c r="E318" s="26" t="s">
        <v>43</v>
      </c>
      <c r="F318" s="27" t="s">
        <v>43</v>
      </c>
      <c r="G318" s="28" t="s">
        <v>43</v>
      </c>
      <c r="H318" s="29"/>
      <c r="I318" s="29" t="s">
        <v>44</v>
      </c>
      <c r="J318" s="30">
        <v>1</v>
      </c>
      <c r="K318" s="31">
        <f>13250</f>
        <v>13250</v>
      </c>
      <c r="L318" s="32" t="s">
        <v>1085</v>
      </c>
      <c r="M318" s="31">
        <f>13545</f>
        <v>13545</v>
      </c>
      <c r="N318" s="32" t="s">
        <v>663</v>
      </c>
      <c r="O318" s="31">
        <f>12940</f>
        <v>12940</v>
      </c>
      <c r="P318" s="32" t="s">
        <v>1080</v>
      </c>
      <c r="Q318" s="31">
        <f>13410</f>
        <v>13410</v>
      </c>
      <c r="R318" s="32" t="s">
        <v>661</v>
      </c>
      <c r="S318" s="33">
        <f>13265</f>
        <v>13265</v>
      </c>
      <c r="T318" s="30">
        <f>362284</f>
        <v>362284</v>
      </c>
      <c r="U318" s="30">
        <f>220825</f>
        <v>220825</v>
      </c>
      <c r="V318" s="30">
        <f>4804796919</f>
        <v>4804796919</v>
      </c>
      <c r="W318" s="30">
        <f>2929033684</f>
        <v>2929033684</v>
      </c>
      <c r="X318" s="34">
        <f>19</f>
        <v>19</v>
      </c>
    </row>
    <row r="319" spans="1:24">
      <c r="A319" s="25" t="s">
        <v>1179</v>
      </c>
      <c r="B319" s="25" t="s">
        <v>675</v>
      </c>
      <c r="C319" s="25" t="s">
        <v>676</v>
      </c>
      <c r="D319" s="25" t="s">
        <v>677</v>
      </c>
      <c r="E319" s="26" t="s">
        <v>43</v>
      </c>
      <c r="F319" s="27" t="s">
        <v>43</v>
      </c>
      <c r="G319" s="28" t="s">
        <v>43</v>
      </c>
      <c r="H319" s="29"/>
      <c r="I319" s="29" t="s">
        <v>44</v>
      </c>
      <c r="J319" s="30">
        <v>1</v>
      </c>
      <c r="K319" s="31">
        <f>24080</f>
        <v>24080</v>
      </c>
      <c r="L319" s="32" t="s">
        <v>1085</v>
      </c>
      <c r="M319" s="31">
        <f>24535</f>
        <v>24535</v>
      </c>
      <c r="N319" s="32" t="s">
        <v>663</v>
      </c>
      <c r="O319" s="31">
        <f>23425</f>
        <v>23425</v>
      </c>
      <c r="P319" s="32" t="s">
        <v>851</v>
      </c>
      <c r="Q319" s="31">
        <f>23990</f>
        <v>23990</v>
      </c>
      <c r="R319" s="32" t="s">
        <v>661</v>
      </c>
      <c r="S319" s="33">
        <f>23947.37</f>
        <v>23947.37</v>
      </c>
      <c r="T319" s="30">
        <f>320161</f>
        <v>320161</v>
      </c>
      <c r="U319" s="30">
        <f>7</f>
        <v>7</v>
      </c>
      <c r="V319" s="30">
        <f>7666176665</f>
        <v>7666176665</v>
      </c>
      <c r="W319" s="30">
        <f>170790</f>
        <v>170790</v>
      </c>
      <c r="X319" s="34">
        <f>19</f>
        <v>19</v>
      </c>
    </row>
    <row r="320" spans="1:24">
      <c r="A320" s="25" t="s">
        <v>1179</v>
      </c>
      <c r="B320" s="25" t="s">
        <v>678</v>
      </c>
      <c r="C320" s="25" t="s">
        <v>679</v>
      </c>
      <c r="D320" s="25" t="s">
        <v>680</v>
      </c>
      <c r="E320" s="26" t="s">
        <v>43</v>
      </c>
      <c r="F320" s="27" t="s">
        <v>43</v>
      </c>
      <c r="G320" s="28" t="s">
        <v>43</v>
      </c>
      <c r="H320" s="29"/>
      <c r="I320" s="29" t="s">
        <v>44</v>
      </c>
      <c r="J320" s="30">
        <v>1</v>
      </c>
      <c r="K320" s="31">
        <f>13810</f>
        <v>13810</v>
      </c>
      <c r="L320" s="32" t="s">
        <v>1085</v>
      </c>
      <c r="M320" s="31">
        <f>14110</f>
        <v>14110</v>
      </c>
      <c r="N320" s="32" t="s">
        <v>663</v>
      </c>
      <c r="O320" s="31">
        <f>13390</f>
        <v>13390</v>
      </c>
      <c r="P320" s="32" t="s">
        <v>851</v>
      </c>
      <c r="Q320" s="31">
        <f>13870</f>
        <v>13870</v>
      </c>
      <c r="R320" s="32" t="s">
        <v>661</v>
      </c>
      <c r="S320" s="33">
        <f>13773.68</f>
        <v>13773.68</v>
      </c>
      <c r="T320" s="30">
        <f>256484</f>
        <v>256484</v>
      </c>
      <c r="U320" s="30">
        <f>107438</f>
        <v>107438</v>
      </c>
      <c r="V320" s="30">
        <f>3545626974</f>
        <v>3545626974</v>
      </c>
      <c r="W320" s="30">
        <f>1498492164</f>
        <v>1498492164</v>
      </c>
      <c r="X320" s="34">
        <f>19</f>
        <v>19</v>
      </c>
    </row>
    <row r="321" spans="1:24">
      <c r="A321" s="25" t="s">
        <v>1179</v>
      </c>
      <c r="B321" s="25" t="s">
        <v>681</v>
      </c>
      <c r="C321" s="25" t="s">
        <v>682</v>
      </c>
      <c r="D321" s="25" t="s">
        <v>683</v>
      </c>
      <c r="E321" s="26" t="s">
        <v>43</v>
      </c>
      <c r="F321" s="27" t="s">
        <v>43</v>
      </c>
      <c r="G321" s="28" t="s">
        <v>43</v>
      </c>
      <c r="H321" s="29"/>
      <c r="I321" s="29" t="s">
        <v>44</v>
      </c>
      <c r="J321" s="30">
        <v>10</v>
      </c>
      <c r="K321" s="31">
        <f>432.6</f>
        <v>432.6</v>
      </c>
      <c r="L321" s="32" t="s">
        <v>1085</v>
      </c>
      <c r="M321" s="31">
        <f>442</f>
        <v>442</v>
      </c>
      <c r="N321" s="32" t="s">
        <v>663</v>
      </c>
      <c r="O321" s="31">
        <f>424.7</f>
        <v>424.7</v>
      </c>
      <c r="P321" s="32" t="s">
        <v>851</v>
      </c>
      <c r="Q321" s="31">
        <f>435.2</f>
        <v>435.2</v>
      </c>
      <c r="R321" s="32" t="s">
        <v>661</v>
      </c>
      <c r="S321" s="33">
        <f>432.99</f>
        <v>432.99</v>
      </c>
      <c r="T321" s="30">
        <f>7427930</f>
        <v>7427930</v>
      </c>
      <c r="U321" s="30">
        <f>1626360</f>
        <v>1626360</v>
      </c>
      <c r="V321" s="30">
        <f>3209671486</f>
        <v>3209671486</v>
      </c>
      <c r="W321" s="30">
        <f>703421788</f>
        <v>703421788</v>
      </c>
      <c r="X321" s="34">
        <f>19</f>
        <v>19</v>
      </c>
    </row>
    <row r="322" spans="1:24">
      <c r="A322" s="25" t="s">
        <v>1179</v>
      </c>
      <c r="B322" s="25" t="s">
        <v>684</v>
      </c>
      <c r="C322" s="25" t="s">
        <v>685</v>
      </c>
      <c r="D322" s="25" t="s">
        <v>686</v>
      </c>
      <c r="E322" s="26" t="s">
        <v>43</v>
      </c>
      <c r="F322" s="27" t="s">
        <v>43</v>
      </c>
      <c r="G322" s="28" t="s">
        <v>43</v>
      </c>
      <c r="H322" s="29"/>
      <c r="I322" s="29" t="s">
        <v>44</v>
      </c>
      <c r="J322" s="30">
        <v>10</v>
      </c>
      <c r="K322" s="31">
        <f>2604</f>
        <v>2604</v>
      </c>
      <c r="L322" s="32" t="s">
        <v>1085</v>
      </c>
      <c r="M322" s="31">
        <f>2676.5</f>
        <v>2676.5</v>
      </c>
      <c r="N322" s="32" t="s">
        <v>663</v>
      </c>
      <c r="O322" s="31">
        <f>2558.5</f>
        <v>2558.5</v>
      </c>
      <c r="P322" s="32" t="s">
        <v>851</v>
      </c>
      <c r="Q322" s="31">
        <f>2658</f>
        <v>2658</v>
      </c>
      <c r="R322" s="32" t="s">
        <v>661</v>
      </c>
      <c r="S322" s="33">
        <f>2623.13</f>
        <v>2623.13</v>
      </c>
      <c r="T322" s="30">
        <f>1443080</f>
        <v>1443080</v>
      </c>
      <c r="U322" s="30">
        <f>831820</f>
        <v>831820</v>
      </c>
      <c r="V322" s="30">
        <f>3783991280</f>
        <v>3783991280</v>
      </c>
      <c r="W322" s="30">
        <f>2184965525</f>
        <v>2184965525</v>
      </c>
      <c r="X322" s="34">
        <f>19</f>
        <v>19</v>
      </c>
    </row>
    <row r="323" spans="1:24">
      <c r="A323" s="25" t="s">
        <v>1179</v>
      </c>
      <c r="B323" s="25" t="s">
        <v>687</v>
      </c>
      <c r="C323" s="25" t="s">
        <v>688</v>
      </c>
      <c r="D323" s="25" t="s">
        <v>689</v>
      </c>
      <c r="E323" s="26" t="s">
        <v>43</v>
      </c>
      <c r="F323" s="27" t="s">
        <v>43</v>
      </c>
      <c r="G323" s="28" t="s">
        <v>43</v>
      </c>
      <c r="H323" s="29"/>
      <c r="I323" s="29" t="s">
        <v>44</v>
      </c>
      <c r="J323" s="30">
        <v>10</v>
      </c>
      <c r="K323" s="31">
        <f>4445</f>
        <v>4445</v>
      </c>
      <c r="L323" s="32" t="s">
        <v>1085</v>
      </c>
      <c r="M323" s="31">
        <f>4505</f>
        <v>4505</v>
      </c>
      <c r="N323" s="32" t="s">
        <v>663</v>
      </c>
      <c r="O323" s="31">
        <f>4350</f>
        <v>4350</v>
      </c>
      <c r="P323" s="32" t="s">
        <v>662</v>
      </c>
      <c r="Q323" s="31">
        <f>4423</f>
        <v>4423</v>
      </c>
      <c r="R323" s="32" t="s">
        <v>661</v>
      </c>
      <c r="S323" s="33">
        <f>4428.63</f>
        <v>4428.63</v>
      </c>
      <c r="T323" s="30">
        <f>89480</f>
        <v>89480</v>
      </c>
      <c r="U323" s="30">
        <f>40</f>
        <v>40</v>
      </c>
      <c r="V323" s="30">
        <f>395878330</f>
        <v>395878330</v>
      </c>
      <c r="W323" s="30">
        <f>178230</f>
        <v>178230</v>
      </c>
      <c r="X323" s="34">
        <f>19</f>
        <v>19</v>
      </c>
    </row>
    <row r="324" spans="1:24">
      <c r="A324" s="25" t="s">
        <v>1179</v>
      </c>
      <c r="B324" s="25" t="s">
        <v>690</v>
      </c>
      <c r="C324" s="25" t="s">
        <v>691</v>
      </c>
      <c r="D324" s="25" t="s">
        <v>692</v>
      </c>
      <c r="E324" s="26" t="s">
        <v>43</v>
      </c>
      <c r="F324" s="27" t="s">
        <v>43</v>
      </c>
      <c r="G324" s="28" t="s">
        <v>43</v>
      </c>
      <c r="H324" s="29"/>
      <c r="I324" s="29" t="s">
        <v>44</v>
      </c>
      <c r="J324" s="30">
        <v>1</v>
      </c>
      <c r="K324" s="31">
        <f>3445</f>
        <v>3445</v>
      </c>
      <c r="L324" s="32" t="s">
        <v>1085</v>
      </c>
      <c r="M324" s="31">
        <f>3445</f>
        <v>3445</v>
      </c>
      <c r="N324" s="32" t="s">
        <v>1085</v>
      </c>
      <c r="O324" s="31">
        <f>3250</f>
        <v>3250</v>
      </c>
      <c r="P324" s="32" t="s">
        <v>739</v>
      </c>
      <c r="Q324" s="31">
        <f>3405</f>
        <v>3405</v>
      </c>
      <c r="R324" s="32" t="s">
        <v>661</v>
      </c>
      <c r="S324" s="33">
        <f>3356.32</f>
        <v>3356.32</v>
      </c>
      <c r="T324" s="30">
        <f>2552</f>
        <v>2552</v>
      </c>
      <c r="U324" s="30" t="str">
        <f>"－"</f>
        <v>－</v>
      </c>
      <c r="V324" s="30">
        <f>8590700</f>
        <v>8590700</v>
      </c>
      <c r="W324" s="30" t="str">
        <f>"－"</f>
        <v>－</v>
      </c>
      <c r="X324" s="34">
        <f>19</f>
        <v>19</v>
      </c>
    </row>
    <row r="325" spans="1:24">
      <c r="A325" s="25" t="s">
        <v>1179</v>
      </c>
      <c r="B325" s="25" t="s">
        <v>693</v>
      </c>
      <c r="C325" s="25" t="s">
        <v>1007</v>
      </c>
      <c r="D325" s="25" t="s">
        <v>1006</v>
      </c>
      <c r="E325" s="26" t="s">
        <v>43</v>
      </c>
      <c r="F325" s="27" t="s">
        <v>43</v>
      </c>
      <c r="G325" s="28" t="s">
        <v>43</v>
      </c>
      <c r="H325" s="29"/>
      <c r="I325" s="29" t="s">
        <v>44</v>
      </c>
      <c r="J325" s="30">
        <v>1</v>
      </c>
      <c r="K325" s="31">
        <f>1500</f>
        <v>1500</v>
      </c>
      <c r="L325" s="32" t="s">
        <v>1085</v>
      </c>
      <c r="M325" s="31">
        <f>1552</f>
        <v>1552</v>
      </c>
      <c r="N325" s="32" t="s">
        <v>1077</v>
      </c>
      <c r="O325" s="31">
        <f>1463</f>
        <v>1463</v>
      </c>
      <c r="P325" s="32" t="s">
        <v>662</v>
      </c>
      <c r="Q325" s="31">
        <f>1478</f>
        <v>1478</v>
      </c>
      <c r="R325" s="32" t="s">
        <v>661</v>
      </c>
      <c r="S325" s="33">
        <f>1490.32</f>
        <v>1490.32</v>
      </c>
      <c r="T325" s="30">
        <f>34833</f>
        <v>34833</v>
      </c>
      <c r="U325" s="30" t="str">
        <f>"－"</f>
        <v>－</v>
      </c>
      <c r="V325" s="30">
        <f>51571779</f>
        <v>51571779</v>
      </c>
      <c r="W325" s="30" t="str">
        <f>"－"</f>
        <v>－</v>
      </c>
      <c r="X325" s="34">
        <f>19</f>
        <v>19</v>
      </c>
    </row>
    <row r="326" spans="1:24">
      <c r="A326" s="25" t="s">
        <v>1179</v>
      </c>
      <c r="B326" s="25" t="s">
        <v>694</v>
      </c>
      <c r="C326" s="25" t="s">
        <v>695</v>
      </c>
      <c r="D326" s="25" t="s">
        <v>696</v>
      </c>
      <c r="E326" s="26" t="s">
        <v>43</v>
      </c>
      <c r="F326" s="27" t="s">
        <v>43</v>
      </c>
      <c r="G326" s="28" t="s">
        <v>43</v>
      </c>
      <c r="H326" s="29"/>
      <c r="I326" s="29" t="s">
        <v>44</v>
      </c>
      <c r="J326" s="30">
        <v>1</v>
      </c>
      <c r="K326" s="31">
        <f>2050</f>
        <v>2050</v>
      </c>
      <c r="L326" s="32" t="s">
        <v>1085</v>
      </c>
      <c r="M326" s="31">
        <f>2175</f>
        <v>2175</v>
      </c>
      <c r="N326" s="32" t="s">
        <v>859</v>
      </c>
      <c r="O326" s="31">
        <f>1983</f>
        <v>1983</v>
      </c>
      <c r="P326" s="32" t="s">
        <v>1080</v>
      </c>
      <c r="Q326" s="31">
        <f>2140</f>
        <v>2140</v>
      </c>
      <c r="R326" s="32" t="s">
        <v>661</v>
      </c>
      <c r="S326" s="33">
        <f>2084.63</f>
        <v>2084.63</v>
      </c>
      <c r="T326" s="30">
        <f>81891</f>
        <v>81891</v>
      </c>
      <c r="U326" s="30" t="str">
        <f>"－"</f>
        <v>－</v>
      </c>
      <c r="V326" s="30">
        <f>170118827</f>
        <v>170118827</v>
      </c>
      <c r="W326" s="30" t="str">
        <f>"－"</f>
        <v>－</v>
      </c>
      <c r="X326" s="34">
        <f>19</f>
        <v>19</v>
      </c>
    </row>
    <row r="327" spans="1:24">
      <c r="A327" s="25" t="s">
        <v>1179</v>
      </c>
      <c r="B327" s="25" t="s">
        <v>697</v>
      </c>
      <c r="C327" s="25" t="s">
        <v>698</v>
      </c>
      <c r="D327" s="25" t="s">
        <v>699</v>
      </c>
      <c r="E327" s="26" t="s">
        <v>43</v>
      </c>
      <c r="F327" s="27" t="s">
        <v>43</v>
      </c>
      <c r="G327" s="28" t="s">
        <v>43</v>
      </c>
      <c r="H327" s="29"/>
      <c r="I327" s="29" t="s">
        <v>44</v>
      </c>
      <c r="J327" s="30">
        <v>1</v>
      </c>
      <c r="K327" s="31">
        <f>1701</f>
        <v>1701</v>
      </c>
      <c r="L327" s="32" t="s">
        <v>1085</v>
      </c>
      <c r="M327" s="31">
        <f>1710</f>
        <v>1710</v>
      </c>
      <c r="N327" s="32" t="s">
        <v>859</v>
      </c>
      <c r="O327" s="31">
        <f>1625</f>
        <v>1625</v>
      </c>
      <c r="P327" s="32" t="s">
        <v>662</v>
      </c>
      <c r="Q327" s="31">
        <f>1689</f>
        <v>1689</v>
      </c>
      <c r="R327" s="32" t="s">
        <v>661</v>
      </c>
      <c r="S327" s="33">
        <f>1671.83</f>
        <v>1671.83</v>
      </c>
      <c r="T327" s="30">
        <f>11362</f>
        <v>11362</v>
      </c>
      <c r="U327" s="30" t="str">
        <f>"－"</f>
        <v>－</v>
      </c>
      <c r="V327" s="30">
        <f>19097336</f>
        <v>19097336</v>
      </c>
      <c r="W327" s="30" t="str">
        <f>"－"</f>
        <v>－</v>
      </c>
      <c r="X327" s="34">
        <f>18</f>
        <v>18</v>
      </c>
    </row>
    <row r="328" spans="1:24">
      <c r="A328" s="25" t="s">
        <v>1179</v>
      </c>
      <c r="B328" s="25" t="s">
        <v>700</v>
      </c>
      <c r="C328" s="25" t="s">
        <v>701</v>
      </c>
      <c r="D328" s="25" t="s">
        <v>702</v>
      </c>
      <c r="E328" s="26" t="s">
        <v>43</v>
      </c>
      <c r="F328" s="27" t="s">
        <v>43</v>
      </c>
      <c r="G328" s="28" t="s">
        <v>43</v>
      </c>
      <c r="H328" s="29"/>
      <c r="I328" s="29" t="s">
        <v>44</v>
      </c>
      <c r="J328" s="30">
        <v>1</v>
      </c>
      <c r="K328" s="31">
        <f>3640</f>
        <v>3640</v>
      </c>
      <c r="L328" s="32" t="s">
        <v>1085</v>
      </c>
      <c r="M328" s="31">
        <f>3650</f>
        <v>3650</v>
      </c>
      <c r="N328" s="32" t="s">
        <v>755</v>
      </c>
      <c r="O328" s="31">
        <f>3330</f>
        <v>3330</v>
      </c>
      <c r="P328" s="32" t="s">
        <v>662</v>
      </c>
      <c r="Q328" s="31">
        <f>3585</f>
        <v>3585</v>
      </c>
      <c r="R328" s="32" t="s">
        <v>661</v>
      </c>
      <c r="S328" s="33">
        <f>3470</f>
        <v>3470</v>
      </c>
      <c r="T328" s="30">
        <f>63113</f>
        <v>63113</v>
      </c>
      <c r="U328" s="30">
        <f>1831</f>
        <v>1831</v>
      </c>
      <c r="V328" s="30">
        <f>219741675</f>
        <v>219741675</v>
      </c>
      <c r="W328" s="30">
        <f>6365255</f>
        <v>6365255</v>
      </c>
      <c r="X328" s="34">
        <f>19</f>
        <v>19</v>
      </c>
    </row>
    <row r="329" spans="1:24">
      <c r="A329" s="25" t="s">
        <v>1179</v>
      </c>
      <c r="B329" s="25" t="s">
        <v>703</v>
      </c>
      <c r="C329" s="25" t="s">
        <v>1005</v>
      </c>
      <c r="D329" s="25" t="s">
        <v>1004</v>
      </c>
      <c r="E329" s="26" t="s">
        <v>43</v>
      </c>
      <c r="F329" s="27" t="s">
        <v>43</v>
      </c>
      <c r="G329" s="28" t="s">
        <v>43</v>
      </c>
      <c r="H329" s="29"/>
      <c r="I329" s="29" t="s">
        <v>44</v>
      </c>
      <c r="J329" s="30">
        <v>1</v>
      </c>
      <c r="K329" s="31">
        <f>3290</f>
        <v>3290</v>
      </c>
      <c r="L329" s="32" t="s">
        <v>1085</v>
      </c>
      <c r="M329" s="31">
        <f>3295</f>
        <v>3295</v>
      </c>
      <c r="N329" s="32" t="s">
        <v>1085</v>
      </c>
      <c r="O329" s="31">
        <f>3055</f>
        <v>3055</v>
      </c>
      <c r="P329" s="32" t="s">
        <v>662</v>
      </c>
      <c r="Q329" s="31">
        <f>3250</f>
        <v>3250</v>
      </c>
      <c r="R329" s="32" t="s">
        <v>661</v>
      </c>
      <c r="S329" s="33">
        <f>3185</f>
        <v>3185</v>
      </c>
      <c r="T329" s="30">
        <f>169281</f>
        <v>169281</v>
      </c>
      <c r="U329" s="30">
        <f>31722</f>
        <v>31722</v>
      </c>
      <c r="V329" s="30">
        <f>541128360</f>
        <v>541128360</v>
      </c>
      <c r="W329" s="30">
        <f>100394740</f>
        <v>100394740</v>
      </c>
      <c r="X329" s="34">
        <f>19</f>
        <v>19</v>
      </c>
    </row>
    <row r="330" spans="1:24">
      <c r="A330" s="25" t="s">
        <v>1179</v>
      </c>
      <c r="B330" s="25" t="s">
        <v>704</v>
      </c>
      <c r="C330" s="25" t="s">
        <v>705</v>
      </c>
      <c r="D330" s="25" t="s">
        <v>706</v>
      </c>
      <c r="E330" s="26" t="s">
        <v>43</v>
      </c>
      <c r="F330" s="27" t="s">
        <v>43</v>
      </c>
      <c r="G330" s="28" t="s">
        <v>43</v>
      </c>
      <c r="H330" s="29"/>
      <c r="I330" s="29" t="s">
        <v>44</v>
      </c>
      <c r="J330" s="30">
        <v>1</v>
      </c>
      <c r="K330" s="31">
        <f>36910</f>
        <v>36910</v>
      </c>
      <c r="L330" s="32" t="s">
        <v>1085</v>
      </c>
      <c r="M330" s="31">
        <f>37450</f>
        <v>37450</v>
      </c>
      <c r="N330" s="32" t="s">
        <v>1079</v>
      </c>
      <c r="O330" s="31">
        <f>35210</f>
        <v>35210</v>
      </c>
      <c r="P330" s="32" t="s">
        <v>662</v>
      </c>
      <c r="Q330" s="31">
        <f>36680</f>
        <v>36680</v>
      </c>
      <c r="R330" s="32" t="s">
        <v>859</v>
      </c>
      <c r="S330" s="33">
        <f>36348.67</f>
        <v>36348.67</v>
      </c>
      <c r="T330" s="30">
        <f>166</f>
        <v>166</v>
      </c>
      <c r="U330" s="30" t="str">
        <f>"－"</f>
        <v>－</v>
      </c>
      <c r="V330" s="30">
        <f>6026200</f>
        <v>6026200</v>
      </c>
      <c r="W330" s="30" t="str">
        <f>"－"</f>
        <v>－</v>
      </c>
      <c r="X330" s="34">
        <f>15</f>
        <v>15</v>
      </c>
    </row>
    <row r="331" spans="1:24">
      <c r="A331" s="25" t="s">
        <v>1179</v>
      </c>
      <c r="B331" s="25" t="s">
        <v>707</v>
      </c>
      <c r="C331" s="25" t="s">
        <v>708</v>
      </c>
      <c r="D331" s="25" t="s">
        <v>709</v>
      </c>
      <c r="E331" s="26" t="s">
        <v>43</v>
      </c>
      <c r="F331" s="27" t="s">
        <v>43</v>
      </c>
      <c r="G331" s="28" t="s">
        <v>43</v>
      </c>
      <c r="H331" s="29"/>
      <c r="I331" s="29" t="s">
        <v>44</v>
      </c>
      <c r="J331" s="30">
        <v>1</v>
      </c>
      <c r="K331" s="31">
        <f>3000</f>
        <v>3000</v>
      </c>
      <c r="L331" s="32" t="s">
        <v>1085</v>
      </c>
      <c r="M331" s="31">
        <f>3000</f>
        <v>3000</v>
      </c>
      <c r="N331" s="32" t="s">
        <v>1085</v>
      </c>
      <c r="O331" s="31">
        <f>2788</f>
        <v>2788</v>
      </c>
      <c r="P331" s="32" t="s">
        <v>1080</v>
      </c>
      <c r="Q331" s="31">
        <f>2967</f>
        <v>2967</v>
      </c>
      <c r="R331" s="32" t="s">
        <v>661</v>
      </c>
      <c r="S331" s="33">
        <f>2908.13</f>
        <v>2908.13</v>
      </c>
      <c r="T331" s="30">
        <f>9723</f>
        <v>9723</v>
      </c>
      <c r="U331" s="30" t="str">
        <f>"－"</f>
        <v>－</v>
      </c>
      <c r="V331" s="30">
        <f>28598357</f>
        <v>28598357</v>
      </c>
      <c r="W331" s="30" t="str">
        <f>"－"</f>
        <v>－</v>
      </c>
      <c r="X331" s="34">
        <f>15</f>
        <v>15</v>
      </c>
    </row>
    <row r="332" spans="1:24">
      <c r="A332" s="25" t="s">
        <v>1179</v>
      </c>
      <c r="B332" s="25" t="s">
        <v>710</v>
      </c>
      <c r="C332" s="25" t="s">
        <v>711</v>
      </c>
      <c r="D332" s="25" t="s">
        <v>712</v>
      </c>
      <c r="E332" s="26" t="s">
        <v>43</v>
      </c>
      <c r="F332" s="27" t="s">
        <v>43</v>
      </c>
      <c r="G332" s="28" t="s">
        <v>43</v>
      </c>
      <c r="H332" s="29"/>
      <c r="I332" s="29" t="s">
        <v>44</v>
      </c>
      <c r="J332" s="30">
        <v>1</v>
      </c>
      <c r="K332" s="31">
        <f>1777</f>
        <v>1777</v>
      </c>
      <c r="L332" s="32" t="s">
        <v>1085</v>
      </c>
      <c r="M332" s="31">
        <f>1971</f>
        <v>1971</v>
      </c>
      <c r="N332" s="32" t="s">
        <v>756</v>
      </c>
      <c r="O332" s="31">
        <f>1734</f>
        <v>1734</v>
      </c>
      <c r="P332" s="32" t="s">
        <v>1078</v>
      </c>
      <c r="Q332" s="31">
        <f>1807</f>
        <v>1807</v>
      </c>
      <c r="R332" s="32" t="s">
        <v>661</v>
      </c>
      <c r="S332" s="33">
        <f>1837.05</f>
        <v>1837.05</v>
      </c>
      <c r="T332" s="30">
        <f>12706498</f>
        <v>12706498</v>
      </c>
      <c r="U332" s="30">
        <f>1166232</f>
        <v>1166232</v>
      </c>
      <c r="V332" s="30">
        <f>23367573002</f>
        <v>23367573002</v>
      </c>
      <c r="W332" s="30">
        <f>2169143887</f>
        <v>2169143887</v>
      </c>
      <c r="X332" s="34">
        <f>19</f>
        <v>19</v>
      </c>
    </row>
    <row r="333" spans="1:24">
      <c r="A333" s="25" t="s">
        <v>1179</v>
      </c>
      <c r="B333" s="25" t="s">
        <v>713</v>
      </c>
      <c r="C333" s="25" t="s">
        <v>714</v>
      </c>
      <c r="D333" s="25" t="s">
        <v>715</v>
      </c>
      <c r="E333" s="26" t="s">
        <v>43</v>
      </c>
      <c r="F333" s="27" t="s">
        <v>43</v>
      </c>
      <c r="G333" s="28" t="s">
        <v>43</v>
      </c>
      <c r="H333" s="29"/>
      <c r="I333" s="29" t="s">
        <v>44</v>
      </c>
      <c r="J333" s="30">
        <v>1</v>
      </c>
      <c r="K333" s="31">
        <f>2431</f>
        <v>2431</v>
      </c>
      <c r="L333" s="32" t="s">
        <v>1085</v>
      </c>
      <c r="M333" s="31">
        <f>2593</f>
        <v>2593</v>
      </c>
      <c r="N333" s="32" t="s">
        <v>755</v>
      </c>
      <c r="O333" s="31">
        <f>2326</f>
        <v>2326</v>
      </c>
      <c r="P333" s="32" t="s">
        <v>1080</v>
      </c>
      <c r="Q333" s="31">
        <f>2520</f>
        <v>2520</v>
      </c>
      <c r="R333" s="32" t="s">
        <v>661</v>
      </c>
      <c r="S333" s="33">
        <f>2424.83</f>
        <v>2424.83</v>
      </c>
      <c r="T333" s="30">
        <f>8131</f>
        <v>8131</v>
      </c>
      <c r="U333" s="30" t="str">
        <f>"－"</f>
        <v>－</v>
      </c>
      <c r="V333" s="30">
        <f>19809295</f>
        <v>19809295</v>
      </c>
      <c r="W333" s="30" t="str">
        <f>"－"</f>
        <v>－</v>
      </c>
      <c r="X333" s="34">
        <f>18</f>
        <v>18</v>
      </c>
    </row>
    <row r="334" spans="1:24">
      <c r="A334" s="25" t="s">
        <v>1179</v>
      </c>
      <c r="B334" s="25" t="s">
        <v>716</v>
      </c>
      <c r="C334" s="25" t="s">
        <v>717</v>
      </c>
      <c r="D334" s="25" t="s">
        <v>718</v>
      </c>
      <c r="E334" s="26" t="s">
        <v>43</v>
      </c>
      <c r="F334" s="27" t="s">
        <v>43</v>
      </c>
      <c r="G334" s="28" t="s">
        <v>43</v>
      </c>
      <c r="H334" s="29"/>
      <c r="I334" s="29" t="s">
        <v>44</v>
      </c>
      <c r="J334" s="30">
        <v>1</v>
      </c>
      <c r="K334" s="31">
        <f>1666</f>
        <v>1666</v>
      </c>
      <c r="L334" s="32" t="s">
        <v>1085</v>
      </c>
      <c r="M334" s="31">
        <f>1666</f>
        <v>1666</v>
      </c>
      <c r="N334" s="32" t="s">
        <v>1085</v>
      </c>
      <c r="O334" s="31">
        <f>1525</f>
        <v>1525</v>
      </c>
      <c r="P334" s="32" t="s">
        <v>851</v>
      </c>
      <c r="Q334" s="31">
        <f>1628</f>
        <v>1628</v>
      </c>
      <c r="R334" s="32" t="s">
        <v>661</v>
      </c>
      <c r="S334" s="33">
        <f>1596.58</f>
        <v>1596.58</v>
      </c>
      <c r="T334" s="30">
        <f>26088</f>
        <v>26088</v>
      </c>
      <c r="U334" s="30">
        <f>1</f>
        <v>1</v>
      </c>
      <c r="V334" s="30">
        <f>41274650</f>
        <v>41274650</v>
      </c>
      <c r="W334" s="30">
        <f>1616</f>
        <v>1616</v>
      </c>
      <c r="X334" s="34">
        <f>19</f>
        <v>19</v>
      </c>
    </row>
    <row r="335" spans="1:24">
      <c r="A335" s="25" t="s">
        <v>1179</v>
      </c>
      <c r="B335" s="25" t="s">
        <v>719</v>
      </c>
      <c r="C335" s="25" t="s">
        <v>720</v>
      </c>
      <c r="D335" s="25" t="s">
        <v>721</v>
      </c>
      <c r="E335" s="26" t="s">
        <v>43</v>
      </c>
      <c r="F335" s="27" t="s">
        <v>43</v>
      </c>
      <c r="G335" s="28" t="s">
        <v>43</v>
      </c>
      <c r="H335" s="29"/>
      <c r="I335" s="29" t="s">
        <v>44</v>
      </c>
      <c r="J335" s="30">
        <v>10</v>
      </c>
      <c r="K335" s="31">
        <f>5745</f>
        <v>5745</v>
      </c>
      <c r="L335" s="32" t="s">
        <v>1085</v>
      </c>
      <c r="M335" s="31">
        <f>5764</f>
        <v>5764</v>
      </c>
      <c r="N335" s="32" t="s">
        <v>1079</v>
      </c>
      <c r="O335" s="31">
        <f>5659</f>
        <v>5659</v>
      </c>
      <c r="P335" s="32" t="s">
        <v>663</v>
      </c>
      <c r="Q335" s="31">
        <f>5683</f>
        <v>5683</v>
      </c>
      <c r="R335" s="32" t="s">
        <v>661</v>
      </c>
      <c r="S335" s="33">
        <f>5711.56</f>
        <v>5711.56</v>
      </c>
      <c r="T335" s="30">
        <f>20380</f>
        <v>20380</v>
      </c>
      <c r="U335" s="30">
        <f>20</f>
        <v>20</v>
      </c>
      <c r="V335" s="30">
        <f>116749230</f>
        <v>116749230</v>
      </c>
      <c r="W335" s="30">
        <f>113600</f>
        <v>113600</v>
      </c>
      <c r="X335" s="34">
        <f>16</f>
        <v>16</v>
      </c>
    </row>
    <row r="336" spans="1:24">
      <c r="A336" s="25" t="s">
        <v>1179</v>
      </c>
      <c r="B336" s="25" t="s">
        <v>722</v>
      </c>
      <c r="C336" s="25" t="s">
        <v>723</v>
      </c>
      <c r="D336" s="25" t="s">
        <v>724</v>
      </c>
      <c r="E336" s="26" t="s">
        <v>43</v>
      </c>
      <c r="F336" s="27" t="s">
        <v>43</v>
      </c>
      <c r="G336" s="28" t="s">
        <v>43</v>
      </c>
      <c r="H336" s="29"/>
      <c r="I336" s="29" t="s">
        <v>44</v>
      </c>
      <c r="J336" s="30">
        <v>10</v>
      </c>
      <c r="K336" s="31">
        <f>3521</f>
        <v>3521</v>
      </c>
      <c r="L336" s="32" t="s">
        <v>1085</v>
      </c>
      <c r="M336" s="31">
        <f>3644</f>
        <v>3644</v>
      </c>
      <c r="N336" s="32" t="s">
        <v>1077</v>
      </c>
      <c r="O336" s="31">
        <f>3485</f>
        <v>3485</v>
      </c>
      <c r="P336" s="32" t="s">
        <v>851</v>
      </c>
      <c r="Q336" s="31">
        <f>3548</f>
        <v>3548</v>
      </c>
      <c r="R336" s="32" t="s">
        <v>755</v>
      </c>
      <c r="S336" s="33">
        <f>3535.44</f>
        <v>3535.44</v>
      </c>
      <c r="T336" s="30">
        <f>501620</f>
        <v>501620</v>
      </c>
      <c r="U336" s="30">
        <f>279950</f>
        <v>279950</v>
      </c>
      <c r="V336" s="30">
        <f>1755420630</f>
        <v>1755420630</v>
      </c>
      <c r="W336" s="30">
        <f>975513770</f>
        <v>975513770</v>
      </c>
      <c r="X336" s="34">
        <f>18</f>
        <v>18</v>
      </c>
    </row>
    <row r="337" spans="1:24">
      <c r="A337" s="25" t="s">
        <v>1179</v>
      </c>
      <c r="B337" s="25" t="s">
        <v>725</v>
      </c>
      <c r="C337" s="25" t="s">
        <v>726</v>
      </c>
      <c r="D337" s="25" t="s">
        <v>727</v>
      </c>
      <c r="E337" s="26" t="s">
        <v>43</v>
      </c>
      <c r="F337" s="27" t="s">
        <v>43</v>
      </c>
      <c r="G337" s="28" t="s">
        <v>43</v>
      </c>
      <c r="H337" s="29"/>
      <c r="I337" s="29" t="s">
        <v>44</v>
      </c>
      <c r="J337" s="30">
        <v>10</v>
      </c>
      <c r="K337" s="31">
        <f>606.5</f>
        <v>606.5</v>
      </c>
      <c r="L337" s="32" t="s">
        <v>1085</v>
      </c>
      <c r="M337" s="31">
        <f>609</f>
        <v>609</v>
      </c>
      <c r="N337" s="32" t="s">
        <v>1076</v>
      </c>
      <c r="O337" s="31">
        <f>593.1</f>
        <v>593.1</v>
      </c>
      <c r="P337" s="32" t="s">
        <v>1080</v>
      </c>
      <c r="Q337" s="31">
        <f>605.7</f>
        <v>605.70000000000005</v>
      </c>
      <c r="R337" s="32" t="s">
        <v>661</v>
      </c>
      <c r="S337" s="33">
        <f>602.92</f>
        <v>602.91999999999996</v>
      </c>
      <c r="T337" s="30">
        <f>76040</f>
        <v>76040</v>
      </c>
      <c r="U337" s="30">
        <f>30</f>
        <v>30</v>
      </c>
      <c r="V337" s="30">
        <f>45825718</f>
        <v>45825718</v>
      </c>
      <c r="W337" s="30">
        <f>18142</f>
        <v>18142</v>
      </c>
      <c r="X337" s="34">
        <f>18</f>
        <v>18</v>
      </c>
    </row>
    <row r="338" spans="1:24">
      <c r="A338" s="25" t="s">
        <v>1179</v>
      </c>
      <c r="B338" s="25" t="s">
        <v>1166</v>
      </c>
      <c r="C338" s="25" t="s">
        <v>1165</v>
      </c>
      <c r="D338" s="25" t="s">
        <v>1164</v>
      </c>
      <c r="E338" s="26" t="s">
        <v>43</v>
      </c>
      <c r="F338" s="27" t="s">
        <v>43</v>
      </c>
      <c r="G338" s="28" t="s">
        <v>43</v>
      </c>
      <c r="H338" s="29"/>
      <c r="I338" s="29" t="s">
        <v>44</v>
      </c>
      <c r="J338" s="30">
        <v>1</v>
      </c>
      <c r="K338" s="31">
        <f>10345</f>
        <v>10345</v>
      </c>
      <c r="L338" s="32" t="s">
        <v>1085</v>
      </c>
      <c r="M338" s="31">
        <f>10650</f>
        <v>10650</v>
      </c>
      <c r="N338" s="32" t="s">
        <v>1078</v>
      </c>
      <c r="O338" s="31">
        <f>10020</f>
        <v>10020</v>
      </c>
      <c r="P338" s="32" t="s">
        <v>851</v>
      </c>
      <c r="Q338" s="31">
        <f>10305</f>
        <v>10305</v>
      </c>
      <c r="R338" s="32" t="s">
        <v>661</v>
      </c>
      <c r="S338" s="33">
        <f>10290.79</f>
        <v>10290.790000000001</v>
      </c>
      <c r="T338" s="30">
        <f>12513</f>
        <v>12513</v>
      </c>
      <c r="U338" s="30" t="str">
        <f>"－"</f>
        <v>－</v>
      </c>
      <c r="V338" s="30">
        <f>128824435</f>
        <v>128824435</v>
      </c>
      <c r="W338" s="30" t="str">
        <f>"－"</f>
        <v>－</v>
      </c>
      <c r="X338" s="34">
        <f>19</f>
        <v>19</v>
      </c>
    </row>
    <row r="339" spans="1:24">
      <c r="A339" s="25" t="s">
        <v>1179</v>
      </c>
      <c r="B339" s="25" t="s">
        <v>1167</v>
      </c>
      <c r="C339" s="25" t="s">
        <v>1168</v>
      </c>
      <c r="D339" s="25" t="s">
        <v>1169</v>
      </c>
      <c r="E339" s="26" t="s">
        <v>43</v>
      </c>
      <c r="F339" s="27" t="s">
        <v>43</v>
      </c>
      <c r="G339" s="28" t="s">
        <v>43</v>
      </c>
      <c r="H339" s="29"/>
      <c r="I339" s="29" t="s">
        <v>44</v>
      </c>
      <c r="J339" s="30">
        <v>1</v>
      </c>
      <c r="K339" s="31">
        <f>1018</f>
        <v>1018</v>
      </c>
      <c r="L339" s="32" t="s">
        <v>1085</v>
      </c>
      <c r="M339" s="31">
        <f>1160</f>
        <v>1160</v>
      </c>
      <c r="N339" s="32" t="s">
        <v>1080</v>
      </c>
      <c r="O339" s="31">
        <f>981</f>
        <v>981</v>
      </c>
      <c r="P339" s="32" t="s">
        <v>1078</v>
      </c>
      <c r="Q339" s="31">
        <f>1017</f>
        <v>1017</v>
      </c>
      <c r="R339" s="32" t="s">
        <v>661</v>
      </c>
      <c r="S339" s="33">
        <f>1041.53</f>
        <v>1041.53</v>
      </c>
      <c r="T339" s="30">
        <f>1403070</f>
        <v>1403070</v>
      </c>
      <c r="U339" s="30">
        <f>120001</f>
        <v>120001</v>
      </c>
      <c r="V339" s="30">
        <f>1469738040</f>
        <v>1469738040</v>
      </c>
      <c r="W339" s="30">
        <f>123353805</f>
        <v>123353805</v>
      </c>
      <c r="X339" s="34">
        <f>19</f>
        <v>19</v>
      </c>
    </row>
    <row r="340" spans="1:24">
      <c r="A340" s="25" t="s">
        <v>1179</v>
      </c>
      <c r="B340" s="25" t="s">
        <v>728</v>
      </c>
      <c r="C340" s="25" t="s">
        <v>729</v>
      </c>
      <c r="D340" s="25" t="s">
        <v>730</v>
      </c>
      <c r="E340" s="26" t="s">
        <v>43</v>
      </c>
      <c r="F340" s="27" t="s">
        <v>43</v>
      </c>
      <c r="G340" s="28" t="s">
        <v>43</v>
      </c>
      <c r="H340" s="29"/>
      <c r="I340" s="29" t="s">
        <v>44</v>
      </c>
      <c r="J340" s="30">
        <v>1</v>
      </c>
      <c r="K340" s="31">
        <f>2725</f>
        <v>2725</v>
      </c>
      <c r="L340" s="32" t="s">
        <v>1085</v>
      </c>
      <c r="M340" s="31">
        <f>2884</f>
        <v>2884</v>
      </c>
      <c r="N340" s="32" t="s">
        <v>661</v>
      </c>
      <c r="O340" s="31">
        <f>2618</f>
        <v>2618</v>
      </c>
      <c r="P340" s="32" t="s">
        <v>662</v>
      </c>
      <c r="Q340" s="31">
        <f>2884</f>
        <v>2884</v>
      </c>
      <c r="R340" s="32" t="s">
        <v>661</v>
      </c>
      <c r="S340" s="33">
        <f>2704.26</f>
        <v>2704.26</v>
      </c>
      <c r="T340" s="30">
        <f>2741</f>
        <v>2741</v>
      </c>
      <c r="U340" s="30">
        <f>1</f>
        <v>1</v>
      </c>
      <c r="V340" s="30">
        <f>7414647</f>
        <v>7414647</v>
      </c>
      <c r="W340" s="30">
        <f>2698</f>
        <v>2698</v>
      </c>
      <c r="X340" s="34">
        <f>19</f>
        <v>19</v>
      </c>
    </row>
    <row r="341" spans="1:24">
      <c r="A341" s="25" t="s">
        <v>1179</v>
      </c>
      <c r="B341" s="25" t="s">
        <v>731</v>
      </c>
      <c r="C341" s="25" t="s">
        <v>1003</v>
      </c>
      <c r="D341" s="25" t="s">
        <v>1002</v>
      </c>
      <c r="E341" s="26" t="s">
        <v>43</v>
      </c>
      <c r="F341" s="27" t="s">
        <v>43</v>
      </c>
      <c r="G341" s="28" t="s">
        <v>43</v>
      </c>
      <c r="H341" s="29"/>
      <c r="I341" s="29" t="s">
        <v>44</v>
      </c>
      <c r="J341" s="30">
        <v>1</v>
      </c>
      <c r="K341" s="31">
        <f>2285</f>
        <v>2285</v>
      </c>
      <c r="L341" s="32" t="s">
        <v>1085</v>
      </c>
      <c r="M341" s="31">
        <f>2327</f>
        <v>2327</v>
      </c>
      <c r="N341" s="32" t="s">
        <v>859</v>
      </c>
      <c r="O341" s="31">
        <f>2162</f>
        <v>2162</v>
      </c>
      <c r="P341" s="32" t="s">
        <v>1080</v>
      </c>
      <c r="Q341" s="31">
        <f>2311</f>
        <v>2311</v>
      </c>
      <c r="R341" s="32" t="s">
        <v>661</v>
      </c>
      <c r="S341" s="33">
        <f>2247.89</f>
        <v>2247.89</v>
      </c>
      <c r="T341" s="30">
        <f>34041</f>
        <v>34041</v>
      </c>
      <c r="U341" s="30" t="str">
        <f>"－"</f>
        <v>－</v>
      </c>
      <c r="V341" s="30">
        <f>76024696</f>
        <v>76024696</v>
      </c>
      <c r="W341" s="30" t="str">
        <f>"－"</f>
        <v>－</v>
      </c>
      <c r="X341" s="34">
        <f>19</f>
        <v>19</v>
      </c>
    </row>
    <row r="342" spans="1:24">
      <c r="A342" s="25" t="s">
        <v>1179</v>
      </c>
      <c r="B342" s="25" t="s">
        <v>732</v>
      </c>
      <c r="C342" s="25" t="s">
        <v>733</v>
      </c>
      <c r="D342" s="25" t="s">
        <v>734</v>
      </c>
      <c r="E342" s="26" t="s">
        <v>43</v>
      </c>
      <c r="F342" s="27" t="s">
        <v>43</v>
      </c>
      <c r="G342" s="28" t="s">
        <v>43</v>
      </c>
      <c r="H342" s="29"/>
      <c r="I342" s="29" t="s">
        <v>44</v>
      </c>
      <c r="J342" s="30">
        <v>1</v>
      </c>
      <c r="K342" s="31">
        <f>8578</f>
        <v>8578</v>
      </c>
      <c r="L342" s="32" t="s">
        <v>1085</v>
      </c>
      <c r="M342" s="31">
        <f>8615</f>
        <v>8615</v>
      </c>
      <c r="N342" s="32" t="s">
        <v>1079</v>
      </c>
      <c r="O342" s="31">
        <f>8461</f>
        <v>8461</v>
      </c>
      <c r="P342" s="32" t="s">
        <v>661</v>
      </c>
      <c r="Q342" s="31">
        <f>8509</f>
        <v>8509</v>
      </c>
      <c r="R342" s="32" t="s">
        <v>661</v>
      </c>
      <c r="S342" s="33">
        <f>8531.21</f>
        <v>8531.2099999999991</v>
      </c>
      <c r="T342" s="30">
        <f>925003</f>
        <v>925003</v>
      </c>
      <c r="U342" s="30">
        <f>900000</f>
        <v>900000</v>
      </c>
      <c r="V342" s="30">
        <f>7912227601</f>
        <v>7912227601</v>
      </c>
      <c r="W342" s="30">
        <f>7699080000</f>
        <v>7699080000</v>
      </c>
      <c r="X342" s="34">
        <f>19</f>
        <v>19</v>
      </c>
    </row>
    <row r="343" spans="1:24">
      <c r="A343" s="25" t="s">
        <v>1179</v>
      </c>
      <c r="B343" s="25" t="s">
        <v>735</v>
      </c>
      <c r="C343" s="25" t="s">
        <v>736</v>
      </c>
      <c r="D343" s="25" t="s">
        <v>737</v>
      </c>
      <c r="E343" s="26" t="s">
        <v>43</v>
      </c>
      <c r="F343" s="27" t="s">
        <v>43</v>
      </c>
      <c r="G343" s="28" t="s">
        <v>43</v>
      </c>
      <c r="H343" s="29"/>
      <c r="I343" s="29" t="s">
        <v>44</v>
      </c>
      <c r="J343" s="30">
        <v>1</v>
      </c>
      <c r="K343" s="31">
        <f>5261</f>
        <v>5261</v>
      </c>
      <c r="L343" s="32" t="s">
        <v>1085</v>
      </c>
      <c r="M343" s="31">
        <f>5469</f>
        <v>5469</v>
      </c>
      <c r="N343" s="32" t="s">
        <v>1076</v>
      </c>
      <c r="O343" s="31">
        <f>5206</f>
        <v>5206</v>
      </c>
      <c r="P343" s="32" t="s">
        <v>851</v>
      </c>
      <c r="Q343" s="31">
        <f>5302</f>
        <v>5302</v>
      </c>
      <c r="R343" s="32" t="s">
        <v>661</v>
      </c>
      <c r="S343" s="33">
        <f>5282.68</f>
        <v>5282.68</v>
      </c>
      <c r="T343" s="30">
        <f>387740</f>
        <v>387740</v>
      </c>
      <c r="U343" s="30">
        <f>379102</f>
        <v>379102</v>
      </c>
      <c r="V343" s="30">
        <f>2044791918</f>
        <v>2044791918</v>
      </c>
      <c r="W343" s="30">
        <f>1999469659</f>
        <v>1999469659</v>
      </c>
      <c r="X343" s="34">
        <f>19</f>
        <v>19</v>
      </c>
    </row>
    <row r="344" spans="1:24">
      <c r="A344" s="25" t="s">
        <v>1179</v>
      </c>
      <c r="B344" s="25" t="s">
        <v>1170</v>
      </c>
      <c r="C344" s="25" t="s">
        <v>1171</v>
      </c>
      <c r="D344" s="25" t="s">
        <v>1172</v>
      </c>
      <c r="E344" s="26" t="s">
        <v>43</v>
      </c>
      <c r="F344" s="27" t="s">
        <v>43</v>
      </c>
      <c r="G344" s="28" t="s">
        <v>43</v>
      </c>
      <c r="H344" s="29"/>
      <c r="I344" s="29" t="s">
        <v>44</v>
      </c>
      <c r="J344" s="30">
        <v>1</v>
      </c>
      <c r="K344" s="31">
        <f>1027</f>
        <v>1027</v>
      </c>
      <c r="L344" s="32" t="s">
        <v>1085</v>
      </c>
      <c r="M344" s="31">
        <f>1070</f>
        <v>1070</v>
      </c>
      <c r="N344" s="32" t="s">
        <v>663</v>
      </c>
      <c r="O344" s="31">
        <f>1005</f>
        <v>1005</v>
      </c>
      <c r="P344" s="32" t="s">
        <v>1080</v>
      </c>
      <c r="Q344" s="31">
        <f>1044</f>
        <v>1044</v>
      </c>
      <c r="R344" s="32" t="s">
        <v>661</v>
      </c>
      <c r="S344" s="33">
        <f>1030.79</f>
        <v>1030.79</v>
      </c>
      <c r="T344" s="30">
        <f>364001</f>
        <v>364001</v>
      </c>
      <c r="U344" s="30" t="str">
        <f>"－"</f>
        <v>－</v>
      </c>
      <c r="V344" s="30">
        <f>371060236</f>
        <v>371060236</v>
      </c>
      <c r="W344" s="30" t="str">
        <f>"－"</f>
        <v>－</v>
      </c>
      <c r="X344" s="34">
        <f>19</f>
        <v>19</v>
      </c>
    </row>
    <row r="345" spans="1:24">
      <c r="A345" s="25" t="s">
        <v>1179</v>
      </c>
      <c r="B345" s="25" t="s">
        <v>740</v>
      </c>
      <c r="C345" s="25" t="s">
        <v>741</v>
      </c>
      <c r="D345" s="25" t="s">
        <v>742</v>
      </c>
      <c r="E345" s="26" t="s">
        <v>43</v>
      </c>
      <c r="F345" s="27" t="s">
        <v>43</v>
      </c>
      <c r="G345" s="28" t="s">
        <v>43</v>
      </c>
      <c r="H345" s="29"/>
      <c r="I345" s="29" t="s">
        <v>44</v>
      </c>
      <c r="J345" s="30">
        <v>1</v>
      </c>
      <c r="K345" s="31">
        <f>1948</f>
        <v>1948</v>
      </c>
      <c r="L345" s="32" t="s">
        <v>1085</v>
      </c>
      <c r="M345" s="31">
        <f>1976</f>
        <v>1976</v>
      </c>
      <c r="N345" s="32" t="s">
        <v>663</v>
      </c>
      <c r="O345" s="31">
        <f>1886</f>
        <v>1886</v>
      </c>
      <c r="P345" s="32" t="s">
        <v>851</v>
      </c>
      <c r="Q345" s="31">
        <f>1933</f>
        <v>1933</v>
      </c>
      <c r="R345" s="32" t="s">
        <v>661</v>
      </c>
      <c r="S345" s="33">
        <f>1929.95</f>
        <v>1929.95</v>
      </c>
      <c r="T345" s="30">
        <f>3557889</f>
        <v>3557889</v>
      </c>
      <c r="U345" s="30">
        <f>370301</f>
        <v>370301</v>
      </c>
      <c r="V345" s="30">
        <f>6868418175</f>
        <v>6868418175</v>
      </c>
      <c r="W345" s="30">
        <f>708539713</f>
        <v>708539713</v>
      </c>
      <c r="X345" s="34">
        <f>19</f>
        <v>19</v>
      </c>
    </row>
    <row r="346" spans="1:24">
      <c r="A346" s="25" t="s">
        <v>1179</v>
      </c>
      <c r="B346" s="25" t="s">
        <v>743</v>
      </c>
      <c r="C346" s="25" t="s">
        <v>744</v>
      </c>
      <c r="D346" s="25" t="s">
        <v>745</v>
      </c>
      <c r="E346" s="26" t="s">
        <v>43</v>
      </c>
      <c r="F346" s="27" t="s">
        <v>43</v>
      </c>
      <c r="G346" s="28" t="s">
        <v>43</v>
      </c>
      <c r="H346" s="29"/>
      <c r="I346" s="29" t="s">
        <v>44</v>
      </c>
      <c r="J346" s="30">
        <v>1</v>
      </c>
      <c r="K346" s="31">
        <f>1302</f>
        <v>1302</v>
      </c>
      <c r="L346" s="32" t="s">
        <v>1085</v>
      </c>
      <c r="M346" s="31">
        <f>1328</f>
        <v>1328</v>
      </c>
      <c r="N346" s="32" t="s">
        <v>663</v>
      </c>
      <c r="O346" s="31">
        <f>1260</f>
        <v>1260</v>
      </c>
      <c r="P346" s="32" t="s">
        <v>851</v>
      </c>
      <c r="Q346" s="31">
        <f>1305</f>
        <v>1305</v>
      </c>
      <c r="R346" s="32" t="s">
        <v>661</v>
      </c>
      <c r="S346" s="33">
        <f>1295.58</f>
        <v>1295.58</v>
      </c>
      <c r="T346" s="30">
        <f>3705455</f>
        <v>3705455</v>
      </c>
      <c r="U346" s="30">
        <f>942001</f>
        <v>942001</v>
      </c>
      <c r="V346" s="30">
        <f>4791134125</f>
        <v>4791134125</v>
      </c>
      <c r="W346" s="30">
        <f>1227937991</f>
        <v>1227937991</v>
      </c>
      <c r="X346" s="34">
        <f>19</f>
        <v>19</v>
      </c>
    </row>
    <row r="347" spans="1:24">
      <c r="A347" s="25" t="s">
        <v>1179</v>
      </c>
      <c r="B347" s="25" t="s">
        <v>746</v>
      </c>
      <c r="C347" s="25" t="s">
        <v>747</v>
      </c>
      <c r="D347" s="25" t="s">
        <v>748</v>
      </c>
      <c r="E347" s="26" t="s">
        <v>43</v>
      </c>
      <c r="F347" s="27" t="s">
        <v>43</v>
      </c>
      <c r="G347" s="28" t="s">
        <v>43</v>
      </c>
      <c r="H347" s="29"/>
      <c r="I347" s="29" t="s">
        <v>44</v>
      </c>
      <c r="J347" s="30">
        <v>1</v>
      </c>
      <c r="K347" s="31">
        <f>17275</f>
        <v>17275</v>
      </c>
      <c r="L347" s="32" t="s">
        <v>1085</v>
      </c>
      <c r="M347" s="31">
        <f>18650</f>
        <v>18650</v>
      </c>
      <c r="N347" s="32" t="s">
        <v>851</v>
      </c>
      <c r="O347" s="31">
        <f>16915</f>
        <v>16915</v>
      </c>
      <c r="P347" s="32" t="s">
        <v>663</v>
      </c>
      <c r="Q347" s="31">
        <f>17100</f>
        <v>17100</v>
      </c>
      <c r="R347" s="32" t="s">
        <v>661</v>
      </c>
      <c r="S347" s="33">
        <f>17359.21</f>
        <v>17359.21</v>
      </c>
      <c r="T347" s="30">
        <f>91151</f>
        <v>91151</v>
      </c>
      <c r="U347" s="30">
        <f>39</f>
        <v>39</v>
      </c>
      <c r="V347" s="30">
        <f>1588691570</f>
        <v>1588691570</v>
      </c>
      <c r="W347" s="30">
        <f>685945</f>
        <v>685945</v>
      </c>
      <c r="X347" s="34">
        <f>19</f>
        <v>19</v>
      </c>
    </row>
    <row r="348" spans="1:24">
      <c r="A348" s="25" t="s">
        <v>1179</v>
      </c>
      <c r="B348" s="25" t="s">
        <v>749</v>
      </c>
      <c r="C348" s="25" t="s">
        <v>750</v>
      </c>
      <c r="D348" s="25" t="s">
        <v>751</v>
      </c>
      <c r="E348" s="26" t="s">
        <v>43</v>
      </c>
      <c r="F348" s="27" t="s">
        <v>43</v>
      </c>
      <c r="G348" s="28" t="s">
        <v>43</v>
      </c>
      <c r="H348" s="29"/>
      <c r="I348" s="29" t="s">
        <v>44</v>
      </c>
      <c r="J348" s="30">
        <v>10</v>
      </c>
      <c r="K348" s="31">
        <f>3998</f>
        <v>3998</v>
      </c>
      <c r="L348" s="32" t="s">
        <v>1085</v>
      </c>
      <c r="M348" s="31">
        <f>4048</f>
        <v>4048</v>
      </c>
      <c r="N348" s="32" t="s">
        <v>661</v>
      </c>
      <c r="O348" s="31">
        <f>3966</f>
        <v>3966</v>
      </c>
      <c r="P348" s="32" t="s">
        <v>852</v>
      </c>
      <c r="Q348" s="31">
        <f>4048</f>
        <v>4048</v>
      </c>
      <c r="R348" s="32" t="s">
        <v>661</v>
      </c>
      <c r="S348" s="33">
        <f>3990.2</f>
        <v>3990.2</v>
      </c>
      <c r="T348" s="30">
        <f>339490</f>
        <v>339490</v>
      </c>
      <c r="U348" s="30">
        <f>326010</f>
        <v>326010</v>
      </c>
      <c r="V348" s="30">
        <f>1351584320</f>
        <v>1351584320</v>
      </c>
      <c r="W348" s="30">
        <f>1297630370</f>
        <v>1297630370</v>
      </c>
      <c r="X348" s="34">
        <f>10</f>
        <v>10</v>
      </c>
    </row>
    <row r="349" spans="1:24">
      <c r="A349" s="25" t="s">
        <v>1179</v>
      </c>
      <c r="B349" s="25" t="s">
        <v>752</v>
      </c>
      <c r="C349" s="25" t="s">
        <v>753</v>
      </c>
      <c r="D349" s="25" t="s">
        <v>754</v>
      </c>
      <c r="E349" s="26" t="s">
        <v>43</v>
      </c>
      <c r="F349" s="27" t="s">
        <v>43</v>
      </c>
      <c r="G349" s="28" t="s">
        <v>43</v>
      </c>
      <c r="H349" s="29"/>
      <c r="I349" s="29" t="s">
        <v>44</v>
      </c>
      <c r="J349" s="30">
        <v>10</v>
      </c>
      <c r="K349" s="31">
        <f>5104</f>
        <v>5104</v>
      </c>
      <c r="L349" s="32" t="s">
        <v>1085</v>
      </c>
      <c r="M349" s="31">
        <f>5194</f>
        <v>5194</v>
      </c>
      <c r="N349" s="32" t="s">
        <v>1075</v>
      </c>
      <c r="O349" s="31">
        <f>4975</f>
        <v>4975</v>
      </c>
      <c r="P349" s="32" t="s">
        <v>662</v>
      </c>
      <c r="Q349" s="31">
        <f>5016</f>
        <v>5016</v>
      </c>
      <c r="R349" s="32" t="s">
        <v>661</v>
      </c>
      <c r="S349" s="33">
        <f>5047.95</f>
        <v>5047.95</v>
      </c>
      <c r="T349" s="30">
        <f>59370</f>
        <v>59370</v>
      </c>
      <c r="U349" s="30">
        <f>3970</f>
        <v>3970</v>
      </c>
      <c r="V349" s="30">
        <f>297320142</f>
        <v>297320142</v>
      </c>
      <c r="W349" s="30">
        <f>19965862</f>
        <v>19965862</v>
      </c>
      <c r="X349" s="34">
        <f>19</f>
        <v>19</v>
      </c>
    </row>
    <row r="350" spans="1:24">
      <c r="A350" s="25" t="s">
        <v>1179</v>
      </c>
      <c r="B350" s="25" t="s">
        <v>764</v>
      </c>
      <c r="C350" s="25" t="s">
        <v>765</v>
      </c>
      <c r="D350" s="25" t="s">
        <v>766</v>
      </c>
      <c r="E350" s="26" t="s">
        <v>43</v>
      </c>
      <c r="F350" s="27" t="s">
        <v>43</v>
      </c>
      <c r="G350" s="28" t="s">
        <v>43</v>
      </c>
      <c r="H350" s="29"/>
      <c r="I350" s="29" t="s">
        <v>44</v>
      </c>
      <c r="J350" s="30">
        <v>10</v>
      </c>
      <c r="K350" s="31">
        <f>2724.5</f>
        <v>2724.5</v>
      </c>
      <c r="L350" s="32" t="s">
        <v>1085</v>
      </c>
      <c r="M350" s="31">
        <f>2780</f>
        <v>2780</v>
      </c>
      <c r="N350" s="32" t="s">
        <v>756</v>
      </c>
      <c r="O350" s="31">
        <f>2638.5</f>
        <v>2638.5</v>
      </c>
      <c r="P350" s="32" t="s">
        <v>851</v>
      </c>
      <c r="Q350" s="31">
        <f>2741.5</f>
        <v>2741.5</v>
      </c>
      <c r="R350" s="32" t="s">
        <v>661</v>
      </c>
      <c r="S350" s="33">
        <f>2713.18</f>
        <v>2713.18</v>
      </c>
      <c r="T350" s="30">
        <f>2079810</f>
        <v>2079810</v>
      </c>
      <c r="U350" s="30">
        <f>1067570</f>
        <v>1067570</v>
      </c>
      <c r="V350" s="30">
        <f>5648269385</f>
        <v>5648269385</v>
      </c>
      <c r="W350" s="30">
        <f>2896051115</f>
        <v>2896051115</v>
      </c>
      <c r="X350" s="34">
        <f>19</f>
        <v>19</v>
      </c>
    </row>
    <row r="351" spans="1:24">
      <c r="A351" s="25" t="s">
        <v>1179</v>
      </c>
      <c r="B351" s="25" t="s">
        <v>767</v>
      </c>
      <c r="C351" s="25" t="s">
        <v>768</v>
      </c>
      <c r="D351" s="25" t="s">
        <v>769</v>
      </c>
      <c r="E351" s="26" t="s">
        <v>43</v>
      </c>
      <c r="F351" s="27" t="s">
        <v>43</v>
      </c>
      <c r="G351" s="28" t="s">
        <v>43</v>
      </c>
      <c r="H351" s="29"/>
      <c r="I351" s="29" t="s">
        <v>44</v>
      </c>
      <c r="J351" s="30">
        <v>10</v>
      </c>
      <c r="K351" s="31">
        <f>2198</f>
        <v>2198</v>
      </c>
      <c r="L351" s="32" t="s">
        <v>1085</v>
      </c>
      <c r="M351" s="31">
        <f>2296.5</f>
        <v>2296.5</v>
      </c>
      <c r="N351" s="32" t="s">
        <v>661</v>
      </c>
      <c r="O351" s="31">
        <f>2163.5</f>
        <v>2163.5</v>
      </c>
      <c r="P351" s="32" t="s">
        <v>1080</v>
      </c>
      <c r="Q351" s="31">
        <f>2294.5</f>
        <v>2294.5</v>
      </c>
      <c r="R351" s="32" t="s">
        <v>661</v>
      </c>
      <c r="S351" s="33">
        <f>2228.13</f>
        <v>2228.13</v>
      </c>
      <c r="T351" s="30">
        <f>682690</f>
        <v>682690</v>
      </c>
      <c r="U351" s="30">
        <f>222850</f>
        <v>222850</v>
      </c>
      <c r="V351" s="30">
        <f>1529050610</f>
        <v>1529050610</v>
      </c>
      <c r="W351" s="30">
        <f>501973305</f>
        <v>501973305</v>
      </c>
      <c r="X351" s="34">
        <f>19</f>
        <v>19</v>
      </c>
    </row>
    <row r="352" spans="1:24">
      <c r="A352" s="25" t="s">
        <v>1179</v>
      </c>
      <c r="B352" s="25" t="s">
        <v>770</v>
      </c>
      <c r="C352" s="25" t="s">
        <v>771</v>
      </c>
      <c r="D352" s="25" t="s">
        <v>772</v>
      </c>
      <c r="E352" s="26" t="s">
        <v>43</v>
      </c>
      <c r="F352" s="27" t="s">
        <v>43</v>
      </c>
      <c r="G352" s="28" t="s">
        <v>43</v>
      </c>
      <c r="H352" s="29"/>
      <c r="I352" s="29" t="s">
        <v>44</v>
      </c>
      <c r="J352" s="30">
        <v>1</v>
      </c>
      <c r="K352" s="31">
        <f>1931</f>
        <v>1931</v>
      </c>
      <c r="L352" s="32" t="s">
        <v>1085</v>
      </c>
      <c r="M352" s="31">
        <f>1956</f>
        <v>1956</v>
      </c>
      <c r="N352" s="32" t="s">
        <v>1075</v>
      </c>
      <c r="O352" s="31">
        <f>1826</f>
        <v>1826</v>
      </c>
      <c r="P352" s="32" t="s">
        <v>662</v>
      </c>
      <c r="Q352" s="31">
        <f>1917</f>
        <v>1917</v>
      </c>
      <c r="R352" s="32" t="s">
        <v>661</v>
      </c>
      <c r="S352" s="33">
        <f>1882.79</f>
        <v>1882.79</v>
      </c>
      <c r="T352" s="30">
        <f>23227</f>
        <v>23227</v>
      </c>
      <c r="U352" s="30" t="str">
        <f>"－"</f>
        <v>－</v>
      </c>
      <c r="V352" s="30">
        <f>44376669</f>
        <v>44376669</v>
      </c>
      <c r="W352" s="30" t="str">
        <f>"－"</f>
        <v>－</v>
      </c>
      <c r="X352" s="34">
        <f>19</f>
        <v>19</v>
      </c>
    </row>
    <row r="353" spans="1:24">
      <c r="A353" s="25" t="s">
        <v>1179</v>
      </c>
      <c r="B353" s="25" t="s">
        <v>773</v>
      </c>
      <c r="C353" s="25" t="s">
        <v>774</v>
      </c>
      <c r="D353" s="25" t="s">
        <v>775</v>
      </c>
      <c r="E353" s="26" t="s">
        <v>43</v>
      </c>
      <c r="F353" s="27" t="s">
        <v>43</v>
      </c>
      <c r="G353" s="28" t="s">
        <v>43</v>
      </c>
      <c r="H353" s="29"/>
      <c r="I353" s="29" t="s">
        <v>44</v>
      </c>
      <c r="J353" s="30">
        <v>1</v>
      </c>
      <c r="K353" s="31">
        <f>2117</f>
        <v>2117</v>
      </c>
      <c r="L353" s="32" t="s">
        <v>1085</v>
      </c>
      <c r="M353" s="31">
        <f>2137</f>
        <v>2137</v>
      </c>
      <c r="N353" s="32" t="s">
        <v>859</v>
      </c>
      <c r="O353" s="31">
        <f>2045</f>
        <v>2045</v>
      </c>
      <c r="P353" s="32" t="s">
        <v>662</v>
      </c>
      <c r="Q353" s="31">
        <f>2129</f>
        <v>2129</v>
      </c>
      <c r="R353" s="32" t="s">
        <v>755</v>
      </c>
      <c r="S353" s="33">
        <f>2098.61</f>
        <v>2098.61</v>
      </c>
      <c r="T353" s="30">
        <f>143</f>
        <v>143</v>
      </c>
      <c r="U353" s="30">
        <f>2</f>
        <v>2</v>
      </c>
      <c r="V353" s="30">
        <f>301369</f>
        <v>301369</v>
      </c>
      <c r="W353" s="30">
        <f>4236</f>
        <v>4236</v>
      </c>
      <c r="X353" s="34">
        <f>18</f>
        <v>18</v>
      </c>
    </row>
    <row r="354" spans="1:24">
      <c r="A354" s="25" t="s">
        <v>1179</v>
      </c>
      <c r="B354" s="25" t="s">
        <v>776</v>
      </c>
      <c r="C354" s="25" t="s">
        <v>777</v>
      </c>
      <c r="D354" s="25" t="s">
        <v>778</v>
      </c>
      <c r="E354" s="26" t="s">
        <v>43</v>
      </c>
      <c r="F354" s="27" t="s">
        <v>43</v>
      </c>
      <c r="G354" s="28" t="s">
        <v>43</v>
      </c>
      <c r="H354" s="29"/>
      <c r="I354" s="29" t="s">
        <v>44</v>
      </c>
      <c r="J354" s="30">
        <v>1</v>
      </c>
      <c r="K354" s="31">
        <f>4450</f>
        <v>4450</v>
      </c>
      <c r="L354" s="32" t="s">
        <v>1085</v>
      </c>
      <c r="M354" s="31">
        <f>4480</f>
        <v>4480</v>
      </c>
      <c r="N354" s="32" t="s">
        <v>859</v>
      </c>
      <c r="O354" s="31">
        <f>4220</f>
        <v>4220</v>
      </c>
      <c r="P354" s="32" t="s">
        <v>1080</v>
      </c>
      <c r="Q354" s="31">
        <f>4460</f>
        <v>4460</v>
      </c>
      <c r="R354" s="32" t="s">
        <v>661</v>
      </c>
      <c r="S354" s="33">
        <f>4349.47</f>
        <v>4349.47</v>
      </c>
      <c r="T354" s="30">
        <f>18169</f>
        <v>18169</v>
      </c>
      <c r="U354" s="30">
        <f>2</f>
        <v>2</v>
      </c>
      <c r="V354" s="30">
        <f>77444910</f>
        <v>77444910</v>
      </c>
      <c r="W354" s="30">
        <f>8845</f>
        <v>8845</v>
      </c>
      <c r="X354" s="34">
        <f>19</f>
        <v>19</v>
      </c>
    </row>
    <row r="355" spans="1:24">
      <c r="A355" s="25" t="s">
        <v>1179</v>
      </c>
      <c r="B355" s="25" t="s">
        <v>779</v>
      </c>
      <c r="C355" s="25" t="s">
        <v>780</v>
      </c>
      <c r="D355" s="25" t="s">
        <v>781</v>
      </c>
      <c r="E355" s="26" t="s">
        <v>43</v>
      </c>
      <c r="F355" s="27" t="s">
        <v>43</v>
      </c>
      <c r="G355" s="28" t="s">
        <v>43</v>
      </c>
      <c r="H355" s="29"/>
      <c r="I355" s="29" t="s">
        <v>44</v>
      </c>
      <c r="J355" s="30">
        <v>10</v>
      </c>
      <c r="K355" s="31">
        <f>2828</f>
        <v>2828</v>
      </c>
      <c r="L355" s="32" t="s">
        <v>1085</v>
      </c>
      <c r="M355" s="31">
        <f>2828</f>
        <v>2828</v>
      </c>
      <c r="N355" s="32" t="s">
        <v>1085</v>
      </c>
      <c r="O355" s="31">
        <f>1926</f>
        <v>1926</v>
      </c>
      <c r="P355" s="32" t="s">
        <v>662</v>
      </c>
      <c r="Q355" s="31">
        <f>2033.5</f>
        <v>2033.5</v>
      </c>
      <c r="R355" s="32" t="s">
        <v>661</v>
      </c>
      <c r="S355" s="33">
        <f>2046.29</f>
        <v>2046.29</v>
      </c>
      <c r="T355" s="30">
        <f>105970</f>
        <v>105970</v>
      </c>
      <c r="U355" s="30">
        <f>20</f>
        <v>20</v>
      </c>
      <c r="V355" s="30">
        <f>217986585</f>
        <v>217986585</v>
      </c>
      <c r="W355" s="30">
        <f>40985</f>
        <v>40985</v>
      </c>
      <c r="X355" s="34">
        <f>19</f>
        <v>19</v>
      </c>
    </row>
    <row r="356" spans="1:24">
      <c r="A356" s="25" t="s">
        <v>1179</v>
      </c>
      <c r="B356" s="25" t="s">
        <v>788</v>
      </c>
      <c r="C356" s="25" t="s">
        <v>789</v>
      </c>
      <c r="D356" s="25" t="s">
        <v>790</v>
      </c>
      <c r="E356" s="26" t="s">
        <v>43</v>
      </c>
      <c r="F356" s="27" t="s">
        <v>43</v>
      </c>
      <c r="G356" s="28" t="s">
        <v>43</v>
      </c>
      <c r="H356" s="29"/>
      <c r="I356" s="29" t="s">
        <v>44</v>
      </c>
      <c r="J356" s="30">
        <v>10</v>
      </c>
      <c r="K356" s="31">
        <f>281.9</f>
        <v>281.89999999999998</v>
      </c>
      <c r="L356" s="32" t="s">
        <v>1085</v>
      </c>
      <c r="M356" s="31">
        <f>281.9</f>
        <v>281.89999999999998</v>
      </c>
      <c r="N356" s="32" t="s">
        <v>1085</v>
      </c>
      <c r="O356" s="31">
        <f>269.2</f>
        <v>269.2</v>
      </c>
      <c r="P356" s="32" t="s">
        <v>662</v>
      </c>
      <c r="Q356" s="31">
        <f>281.1</f>
        <v>281.10000000000002</v>
      </c>
      <c r="R356" s="32" t="s">
        <v>661</v>
      </c>
      <c r="S356" s="33">
        <f>275.99</f>
        <v>275.99</v>
      </c>
      <c r="T356" s="30">
        <f>3080</f>
        <v>3080</v>
      </c>
      <c r="U356" s="30">
        <f>20</f>
        <v>20</v>
      </c>
      <c r="V356" s="30">
        <f>854165</f>
        <v>854165</v>
      </c>
      <c r="W356" s="30">
        <f>5520</f>
        <v>5520</v>
      </c>
      <c r="X356" s="34">
        <f>13</f>
        <v>13</v>
      </c>
    </row>
    <row r="357" spans="1:24">
      <c r="A357" s="25" t="s">
        <v>1179</v>
      </c>
      <c r="B357" s="25" t="s">
        <v>782</v>
      </c>
      <c r="C357" s="25" t="s">
        <v>783</v>
      </c>
      <c r="D357" s="25" t="s">
        <v>784</v>
      </c>
      <c r="E357" s="26" t="s">
        <v>43</v>
      </c>
      <c r="F357" s="27" t="s">
        <v>43</v>
      </c>
      <c r="G357" s="28" t="s">
        <v>43</v>
      </c>
      <c r="H357" s="29"/>
      <c r="I357" s="29" t="s">
        <v>44</v>
      </c>
      <c r="J357" s="30">
        <v>10</v>
      </c>
      <c r="K357" s="31">
        <f>165</f>
        <v>165</v>
      </c>
      <c r="L357" s="32" t="s">
        <v>1085</v>
      </c>
      <c r="M357" s="31">
        <f>170</f>
        <v>170</v>
      </c>
      <c r="N357" s="32" t="s">
        <v>859</v>
      </c>
      <c r="O357" s="31">
        <f>160.7</f>
        <v>160.69999999999999</v>
      </c>
      <c r="P357" s="32" t="s">
        <v>851</v>
      </c>
      <c r="Q357" s="31">
        <f>169.2</f>
        <v>169.2</v>
      </c>
      <c r="R357" s="32" t="s">
        <v>661</v>
      </c>
      <c r="S357" s="33">
        <f>164.04</f>
        <v>164.04</v>
      </c>
      <c r="T357" s="30">
        <f>296100</f>
        <v>296100</v>
      </c>
      <c r="U357" s="30" t="str">
        <f>"－"</f>
        <v>－</v>
      </c>
      <c r="V357" s="30">
        <f>48853786</f>
        <v>48853786</v>
      </c>
      <c r="W357" s="30" t="str">
        <f>"－"</f>
        <v>－</v>
      </c>
      <c r="X357" s="34">
        <f>19</f>
        <v>19</v>
      </c>
    </row>
    <row r="358" spans="1:24">
      <c r="A358" s="25" t="s">
        <v>1179</v>
      </c>
      <c r="B358" s="25" t="s">
        <v>785</v>
      </c>
      <c r="C358" s="25" t="s">
        <v>786</v>
      </c>
      <c r="D358" s="25" t="s">
        <v>787</v>
      </c>
      <c r="E358" s="26" t="s">
        <v>43</v>
      </c>
      <c r="F358" s="27" t="s">
        <v>43</v>
      </c>
      <c r="G358" s="28" t="s">
        <v>43</v>
      </c>
      <c r="H358" s="29"/>
      <c r="I358" s="29" t="s">
        <v>44</v>
      </c>
      <c r="J358" s="30">
        <v>10</v>
      </c>
      <c r="K358" s="31">
        <f>656.9</f>
        <v>656.9</v>
      </c>
      <c r="L358" s="32" t="s">
        <v>1079</v>
      </c>
      <c r="M358" s="31">
        <f>665.9</f>
        <v>665.9</v>
      </c>
      <c r="N358" s="32" t="s">
        <v>1075</v>
      </c>
      <c r="O358" s="31">
        <f>637.5</f>
        <v>637.5</v>
      </c>
      <c r="P358" s="32" t="s">
        <v>851</v>
      </c>
      <c r="Q358" s="31">
        <f>649.8</f>
        <v>649.79999999999995</v>
      </c>
      <c r="R358" s="32" t="s">
        <v>661</v>
      </c>
      <c r="S358" s="33">
        <f>649.14</f>
        <v>649.14</v>
      </c>
      <c r="T358" s="30">
        <f>1640</f>
        <v>1640</v>
      </c>
      <c r="U358" s="30" t="str">
        <f>"－"</f>
        <v>－</v>
      </c>
      <c r="V358" s="30">
        <f>1054592</f>
        <v>1054592</v>
      </c>
      <c r="W358" s="30" t="str">
        <f>"－"</f>
        <v>－</v>
      </c>
      <c r="X358" s="34">
        <f>14</f>
        <v>14</v>
      </c>
    </row>
    <row r="359" spans="1:24">
      <c r="A359" s="25" t="s">
        <v>1179</v>
      </c>
      <c r="B359" s="25" t="s">
        <v>791</v>
      </c>
      <c r="C359" s="25" t="s">
        <v>792</v>
      </c>
      <c r="D359" s="25" t="s">
        <v>793</v>
      </c>
      <c r="E359" s="26" t="s">
        <v>43</v>
      </c>
      <c r="F359" s="27" t="s">
        <v>43</v>
      </c>
      <c r="G359" s="28" t="s">
        <v>43</v>
      </c>
      <c r="H359" s="29"/>
      <c r="I359" s="29" t="s">
        <v>44</v>
      </c>
      <c r="J359" s="30">
        <v>1</v>
      </c>
      <c r="K359" s="31">
        <f>1591</f>
        <v>1591</v>
      </c>
      <c r="L359" s="32" t="s">
        <v>1085</v>
      </c>
      <c r="M359" s="31">
        <f>1691</f>
        <v>1691</v>
      </c>
      <c r="N359" s="32" t="s">
        <v>756</v>
      </c>
      <c r="O359" s="31">
        <f>1552</f>
        <v>1552</v>
      </c>
      <c r="P359" s="32" t="s">
        <v>1080</v>
      </c>
      <c r="Q359" s="31">
        <f>1651</f>
        <v>1651</v>
      </c>
      <c r="R359" s="32" t="s">
        <v>661</v>
      </c>
      <c r="S359" s="33">
        <f>1609.21</f>
        <v>1609.21</v>
      </c>
      <c r="T359" s="30">
        <f>729029</f>
        <v>729029</v>
      </c>
      <c r="U359" s="30">
        <f>4546</f>
        <v>4546</v>
      </c>
      <c r="V359" s="30">
        <f>1186956173</f>
        <v>1186956173</v>
      </c>
      <c r="W359" s="30">
        <f>7302387</f>
        <v>7302387</v>
      </c>
      <c r="X359" s="34">
        <f>19</f>
        <v>19</v>
      </c>
    </row>
    <row r="360" spans="1:24">
      <c r="A360" s="25" t="s">
        <v>1179</v>
      </c>
      <c r="B360" s="25" t="s">
        <v>794</v>
      </c>
      <c r="C360" s="25" t="s">
        <v>795</v>
      </c>
      <c r="D360" s="25" t="s">
        <v>796</v>
      </c>
      <c r="E360" s="26" t="s">
        <v>43</v>
      </c>
      <c r="F360" s="27" t="s">
        <v>43</v>
      </c>
      <c r="G360" s="28" t="s">
        <v>43</v>
      </c>
      <c r="H360" s="29"/>
      <c r="I360" s="29" t="s">
        <v>44</v>
      </c>
      <c r="J360" s="30">
        <v>1</v>
      </c>
      <c r="K360" s="31">
        <f>868</f>
        <v>868</v>
      </c>
      <c r="L360" s="32" t="s">
        <v>1085</v>
      </c>
      <c r="M360" s="31">
        <f>898</f>
        <v>898</v>
      </c>
      <c r="N360" s="32" t="s">
        <v>859</v>
      </c>
      <c r="O360" s="31">
        <f>848</f>
        <v>848</v>
      </c>
      <c r="P360" s="32" t="s">
        <v>851</v>
      </c>
      <c r="Q360" s="31">
        <f>892</f>
        <v>892</v>
      </c>
      <c r="R360" s="32" t="s">
        <v>661</v>
      </c>
      <c r="S360" s="33">
        <f>864.21</f>
        <v>864.21</v>
      </c>
      <c r="T360" s="30">
        <f>20908</f>
        <v>20908</v>
      </c>
      <c r="U360" s="30">
        <f>1</f>
        <v>1</v>
      </c>
      <c r="V360" s="30">
        <f>18423644</f>
        <v>18423644</v>
      </c>
      <c r="W360" s="30">
        <f>868</f>
        <v>868</v>
      </c>
      <c r="X360" s="34">
        <f>19</f>
        <v>19</v>
      </c>
    </row>
    <row r="361" spans="1:24">
      <c r="A361" s="25" t="s">
        <v>1179</v>
      </c>
      <c r="B361" s="25" t="s">
        <v>797</v>
      </c>
      <c r="C361" s="25" t="s">
        <v>798</v>
      </c>
      <c r="D361" s="25" t="s">
        <v>799</v>
      </c>
      <c r="E361" s="26" t="s">
        <v>43</v>
      </c>
      <c r="F361" s="27" t="s">
        <v>43</v>
      </c>
      <c r="G361" s="28" t="s">
        <v>43</v>
      </c>
      <c r="H361" s="29"/>
      <c r="I361" s="29" t="s">
        <v>44</v>
      </c>
      <c r="J361" s="30">
        <v>10</v>
      </c>
      <c r="K361" s="31">
        <f>683.8</f>
        <v>683.8</v>
      </c>
      <c r="L361" s="32" t="s">
        <v>1085</v>
      </c>
      <c r="M361" s="31">
        <f>684</f>
        <v>684</v>
      </c>
      <c r="N361" s="32" t="s">
        <v>1079</v>
      </c>
      <c r="O361" s="31">
        <f>671.9</f>
        <v>671.9</v>
      </c>
      <c r="P361" s="32" t="s">
        <v>851</v>
      </c>
      <c r="Q361" s="31">
        <f>678.6</f>
        <v>678.6</v>
      </c>
      <c r="R361" s="32" t="s">
        <v>661</v>
      </c>
      <c r="S361" s="33">
        <f>678.14</f>
        <v>678.14</v>
      </c>
      <c r="T361" s="30">
        <f>658470</f>
        <v>658470</v>
      </c>
      <c r="U361" s="30">
        <f>295030</f>
        <v>295030</v>
      </c>
      <c r="V361" s="30">
        <f>445560867</f>
        <v>445560867</v>
      </c>
      <c r="W361" s="30">
        <f>199579261</f>
        <v>199579261</v>
      </c>
      <c r="X361" s="34">
        <f>19</f>
        <v>19</v>
      </c>
    </row>
    <row r="362" spans="1:24">
      <c r="A362" s="25" t="s">
        <v>1179</v>
      </c>
      <c r="B362" s="25" t="s">
        <v>800</v>
      </c>
      <c r="C362" s="25" t="s">
        <v>801</v>
      </c>
      <c r="D362" s="25" t="s">
        <v>802</v>
      </c>
      <c r="E362" s="26" t="s">
        <v>43</v>
      </c>
      <c r="F362" s="27" t="s">
        <v>43</v>
      </c>
      <c r="G362" s="28" t="s">
        <v>43</v>
      </c>
      <c r="H362" s="29"/>
      <c r="I362" s="29" t="s">
        <v>44</v>
      </c>
      <c r="J362" s="30">
        <v>10</v>
      </c>
      <c r="K362" s="31">
        <f>690</f>
        <v>690</v>
      </c>
      <c r="L362" s="32" t="s">
        <v>1085</v>
      </c>
      <c r="M362" s="31">
        <f>690</f>
        <v>690</v>
      </c>
      <c r="N362" s="32" t="s">
        <v>1085</v>
      </c>
      <c r="O362" s="31">
        <f>665.5</f>
        <v>665.5</v>
      </c>
      <c r="P362" s="32" t="s">
        <v>851</v>
      </c>
      <c r="Q362" s="31">
        <f>672</f>
        <v>672</v>
      </c>
      <c r="R362" s="32" t="s">
        <v>661</v>
      </c>
      <c r="S362" s="33">
        <f>671.84</f>
        <v>671.84</v>
      </c>
      <c r="T362" s="30">
        <f>2324760</f>
        <v>2324760</v>
      </c>
      <c r="U362" s="30">
        <f>2240040</f>
        <v>2240040</v>
      </c>
      <c r="V362" s="30">
        <f>1559501216</f>
        <v>1559501216</v>
      </c>
      <c r="W362" s="30">
        <f>1502688808</f>
        <v>1502688808</v>
      </c>
      <c r="X362" s="34">
        <f>18</f>
        <v>18</v>
      </c>
    </row>
    <row r="363" spans="1:24">
      <c r="A363" s="25" t="s">
        <v>1179</v>
      </c>
      <c r="B363" s="25" t="s">
        <v>803</v>
      </c>
      <c r="C363" s="25" t="s">
        <v>804</v>
      </c>
      <c r="D363" s="25" t="s">
        <v>805</v>
      </c>
      <c r="E363" s="26" t="s">
        <v>43</v>
      </c>
      <c r="F363" s="27" t="s">
        <v>43</v>
      </c>
      <c r="G363" s="28" t="s">
        <v>43</v>
      </c>
      <c r="H363" s="29"/>
      <c r="I363" s="29" t="s">
        <v>44</v>
      </c>
      <c r="J363" s="30">
        <v>1</v>
      </c>
      <c r="K363" s="31">
        <f>1215</f>
        <v>1215</v>
      </c>
      <c r="L363" s="32" t="s">
        <v>1085</v>
      </c>
      <c r="M363" s="31">
        <f>1230</f>
        <v>1230</v>
      </c>
      <c r="N363" s="32" t="s">
        <v>663</v>
      </c>
      <c r="O363" s="31">
        <f>1185</f>
        <v>1185</v>
      </c>
      <c r="P363" s="32" t="s">
        <v>756</v>
      </c>
      <c r="Q363" s="31">
        <f>1223</f>
        <v>1223</v>
      </c>
      <c r="R363" s="32" t="s">
        <v>661</v>
      </c>
      <c r="S363" s="33">
        <f>1211.74</f>
        <v>1211.74</v>
      </c>
      <c r="T363" s="30">
        <f>11838</f>
        <v>11838</v>
      </c>
      <c r="U363" s="30">
        <f>2</f>
        <v>2</v>
      </c>
      <c r="V363" s="30">
        <f>14308500</f>
        <v>14308500</v>
      </c>
      <c r="W363" s="30">
        <f>2424</f>
        <v>2424</v>
      </c>
      <c r="X363" s="34">
        <f>19</f>
        <v>19</v>
      </c>
    </row>
    <row r="364" spans="1:24">
      <c r="A364" s="25" t="s">
        <v>1179</v>
      </c>
      <c r="B364" s="25" t="s">
        <v>812</v>
      </c>
      <c r="C364" s="25" t="s">
        <v>813</v>
      </c>
      <c r="D364" s="25" t="s">
        <v>814</v>
      </c>
      <c r="E364" s="26" t="s">
        <v>43</v>
      </c>
      <c r="F364" s="27" t="s">
        <v>43</v>
      </c>
      <c r="G364" s="28" t="s">
        <v>43</v>
      </c>
      <c r="H364" s="29"/>
      <c r="I364" s="29" t="s">
        <v>44</v>
      </c>
      <c r="J364" s="30">
        <v>10</v>
      </c>
      <c r="K364" s="31">
        <f>2530</f>
        <v>2530</v>
      </c>
      <c r="L364" s="32" t="s">
        <v>1085</v>
      </c>
      <c r="M364" s="31">
        <f>2726</f>
        <v>2726</v>
      </c>
      <c r="N364" s="32" t="s">
        <v>661</v>
      </c>
      <c r="O364" s="31">
        <f>2520</f>
        <v>2520</v>
      </c>
      <c r="P364" s="32" t="s">
        <v>1085</v>
      </c>
      <c r="Q364" s="31">
        <f>2724.5</f>
        <v>2724.5</v>
      </c>
      <c r="R364" s="32" t="s">
        <v>661</v>
      </c>
      <c r="S364" s="33">
        <f>2636.21</f>
        <v>2636.21</v>
      </c>
      <c r="T364" s="30">
        <f>103690</f>
        <v>103690</v>
      </c>
      <c r="U364" s="30">
        <f>10</f>
        <v>10</v>
      </c>
      <c r="V364" s="30">
        <f>270659780</f>
        <v>270659780</v>
      </c>
      <c r="W364" s="30">
        <f>26570</f>
        <v>26570</v>
      </c>
      <c r="X364" s="34">
        <f>19</f>
        <v>19</v>
      </c>
    </row>
    <row r="365" spans="1:24">
      <c r="A365" s="25" t="s">
        <v>1179</v>
      </c>
      <c r="B365" s="25" t="s">
        <v>815</v>
      </c>
      <c r="C365" s="25" t="s">
        <v>816</v>
      </c>
      <c r="D365" s="25" t="s">
        <v>817</v>
      </c>
      <c r="E365" s="26" t="s">
        <v>43</v>
      </c>
      <c r="F365" s="27" t="s">
        <v>43</v>
      </c>
      <c r="G365" s="28" t="s">
        <v>43</v>
      </c>
      <c r="H365" s="29"/>
      <c r="I365" s="29" t="s">
        <v>44</v>
      </c>
      <c r="J365" s="30">
        <v>10</v>
      </c>
      <c r="K365" s="31">
        <f>2738</f>
        <v>2738</v>
      </c>
      <c r="L365" s="32" t="s">
        <v>1085</v>
      </c>
      <c r="M365" s="31">
        <f>2934.5</f>
        <v>2934.5</v>
      </c>
      <c r="N365" s="32" t="s">
        <v>661</v>
      </c>
      <c r="O365" s="31">
        <f>2701.5</f>
        <v>2701.5</v>
      </c>
      <c r="P365" s="32" t="s">
        <v>1085</v>
      </c>
      <c r="Q365" s="31">
        <f>2934.5</f>
        <v>2934.5</v>
      </c>
      <c r="R365" s="32" t="s">
        <v>661</v>
      </c>
      <c r="S365" s="33">
        <f>2818.82</f>
        <v>2818.82</v>
      </c>
      <c r="T365" s="30">
        <f>296620</f>
        <v>296620</v>
      </c>
      <c r="U365" s="30">
        <f>180040</f>
        <v>180040</v>
      </c>
      <c r="V365" s="30">
        <f>826467730</f>
        <v>826467730</v>
      </c>
      <c r="W365" s="30">
        <f>492250850</f>
        <v>492250850</v>
      </c>
      <c r="X365" s="34">
        <f>19</f>
        <v>19</v>
      </c>
    </row>
    <row r="366" spans="1:24">
      <c r="A366" s="25" t="s">
        <v>1179</v>
      </c>
      <c r="B366" s="25" t="s">
        <v>806</v>
      </c>
      <c r="C366" s="25" t="s">
        <v>807</v>
      </c>
      <c r="D366" s="25" t="s">
        <v>808</v>
      </c>
      <c r="E366" s="26" t="s">
        <v>43</v>
      </c>
      <c r="F366" s="27" t="s">
        <v>43</v>
      </c>
      <c r="G366" s="28" t="s">
        <v>43</v>
      </c>
      <c r="H366" s="29"/>
      <c r="I366" s="29" t="s">
        <v>44</v>
      </c>
      <c r="J366" s="30">
        <v>10</v>
      </c>
      <c r="K366" s="31">
        <f>5487</f>
        <v>5487</v>
      </c>
      <c r="L366" s="32" t="s">
        <v>1085</v>
      </c>
      <c r="M366" s="31">
        <f>5487</f>
        <v>5487</v>
      </c>
      <c r="N366" s="32" t="s">
        <v>1085</v>
      </c>
      <c r="O366" s="31">
        <f>5179</f>
        <v>5179</v>
      </c>
      <c r="P366" s="32" t="s">
        <v>662</v>
      </c>
      <c r="Q366" s="31">
        <f>5240</f>
        <v>5240</v>
      </c>
      <c r="R366" s="32" t="s">
        <v>661</v>
      </c>
      <c r="S366" s="33">
        <f>5261.67</f>
        <v>5261.67</v>
      </c>
      <c r="T366" s="30">
        <f>6970</f>
        <v>6970</v>
      </c>
      <c r="U366" s="30">
        <f>6000</f>
        <v>6000</v>
      </c>
      <c r="V366" s="30">
        <f>36150830</f>
        <v>36150830</v>
      </c>
      <c r="W366" s="30">
        <f>31060800</f>
        <v>31060800</v>
      </c>
      <c r="X366" s="34">
        <f>9</f>
        <v>9</v>
      </c>
    </row>
    <row r="367" spans="1:24">
      <c r="A367" s="25" t="s">
        <v>1179</v>
      </c>
      <c r="B367" s="25" t="s">
        <v>809</v>
      </c>
      <c r="C367" s="25" t="s">
        <v>810</v>
      </c>
      <c r="D367" s="25" t="s">
        <v>811</v>
      </c>
      <c r="E367" s="26" t="s">
        <v>43</v>
      </c>
      <c r="F367" s="27" t="s">
        <v>43</v>
      </c>
      <c r="G367" s="28" t="s">
        <v>43</v>
      </c>
      <c r="H367" s="29"/>
      <c r="I367" s="29" t="s">
        <v>44</v>
      </c>
      <c r="J367" s="30">
        <v>10</v>
      </c>
      <c r="K367" s="31">
        <f>4394</f>
        <v>4394</v>
      </c>
      <c r="L367" s="32" t="s">
        <v>1085</v>
      </c>
      <c r="M367" s="31">
        <f>4394</f>
        <v>4394</v>
      </c>
      <c r="N367" s="32" t="s">
        <v>1085</v>
      </c>
      <c r="O367" s="31">
        <f>4056</f>
        <v>4056</v>
      </c>
      <c r="P367" s="32" t="s">
        <v>851</v>
      </c>
      <c r="Q367" s="31">
        <f>4100</f>
        <v>4100</v>
      </c>
      <c r="R367" s="32" t="s">
        <v>739</v>
      </c>
      <c r="S367" s="33">
        <f>4094.63</f>
        <v>4094.63</v>
      </c>
      <c r="T367" s="30">
        <f>36760</f>
        <v>36760</v>
      </c>
      <c r="U367" s="30" t="str">
        <f>"－"</f>
        <v>－</v>
      </c>
      <c r="V367" s="30">
        <f>150753370</f>
        <v>150753370</v>
      </c>
      <c r="W367" s="30" t="str">
        <f>"－"</f>
        <v>－</v>
      </c>
      <c r="X367" s="34">
        <f>8</f>
        <v>8</v>
      </c>
    </row>
    <row r="368" spans="1:24">
      <c r="A368" s="25" t="s">
        <v>1179</v>
      </c>
      <c r="B368" s="25" t="s">
        <v>818</v>
      </c>
      <c r="C368" s="25" t="s">
        <v>819</v>
      </c>
      <c r="D368" s="25" t="s">
        <v>820</v>
      </c>
      <c r="E368" s="26" t="s">
        <v>43</v>
      </c>
      <c r="F368" s="27" t="s">
        <v>43</v>
      </c>
      <c r="G368" s="28" t="s">
        <v>43</v>
      </c>
      <c r="H368" s="29"/>
      <c r="I368" s="29" t="s">
        <v>44</v>
      </c>
      <c r="J368" s="30">
        <v>10</v>
      </c>
      <c r="K368" s="31">
        <f>1864</f>
        <v>1864</v>
      </c>
      <c r="L368" s="32" t="s">
        <v>1085</v>
      </c>
      <c r="M368" s="31">
        <f>2245</f>
        <v>2245</v>
      </c>
      <c r="N368" s="32" t="s">
        <v>739</v>
      </c>
      <c r="O368" s="31">
        <f>1841.5</f>
        <v>1841.5</v>
      </c>
      <c r="P368" s="32" t="s">
        <v>1080</v>
      </c>
      <c r="Q368" s="31">
        <f>1883.5</f>
        <v>1883.5</v>
      </c>
      <c r="R368" s="32" t="s">
        <v>755</v>
      </c>
      <c r="S368" s="33">
        <f>1869.85</f>
        <v>1869.85</v>
      </c>
      <c r="T368" s="30">
        <f>1320</f>
        <v>1320</v>
      </c>
      <c r="U368" s="30" t="str">
        <f>"－"</f>
        <v>－</v>
      </c>
      <c r="V368" s="30">
        <f>2458885</f>
        <v>2458885</v>
      </c>
      <c r="W368" s="30" t="str">
        <f>"－"</f>
        <v>－</v>
      </c>
      <c r="X368" s="34">
        <f>13</f>
        <v>13</v>
      </c>
    </row>
    <row r="369" spans="1:24">
      <c r="A369" s="25" t="s">
        <v>1179</v>
      </c>
      <c r="B369" s="25" t="s">
        <v>821</v>
      </c>
      <c r="C369" s="25" t="s">
        <v>822</v>
      </c>
      <c r="D369" s="25" t="s">
        <v>823</v>
      </c>
      <c r="E369" s="26" t="s">
        <v>43</v>
      </c>
      <c r="F369" s="27" t="s">
        <v>43</v>
      </c>
      <c r="G369" s="28" t="s">
        <v>43</v>
      </c>
      <c r="H369" s="29"/>
      <c r="I369" s="29" t="s">
        <v>44</v>
      </c>
      <c r="J369" s="30">
        <v>1</v>
      </c>
      <c r="K369" s="31">
        <f>1286</f>
        <v>1286</v>
      </c>
      <c r="L369" s="32" t="s">
        <v>1085</v>
      </c>
      <c r="M369" s="31">
        <f>1348</f>
        <v>1348</v>
      </c>
      <c r="N369" s="32" t="s">
        <v>859</v>
      </c>
      <c r="O369" s="31">
        <f>1247</f>
        <v>1247</v>
      </c>
      <c r="P369" s="32" t="s">
        <v>1080</v>
      </c>
      <c r="Q369" s="31">
        <f>1312</f>
        <v>1312</v>
      </c>
      <c r="R369" s="32" t="s">
        <v>661</v>
      </c>
      <c r="S369" s="33">
        <f>1289.58</f>
        <v>1289.58</v>
      </c>
      <c r="T369" s="30">
        <f>48532</f>
        <v>48532</v>
      </c>
      <c r="U369" s="30" t="str">
        <f>"－"</f>
        <v>－</v>
      </c>
      <c r="V369" s="30">
        <f>62246857</f>
        <v>62246857</v>
      </c>
      <c r="W369" s="30" t="str">
        <f>"－"</f>
        <v>－</v>
      </c>
      <c r="X369" s="34">
        <f>19</f>
        <v>19</v>
      </c>
    </row>
    <row r="370" spans="1:24">
      <c r="A370" s="25" t="s">
        <v>1179</v>
      </c>
      <c r="B370" s="25" t="s">
        <v>824</v>
      </c>
      <c r="C370" s="25" t="s">
        <v>825</v>
      </c>
      <c r="D370" s="25" t="s">
        <v>826</v>
      </c>
      <c r="E370" s="26" t="s">
        <v>43</v>
      </c>
      <c r="F370" s="27" t="s">
        <v>43</v>
      </c>
      <c r="G370" s="28" t="s">
        <v>43</v>
      </c>
      <c r="H370" s="29"/>
      <c r="I370" s="29" t="s">
        <v>44</v>
      </c>
      <c r="J370" s="30">
        <v>1</v>
      </c>
      <c r="K370" s="31">
        <f>1286</f>
        <v>1286</v>
      </c>
      <c r="L370" s="32" t="s">
        <v>1085</v>
      </c>
      <c r="M370" s="31">
        <f>1348</f>
        <v>1348</v>
      </c>
      <c r="N370" s="32" t="s">
        <v>1077</v>
      </c>
      <c r="O370" s="31">
        <f>1230</f>
        <v>1230</v>
      </c>
      <c r="P370" s="32" t="s">
        <v>738</v>
      </c>
      <c r="Q370" s="31">
        <f>1260</f>
        <v>1260</v>
      </c>
      <c r="R370" s="32" t="s">
        <v>661</v>
      </c>
      <c r="S370" s="33">
        <f>1268.74</f>
        <v>1268.74</v>
      </c>
      <c r="T370" s="30">
        <f>5160014</f>
        <v>5160014</v>
      </c>
      <c r="U370" s="30">
        <f>460</f>
        <v>460</v>
      </c>
      <c r="V370" s="30">
        <f>6537270025</f>
        <v>6537270025</v>
      </c>
      <c r="W370" s="30">
        <f>580079</f>
        <v>580079</v>
      </c>
      <c r="X370" s="34">
        <f>19</f>
        <v>19</v>
      </c>
    </row>
    <row r="371" spans="1:24">
      <c r="A371" s="25" t="s">
        <v>1179</v>
      </c>
      <c r="B371" s="25" t="s">
        <v>827</v>
      </c>
      <c r="C371" s="25" t="s">
        <v>828</v>
      </c>
      <c r="D371" s="25" t="s">
        <v>829</v>
      </c>
      <c r="E371" s="26" t="s">
        <v>43</v>
      </c>
      <c r="F371" s="27" t="s">
        <v>43</v>
      </c>
      <c r="G371" s="28" t="s">
        <v>43</v>
      </c>
      <c r="H371" s="29"/>
      <c r="I371" s="29" t="s">
        <v>44</v>
      </c>
      <c r="J371" s="30">
        <v>1</v>
      </c>
      <c r="K371" s="31">
        <f>1050</f>
        <v>1050</v>
      </c>
      <c r="L371" s="32" t="s">
        <v>1085</v>
      </c>
      <c r="M371" s="31">
        <f>1065</f>
        <v>1065</v>
      </c>
      <c r="N371" s="32" t="s">
        <v>1079</v>
      </c>
      <c r="O371" s="31">
        <f>1016</f>
        <v>1016</v>
      </c>
      <c r="P371" s="32" t="s">
        <v>1080</v>
      </c>
      <c r="Q371" s="31">
        <f>1030</f>
        <v>1030</v>
      </c>
      <c r="R371" s="32" t="s">
        <v>661</v>
      </c>
      <c r="S371" s="33">
        <f>1040.53</f>
        <v>1040.53</v>
      </c>
      <c r="T371" s="30">
        <f>768819</f>
        <v>768819</v>
      </c>
      <c r="U371" s="30">
        <f>111</f>
        <v>111</v>
      </c>
      <c r="V371" s="30">
        <f>800015269</f>
        <v>800015269</v>
      </c>
      <c r="W371" s="30">
        <f>115922</f>
        <v>115922</v>
      </c>
      <c r="X371" s="34">
        <f>19</f>
        <v>19</v>
      </c>
    </row>
    <row r="372" spans="1:24">
      <c r="A372" s="25" t="s">
        <v>1179</v>
      </c>
      <c r="B372" s="25" t="s">
        <v>834</v>
      </c>
      <c r="C372" s="25" t="s">
        <v>835</v>
      </c>
      <c r="D372" s="25" t="s">
        <v>836</v>
      </c>
      <c r="E372" s="26" t="s">
        <v>43</v>
      </c>
      <c r="F372" s="27" t="s">
        <v>43</v>
      </c>
      <c r="G372" s="28" t="s">
        <v>43</v>
      </c>
      <c r="H372" s="29"/>
      <c r="I372" s="29" t="s">
        <v>44</v>
      </c>
      <c r="J372" s="30">
        <v>1</v>
      </c>
      <c r="K372" s="31">
        <f>1203</f>
        <v>1203</v>
      </c>
      <c r="L372" s="32" t="s">
        <v>1085</v>
      </c>
      <c r="M372" s="31">
        <f>1205</f>
        <v>1205</v>
      </c>
      <c r="N372" s="32" t="s">
        <v>852</v>
      </c>
      <c r="O372" s="31">
        <f>1120</f>
        <v>1120</v>
      </c>
      <c r="P372" s="32" t="s">
        <v>661</v>
      </c>
      <c r="Q372" s="31">
        <f>1122</f>
        <v>1122</v>
      </c>
      <c r="R372" s="32" t="s">
        <v>661</v>
      </c>
      <c r="S372" s="33">
        <f>1155.47</f>
        <v>1155.47</v>
      </c>
      <c r="T372" s="30">
        <f>10033</f>
        <v>10033</v>
      </c>
      <c r="U372" s="30" t="str">
        <f>"－"</f>
        <v>－</v>
      </c>
      <c r="V372" s="30">
        <f>11626689</f>
        <v>11626689</v>
      </c>
      <c r="W372" s="30" t="str">
        <f>"－"</f>
        <v>－</v>
      </c>
      <c r="X372" s="34">
        <f>19</f>
        <v>19</v>
      </c>
    </row>
    <row r="373" spans="1:24">
      <c r="A373" s="25" t="s">
        <v>1179</v>
      </c>
      <c r="B373" s="25" t="s">
        <v>837</v>
      </c>
      <c r="C373" s="25" t="s">
        <v>838</v>
      </c>
      <c r="D373" s="25" t="s">
        <v>839</v>
      </c>
      <c r="E373" s="26" t="s">
        <v>43</v>
      </c>
      <c r="F373" s="27" t="s">
        <v>43</v>
      </c>
      <c r="G373" s="28" t="s">
        <v>43</v>
      </c>
      <c r="H373" s="29"/>
      <c r="I373" s="29" t="s">
        <v>44</v>
      </c>
      <c r="J373" s="30">
        <v>1</v>
      </c>
      <c r="K373" s="31">
        <f>1171</f>
        <v>1171</v>
      </c>
      <c r="L373" s="32" t="s">
        <v>1085</v>
      </c>
      <c r="M373" s="31">
        <f>1185</f>
        <v>1185</v>
      </c>
      <c r="N373" s="32" t="s">
        <v>1077</v>
      </c>
      <c r="O373" s="31">
        <f>1131</f>
        <v>1131</v>
      </c>
      <c r="P373" s="32" t="s">
        <v>1080</v>
      </c>
      <c r="Q373" s="31">
        <f>1140</f>
        <v>1140</v>
      </c>
      <c r="R373" s="32" t="s">
        <v>661</v>
      </c>
      <c r="S373" s="33">
        <f>1149.11</f>
        <v>1149.1099999999999</v>
      </c>
      <c r="T373" s="30">
        <f>1171086</f>
        <v>1171086</v>
      </c>
      <c r="U373" s="30">
        <f>48</f>
        <v>48</v>
      </c>
      <c r="V373" s="30">
        <f>1343155564</f>
        <v>1343155564</v>
      </c>
      <c r="W373" s="30">
        <f>54642</f>
        <v>54642</v>
      </c>
      <c r="X373" s="34">
        <f>19</f>
        <v>19</v>
      </c>
    </row>
    <row r="374" spans="1:24">
      <c r="A374" s="25" t="s">
        <v>1179</v>
      </c>
      <c r="B374" s="25" t="s">
        <v>840</v>
      </c>
      <c r="C374" s="25" t="s">
        <v>841</v>
      </c>
      <c r="D374" s="25" t="s">
        <v>922</v>
      </c>
      <c r="E374" s="26" t="s">
        <v>43</v>
      </c>
      <c r="F374" s="27" t="s">
        <v>43</v>
      </c>
      <c r="G374" s="28" t="s">
        <v>43</v>
      </c>
      <c r="H374" s="29"/>
      <c r="I374" s="29" t="s">
        <v>44</v>
      </c>
      <c r="J374" s="30">
        <v>1</v>
      </c>
      <c r="K374" s="31">
        <f>48140</f>
        <v>48140</v>
      </c>
      <c r="L374" s="32" t="s">
        <v>1085</v>
      </c>
      <c r="M374" s="31">
        <f>50230</f>
        <v>50230</v>
      </c>
      <c r="N374" s="32" t="s">
        <v>663</v>
      </c>
      <c r="O374" s="31">
        <f>45290</f>
        <v>45290</v>
      </c>
      <c r="P374" s="32" t="s">
        <v>851</v>
      </c>
      <c r="Q374" s="31">
        <f>48840</f>
        <v>48840</v>
      </c>
      <c r="R374" s="32" t="s">
        <v>661</v>
      </c>
      <c r="S374" s="33">
        <f>47844.74</f>
        <v>47844.74</v>
      </c>
      <c r="T374" s="30">
        <f>362681</f>
        <v>362681</v>
      </c>
      <c r="U374" s="30">
        <f>595</f>
        <v>595</v>
      </c>
      <c r="V374" s="30">
        <f>17353320880</f>
        <v>17353320880</v>
      </c>
      <c r="W374" s="30">
        <f>28991560</f>
        <v>28991560</v>
      </c>
      <c r="X374" s="34">
        <f>19</f>
        <v>19</v>
      </c>
    </row>
    <row r="375" spans="1:24">
      <c r="A375" s="25" t="s">
        <v>1179</v>
      </c>
      <c r="B375" s="25" t="s">
        <v>842</v>
      </c>
      <c r="C375" s="25" t="s">
        <v>843</v>
      </c>
      <c r="D375" s="25" t="s">
        <v>923</v>
      </c>
      <c r="E375" s="26" t="s">
        <v>43</v>
      </c>
      <c r="F375" s="27" t="s">
        <v>43</v>
      </c>
      <c r="G375" s="28" t="s">
        <v>43</v>
      </c>
      <c r="H375" s="29"/>
      <c r="I375" s="29" t="s">
        <v>44</v>
      </c>
      <c r="J375" s="30">
        <v>1</v>
      </c>
      <c r="K375" s="31">
        <f>17135</f>
        <v>17135</v>
      </c>
      <c r="L375" s="32" t="s">
        <v>1085</v>
      </c>
      <c r="M375" s="31">
        <f>18255</f>
        <v>18255</v>
      </c>
      <c r="N375" s="32" t="s">
        <v>852</v>
      </c>
      <c r="O375" s="31">
        <f>16235</f>
        <v>16235</v>
      </c>
      <c r="P375" s="32" t="s">
        <v>663</v>
      </c>
      <c r="Q375" s="31">
        <f>16900</f>
        <v>16900</v>
      </c>
      <c r="R375" s="32" t="s">
        <v>661</v>
      </c>
      <c r="S375" s="33">
        <f>17119.47</f>
        <v>17119.47</v>
      </c>
      <c r="T375" s="30">
        <f>293106</f>
        <v>293106</v>
      </c>
      <c r="U375" s="30">
        <f>601</f>
        <v>601</v>
      </c>
      <c r="V375" s="30">
        <f>5021222270</f>
        <v>5021222270</v>
      </c>
      <c r="W375" s="30">
        <f>10756375</f>
        <v>10756375</v>
      </c>
      <c r="X375" s="34">
        <f>19</f>
        <v>19</v>
      </c>
    </row>
    <row r="376" spans="1:24">
      <c r="A376" s="25" t="s">
        <v>1179</v>
      </c>
      <c r="B376" s="25" t="s">
        <v>1173</v>
      </c>
      <c r="C376" s="25" t="s">
        <v>1174</v>
      </c>
      <c r="D376" s="25" t="s">
        <v>1175</v>
      </c>
      <c r="E376" s="26" t="s">
        <v>43</v>
      </c>
      <c r="F376" s="27" t="s">
        <v>43</v>
      </c>
      <c r="G376" s="28" t="s">
        <v>43</v>
      </c>
      <c r="H376" s="29"/>
      <c r="I376" s="29" t="s">
        <v>44</v>
      </c>
      <c r="J376" s="30">
        <v>1</v>
      </c>
      <c r="K376" s="31">
        <f>2083</f>
        <v>2083</v>
      </c>
      <c r="L376" s="32" t="s">
        <v>1085</v>
      </c>
      <c r="M376" s="31">
        <f>2094</f>
        <v>2094</v>
      </c>
      <c r="N376" s="32" t="s">
        <v>663</v>
      </c>
      <c r="O376" s="31">
        <f>1993</f>
        <v>1993</v>
      </c>
      <c r="P376" s="32" t="s">
        <v>662</v>
      </c>
      <c r="Q376" s="31">
        <f>2084</f>
        <v>2084</v>
      </c>
      <c r="R376" s="32" t="s">
        <v>755</v>
      </c>
      <c r="S376" s="33">
        <f>2055.88</f>
        <v>2055.88</v>
      </c>
      <c r="T376" s="30">
        <f>440</f>
        <v>440</v>
      </c>
      <c r="U376" s="30" t="str">
        <f>"－"</f>
        <v>－</v>
      </c>
      <c r="V376" s="30">
        <f>907935</f>
        <v>907935</v>
      </c>
      <c r="W376" s="30" t="str">
        <f>"－"</f>
        <v>－</v>
      </c>
      <c r="X376" s="34">
        <f>16</f>
        <v>16</v>
      </c>
    </row>
    <row r="377" spans="1:24">
      <c r="A377" s="25" t="s">
        <v>1179</v>
      </c>
      <c r="B377" s="25" t="s">
        <v>1176</v>
      </c>
      <c r="C377" s="25" t="s">
        <v>1177</v>
      </c>
      <c r="D377" s="25" t="s">
        <v>1178</v>
      </c>
      <c r="E377" s="26" t="s">
        <v>43</v>
      </c>
      <c r="F377" s="27" t="s">
        <v>43</v>
      </c>
      <c r="G377" s="28" t="s">
        <v>43</v>
      </c>
      <c r="H377" s="29"/>
      <c r="I377" s="29" t="s">
        <v>44</v>
      </c>
      <c r="J377" s="30">
        <v>1</v>
      </c>
      <c r="K377" s="31">
        <f>10500</f>
        <v>10500</v>
      </c>
      <c r="L377" s="32" t="s">
        <v>1085</v>
      </c>
      <c r="M377" s="31">
        <f>10845</f>
        <v>10845</v>
      </c>
      <c r="N377" s="32" t="s">
        <v>662</v>
      </c>
      <c r="O377" s="31">
        <f>10470</f>
        <v>10470</v>
      </c>
      <c r="P377" s="32" t="s">
        <v>1085</v>
      </c>
      <c r="Q377" s="31">
        <f>10610</f>
        <v>10610</v>
      </c>
      <c r="R377" s="32" t="s">
        <v>661</v>
      </c>
      <c r="S377" s="33">
        <f>10640</f>
        <v>10640</v>
      </c>
      <c r="T377" s="30">
        <f>8909</f>
        <v>8909</v>
      </c>
      <c r="U377" s="30">
        <f>2</f>
        <v>2</v>
      </c>
      <c r="V377" s="30">
        <f>94617995</f>
        <v>94617995</v>
      </c>
      <c r="W377" s="30">
        <f>21160</f>
        <v>21160</v>
      </c>
      <c r="X377" s="34">
        <f>19</f>
        <v>19</v>
      </c>
    </row>
    <row r="378" spans="1:24">
      <c r="A378" s="25" t="s">
        <v>1179</v>
      </c>
      <c r="B378" s="25" t="s">
        <v>1180</v>
      </c>
      <c r="C378" s="25" t="s">
        <v>1181</v>
      </c>
      <c r="D378" s="25" t="s">
        <v>1182</v>
      </c>
      <c r="E378" s="26" t="s">
        <v>659</v>
      </c>
      <c r="F378" s="27" t="s">
        <v>660</v>
      </c>
      <c r="G378" s="28" t="s">
        <v>1183</v>
      </c>
      <c r="H378" s="29"/>
      <c r="I378" s="29" t="s">
        <v>44</v>
      </c>
      <c r="J378" s="30">
        <v>10</v>
      </c>
      <c r="K378" s="31">
        <f>204.2</f>
        <v>204.2</v>
      </c>
      <c r="L378" s="32" t="s">
        <v>739</v>
      </c>
      <c r="M378" s="31">
        <f>207</f>
        <v>207</v>
      </c>
      <c r="N378" s="32" t="s">
        <v>1078</v>
      </c>
      <c r="O378" s="31">
        <f>198.1</f>
        <v>198.1</v>
      </c>
      <c r="P378" s="32" t="s">
        <v>662</v>
      </c>
      <c r="Q378" s="31">
        <f>202.6</f>
        <v>202.6</v>
      </c>
      <c r="R378" s="32" t="s">
        <v>661</v>
      </c>
      <c r="S378" s="33">
        <f>203.13</f>
        <v>203.13</v>
      </c>
      <c r="T378" s="30">
        <f>9374150</f>
        <v>9374150</v>
      </c>
      <c r="U378" s="30" t="str">
        <f>"－"</f>
        <v>－</v>
      </c>
      <c r="V378" s="30">
        <f>1892972675</f>
        <v>1892972675</v>
      </c>
      <c r="W378" s="30" t="str">
        <f>"－"</f>
        <v>－</v>
      </c>
      <c r="X378" s="34">
        <f>12</f>
        <v>12</v>
      </c>
    </row>
    <row r="379" spans="1:24">
      <c r="A379" s="25" t="s">
        <v>1179</v>
      </c>
      <c r="B379" s="25" t="s">
        <v>1184</v>
      </c>
      <c r="C379" s="25" t="s">
        <v>1185</v>
      </c>
      <c r="D379" s="25" t="s">
        <v>1186</v>
      </c>
      <c r="E379" s="26" t="s">
        <v>659</v>
      </c>
      <c r="F379" s="27" t="s">
        <v>660</v>
      </c>
      <c r="G379" s="28" t="s">
        <v>1183</v>
      </c>
      <c r="H379" s="29"/>
      <c r="I379" s="29" t="s">
        <v>44</v>
      </c>
      <c r="J379" s="30">
        <v>10</v>
      </c>
      <c r="K379" s="31">
        <f>203.9</f>
        <v>203.9</v>
      </c>
      <c r="L379" s="32" t="s">
        <v>739</v>
      </c>
      <c r="M379" s="31">
        <f>220</f>
        <v>220</v>
      </c>
      <c r="N379" s="32" t="s">
        <v>1075</v>
      </c>
      <c r="O379" s="31">
        <f>199.8</f>
        <v>199.8</v>
      </c>
      <c r="P379" s="32" t="s">
        <v>1076</v>
      </c>
      <c r="Q379" s="31">
        <f>205.6</f>
        <v>205.6</v>
      </c>
      <c r="R379" s="32" t="s">
        <v>661</v>
      </c>
      <c r="S379" s="33">
        <f>204.62</f>
        <v>204.62</v>
      </c>
      <c r="T379" s="30">
        <f>7487570</f>
        <v>7487570</v>
      </c>
      <c r="U379" s="30">
        <f>90</f>
        <v>90</v>
      </c>
      <c r="V379" s="30">
        <f>1520010035</f>
        <v>1520010035</v>
      </c>
      <c r="W379" s="30">
        <f>18540</f>
        <v>18540</v>
      </c>
      <c r="X379" s="34">
        <f>12</f>
        <v>12</v>
      </c>
    </row>
    <row r="380" spans="1:24">
      <c r="A380" s="25" t="s">
        <v>1179</v>
      </c>
      <c r="B380" s="25" t="s">
        <v>1187</v>
      </c>
      <c r="C380" s="25" t="s">
        <v>1188</v>
      </c>
      <c r="D380" s="25" t="s">
        <v>1189</v>
      </c>
      <c r="E380" s="26" t="s">
        <v>659</v>
      </c>
      <c r="F380" s="27" t="s">
        <v>660</v>
      </c>
      <c r="G380" s="28" t="s">
        <v>1190</v>
      </c>
      <c r="H380" s="29"/>
      <c r="I380" s="29" t="s">
        <v>44</v>
      </c>
      <c r="J380" s="30">
        <v>1</v>
      </c>
      <c r="K380" s="31">
        <f>1001</f>
        <v>1001</v>
      </c>
      <c r="L380" s="32" t="s">
        <v>852</v>
      </c>
      <c r="M380" s="31">
        <f>1037</f>
        <v>1037</v>
      </c>
      <c r="N380" s="32" t="s">
        <v>755</v>
      </c>
      <c r="O380" s="31">
        <f>959</f>
        <v>959</v>
      </c>
      <c r="P380" s="32" t="s">
        <v>662</v>
      </c>
      <c r="Q380" s="31">
        <f>1035</f>
        <v>1035</v>
      </c>
      <c r="R380" s="32" t="s">
        <v>661</v>
      </c>
      <c r="S380" s="33">
        <f>1000.31</f>
        <v>1000.31</v>
      </c>
      <c r="T380" s="30">
        <f>5504261</f>
        <v>5504261</v>
      </c>
      <c r="U380" s="30">
        <f>4502000</f>
        <v>4502000</v>
      </c>
      <c r="V380" s="30">
        <f>5629015777</f>
        <v>5629015777</v>
      </c>
      <c r="W380" s="30">
        <f>4625509490</f>
        <v>4625509490</v>
      </c>
      <c r="X380" s="34">
        <f>16</f>
        <v>16</v>
      </c>
    </row>
    <row r="381" spans="1:24">
      <c r="A381" s="25" t="s">
        <v>1179</v>
      </c>
      <c r="B381" s="25" t="s">
        <v>1191</v>
      </c>
      <c r="C381" s="25" t="s">
        <v>1192</v>
      </c>
      <c r="D381" s="25" t="s">
        <v>1193</v>
      </c>
      <c r="E381" s="26" t="s">
        <v>659</v>
      </c>
      <c r="F381" s="27" t="s">
        <v>660</v>
      </c>
      <c r="G381" s="28" t="s">
        <v>1194</v>
      </c>
      <c r="H381" s="29"/>
      <c r="I381" s="29" t="s">
        <v>44</v>
      </c>
      <c r="J381" s="30">
        <v>1</v>
      </c>
      <c r="K381" s="31">
        <f>1947</f>
        <v>1947</v>
      </c>
      <c r="L381" s="32" t="s">
        <v>738</v>
      </c>
      <c r="M381" s="31">
        <f>2020</f>
        <v>2020</v>
      </c>
      <c r="N381" s="32" t="s">
        <v>663</v>
      </c>
      <c r="O381" s="31">
        <f>1886</f>
        <v>1886</v>
      </c>
      <c r="P381" s="32" t="s">
        <v>851</v>
      </c>
      <c r="Q381" s="31">
        <f>1956</f>
        <v>1956</v>
      </c>
      <c r="R381" s="32" t="s">
        <v>661</v>
      </c>
      <c r="S381" s="33">
        <f>1949.27</f>
        <v>1949.27</v>
      </c>
      <c r="T381" s="30">
        <f>18245562</f>
        <v>18245562</v>
      </c>
      <c r="U381" s="30">
        <f>157107</f>
        <v>157107</v>
      </c>
      <c r="V381" s="30">
        <f>35532319715</f>
        <v>35532319715</v>
      </c>
      <c r="W381" s="30">
        <f>305388515</f>
        <v>305388515</v>
      </c>
      <c r="X381" s="34">
        <f>15</f>
        <v>15</v>
      </c>
    </row>
    <row r="382" spans="1:24">
      <c r="A382" s="25" t="s">
        <v>1179</v>
      </c>
      <c r="B382" s="25" t="s">
        <v>1195</v>
      </c>
      <c r="C382" s="25" t="s">
        <v>1196</v>
      </c>
      <c r="D382" s="25" t="s">
        <v>1197</v>
      </c>
      <c r="E382" s="26" t="s">
        <v>659</v>
      </c>
      <c r="F382" s="27" t="s">
        <v>660</v>
      </c>
      <c r="G382" s="28" t="s">
        <v>1198</v>
      </c>
      <c r="H382" s="29"/>
      <c r="I382" s="29" t="s">
        <v>44</v>
      </c>
      <c r="J382" s="30">
        <v>10</v>
      </c>
      <c r="K382" s="31">
        <f>1040</f>
        <v>1040</v>
      </c>
      <c r="L382" s="32" t="s">
        <v>851</v>
      </c>
      <c r="M382" s="31">
        <f>1040</f>
        <v>1040</v>
      </c>
      <c r="N382" s="32" t="s">
        <v>851</v>
      </c>
      <c r="O382" s="31">
        <f>867</f>
        <v>867</v>
      </c>
      <c r="P382" s="32" t="s">
        <v>850</v>
      </c>
      <c r="Q382" s="31">
        <f>875.2</f>
        <v>875.2</v>
      </c>
      <c r="R382" s="32" t="s">
        <v>661</v>
      </c>
      <c r="S382" s="33">
        <f>916.3</f>
        <v>916.3</v>
      </c>
      <c r="T382" s="30">
        <f>754680</f>
        <v>754680</v>
      </c>
      <c r="U382" s="30">
        <f>250</f>
        <v>250</v>
      </c>
      <c r="V382" s="30">
        <f>685785683</f>
        <v>685785683</v>
      </c>
      <c r="W382" s="30">
        <f>206732</f>
        <v>206732</v>
      </c>
      <c r="X382" s="34">
        <f>13</f>
        <v>13</v>
      </c>
    </row>
  </sheetData>
  <mergeCells count="3">
    <mergeCell ref="N1:X3"/>
    <mergeCell ref="A2:M2"/>
    <mergeCell ref="A3:M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2025.06</vt:lpstr>
      <vt:lpstr>2025.05</vt:lpstr>
      <vt:lpstr>2025.04</vt:lpstr>
      <vt:lpstr>2025.03</vt:lpstr>
      <vt:lpstr>2025.02</vt:lpstr>
      <vt:lpstr>2025.01</vt:lpstr>
      <vt:lpstr>'2025.01'!Print_Titles</vt:lpstr>
      <vt:lpstr>'2025.02'!Print_Titles</vt:lpstr>
      <vt:lpstr>'2025.03'!Print_Titles</vt:lpstr>
      <vt:lpstr>'2025.04'!Print_Titles</vt:lpstr>
      <vt:lpstr>'2025.05'!Print_Titles</vt:lpstr>
      <vt:lpstr>'2025.06'!Print_Titles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麻子</dc:creator>
  <cp:lastModifiedBy>Okawa, Tamami (大川 珠実)</cp:lastModifiedBy>
  <cp:lastPrinted>2023-11-09T04:17:30Z</cp:lastPrinted>
  <dcterms:created xsi:type="dcterms:W3CDTF">2022-02-07T04:54:12Z</dcterms:created>
  <dcterms:modified xsi:type="dcterms:W3CDTF">2025-07-07T01:55:43Z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2023-04-05T05:55:28Z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2025-06-06T11:31:04Z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